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17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系统读取表" sheetId="66" state="hidden" r:id="rId17"/>
    <sheet name="总投及售价预测" sheetId="70" r:id="rId18"/>
    <sheet name="结果表" sheetId="9" r:id="rId19"/>
    <sheet name="比较法-住宅、综合" sheetId="39" r:id="rId20"/>
    <sheet name="土地案例" sheetId="69"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区片价!$J$1:$J$20</definedName>
    <definedName name="二级分类" localSheetId="20">[1]修正!$C$17:$C$39</definedName>
    <definedName name="二级分类">修正!$C$17:$C$39</definedName>
    <definedName name="法定最高年限" localSheetId="20">[1]定义!$G$2:$G$4</definedName>
    <definedName name="法定最高年限">定义!$G$2:$G$4</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地价!$A$2:$A$27</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区片价!$O$1:$O$49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区片价!$K$1:$K$21</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[1]修正!$C$59:$C$119</definedName>
    <definedName name="商业街名称">修正!$C$59:$C$119</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20">'[1]比较法-工业'!$B$116:$M$116</definedName>
    <definedName name="套工工程地质条件">'比较法-工业'!$B$116:$M$116</definedName>
    <definedName name="套工交易情况" localSheetId="20">'[1]比较法-住宅、综合'!$A$75:$M$75</definedName>
    <definedName name="套工交易情况">'比较法-住宅、综合'!$A$75:$M$75</definedName>
    <definedName name="套工开发程度" localSheetId="20">'[1]比较法-工业'!$B$114:$M$114</definedName>
    <definedName name="套工开发程度">'比较法-工业'!$B$114:$M$114</definedName>
    <definedName name="套工临街等级" localSheetId="20">'[1]比较法-工业'!$B$99:$M$99</definedName>
    <definedName name="套工临街等级">'比较法-工业'!$B$99:$M$99</definedName>
    <definedName name="套工土地级别" localSheetId="20">'[1]比较法-工业'!$B$101:$M$101</definedName>
    <definedName name="套工土地级别">'比较法-工业'!$B$101:$M$101</definedName>
    <definedName name="套工用途" localSheetId="20">'[1]比较法-工业'!$B$72:$M$72</definedName>
    <definedName name="套工用途">'比较法-工业'!$B$72:$M$72</definedName>
    <definedName name="套工宗地形状" localSheetId="20">'[1]比较法-工业'!$B$112:$M$112</definedName>
    <definedName name="套工宗地形状">'比较法-工业'!$B$112:$M$112</definedName>
    <definedName name="套综道路等级" localSheetId="20">'[1]比较法-住宅、综合'!$B$108:$M$108</definedName>
    <definedName name="套综道路等级">'比较法-住宅、综合'!$B$108:$M$108</definedName>
    <definedName name="套综工程地质条件" localSheetId="20">'[1]比较法-住宅、综合'!$B$127:$M$127</definedName>
    <definedName name="套综工程地质条件">'比较法-住宅、综合'!$B$127:$M$127</definedName>
    <definedName name="套综交易情况" localSheetId="20">'[1]比较法-住宅、综合'!$A$75:$M$75</definedName>
    <definedName name="套综交易情况">'比较法-住宅、综合'!$A$75:$M$75</definedName>
    <definedName name="套综临街宽度及深度" localSheetId="20">'[1]比较法-住宅、综合'!$B$123:$M$123</definedName>
    <definedName name="套综临街宽度及深度">'比较法-住宅、综合'!$B$123:$M$123</definedName>
    <definedName name="套综土地级别" localSheetId="20">'[1]比较法-住宅、综合'!$B$110:$M$110</definedName>
    <definedName name="套综土地级别">'比较法-住宅、综合'!$B$110:$M$110</definedName>
    <definedName name="套综用途" localSheetId="20">'[1]比较法-住宅、综合'!$B$77:$M$77</definedName>
    <definedName name="套综用途">'比较法-住宅、综合'!$B$77:$M$77</definedName>
    <definedName name="套综宗地内开发程度" localSheetId="20">'[1]比较法-住宅、综合'!$B$125:$M$125</definedName>
    <definedName name="套综宗地内开发程度">'比较法-住宅、综合'!$B$125:$M$125</definedName>
    <definedName name="套综宗地形状" localSheetId="20">'[1]比较法-住宅、综合'!$B$121:$M$121</definedName>
    <definedName name="套综宗地形状">'比较法-住宅、综合'!$B$121:$M$121</definedName>
    <definedName name="土地估价师" localSheetId="20">[1]估价师及机构信息!$D$3:$D$24</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区片价!$M$1:$M$35</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[1]定义!$F$1:$F$10</definedName>
    <definedName name="主用途">定义!$F$1:$F$10</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E8" i="12"/>
  <c r="E10" i="12"/>
  <c r="C6" i="12"/>
  <c r="C13" i="12"/>
  <c r="C14" i="12"/>
  <c r="C15" i="12"/>
  <c r="D16" i="12"/>
  <c r="C16" i="12"/>
  <c r="C17" i="12"/>
  <c r="C18" i="12"/>
  <c r="D19" i="12"/>
  <c r="C19" i="12"/>
  <c r="D21" i="12"/>
  <c r="C21" i="12"/>
  <c r="D22" i="12"/>
  <c r="C22" i="12"/>
  <c r="C20" i="12"/>
  <c r="C23" i="12"/>
  <c r="C24" i="12"/>
  <c r="I5" i="65"/>
  <c r="E2" i="65"/>
  <c r="B40" i="1"/>
  <c r="F26" i="12"/>
  <c r="C28" i="12"/>
  <c r="C26" i="12"/>
  <c r="C29" i="12"/>
  <c r="C31" i="12"/>
  <c r="C30" i="12"/>
  <c r="F33" i="12"/>
  <c r="C35" i="12"/>
  <c r="C33" i="12"/>
  <c r="C27" i="12"/>
  <c r="D26" i="12"/>
  <c r="C32" i="12"/>
  <c r="D30" i="12"/>
  <c r="C34" i="12"/>
  <c r="D33" i="12"/>
  <c r="C36" i="12"/>
  <c r="B2" i="12"/>
  <c r="D19" i="9"/>
  <c r="G19" i="9"/>
  <c r="K19" i="9"/>
  <c r="B27" i="1"/>
  <c r="B28" i="1"/>
  <c r="E48" i="39"/>
  <c r="R48" i="39"/>
  <c r="E9" i="39"/>
  <c r="C74" i="39"/>
  <c r="D73" i="39"/>
  <c r="E73" i="39"/>
  <c r="F73" i="39"/>
  <c r="F9" i="39"/>
  <c r="AA9" i="39"/>
  <c r="E13" i="39"/>
  <c r="D82" i="39"/>
  <c r="C82" i="39"/>
  <c r="E82" i="39"/>
  <c r="K13" i="39"/>
  <c r="D83" i="39"/>
  <c r="E83" i="39"/>
  <c r="F83" i="39"/>
  <c r="G83" i="39"/>
  <c r="H83" i="39"/>
  <c r="I83" i="39"/>
  <c r="J83" i="39"/>
  <c r="K83" i="39"/>
  <c r="L83" i="39"/>
  <c r="M83" i="39"/>
  <c r="F13" i="39"/>
  <c r="AA13" i="39"/>
  <c r="D84" i="39"/>
  <c r="E14" i="39"/>
  <c r="C84" i="39"/>
  <c r="D85" i="39"/>
  <c r="C14" i="39"/>
  <c r="C85" i="39"/>
  <c r="F14" i="39"/>
  <c r="AA14" i="39"/>
  <c r="K17" i="39"/>
  <c r="D91" i="39"/>
  <c r="E91" i="39"/>
  <c r="F91" i="39"/>
  <c r="F17" i="39"/>
  <c r="AA17" i="39"/>
  <c r="K19" i="39"/>
  <c r="D93" i="39"/>
  <c r="E93" i="39"/>
  <c r="F93" i="39"/>
  <c r="F19" i="39"/>
  <c r="AA19" i="39"/>
  <c r="K23" i="39"/>
  <c r="D97" i="39"/>
  <c r="E97" i="39"/>
  <c r="F23" i="39"/>
  <c r="AA23" i="39"/>
  <c r="K25" i="39"/>
  <c r="D99" i="39"/>
  <c r="F25" i="39"/>
  <c r="AA25" i="39"/>
  <c r="K27" i="39"/>
  <c r="D101" i="39"/>
  <c r="F27" i="39"/>
  <c r="AA27" i="39"/>
  <c r="K29" i="39"/>
  <c r="D103" i="39"/>
  <c r="E103" i="39"/>
  <c r="F29" i="39"/>
  <c r="AA29" i="39"/>
  <c r="K31" i="39"/>
  <c r="D105" i="39"/>
  <c r="F31" i="39"/>
  <c r="AA31" i="39"/>
  <c r="F34" i="39"/>
  <c r="AA34" i="39"/>
  <c r="E40" i="39"/>
  <c r="F40" i="39"/>
  <c r="AA40" i="39"/>
  <c r="G48" i="39"/>
  <c r="T48" i="39"/>
  <c r="G9" i="39"/>
  <c r="H9" i="39"/>
  <c r="AB9" i="39"/>
  <c r="G13" i="39"/>
  <c r="H13" i="39"/>
  <c r="AB13" i="39"/>
  <c r="G14" i="39"/>
  <c r="H14" i="39"/>
  <c r="AB14" i="39"/>
  <c r="H17" i="39"/>
  <c r="AB17" i="39"/>
  <c r="H19" i="39"/>
  <c r="AB19" i="39"/>
  <c r="H23" i="39"/>
  <c r="AB23" i="39"/>
  <c r="H25" i="39"/>
  <c r="AB25" i="39"/>
  <c r="H27" i="39"/>
  <c r="AB27" i="39"/>
  <c r="H29" i="39"/>
  <c r="AB29" i="39"/>
  <c r="H31" i="39"/>
  <c r="AB31" i="39"/>
  <c r="H34" i="39"/>
  <c r="AB34" i="39"/>
  <c r="G40" i="39"/>
  <c r="H40" i="39"/>
  <c r="AB40" i="39"/>
  <c r="I48" i="39"/>
  <c r="V48" i="39"/>
  <c r="I9" i="39"/>
  <c r="J9" i="39"/>
  <c r="AC9" i="39"/>
  <c r="I13" i="39"/>
  <c r="J13" i="39"/>
  <c r="AC13" i="39"/>
  <c r="I14" i="39"/>
  <c r="J14" i="39"/>
  <c r="AC14" i="39"/>
  <c r="J17" i="39"/>
  <c r="AC17" i="39"/>
  <c r="J19" i="39"/>
  <c r="AC19" i="39"/>
  <c r="J23" i="39"/>
  <c r="AC23" i="39"/>
  <c r="J25" i="39"/>
  <c r="AC25" i="39"/>
  <c r="J27" i="39"/>
  <c r="AC27" i="39"/>
  <c r="J29" i="39"/>
  <c r="AC29" i="39"/>
  <c r="J31" i="39"/>
  <c r="AC31" i="39"/>
  <c r="J34" i="39"/>
  <c r="AC34" i="39"/>
  <c r="I40" i="39"/>
  <c r="J40" i="39"/>
  <c r="AC40" i="39"/>
  <c r="C8" i="12"/>
  <c r="C9" i="12"/>
  <c r="C10" i="12"/>
  <c r="E9" i="12"/>
  <c r="D9" i="12"/>
  <c r="D10" i="12"/>
  <c r="L14" i="1"/>
  <c r="K14" i="1"/>
  <c r="M14" i="1"/>
  <c r="O14" i="1"/>
  <c r="P14" i="1"/>
  <c r="K6" i="1"/>
  <c r="M6" i="1"/>
  <c r="O6" i="1"/>
  <c r="P6" i="1"/>
  <c r="A7" i="1"/>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E21" i="12"/>
  <c r="E22" i="12"/>
  <c r="B37" i="1"/>
  <c r="F23" i="12"/>
  <c r="B38" i="1"/>
  <c r="F24" i="12"/>
  <c r="B20" i="1"/>
  <c r="B22" i="1"/>
  <c r="C2" i="65"/>
  <c r="I1" i="65"/>
  <c r="B24" i="1"/>
  <c r="Q6" i="1"/>
  <c r="Q7" i="1"/>
  <c r="Q16" i="1"/>
  <c r="K34" i="39"/>
  <c r="F35" i="6"/>
  <c r="G8" i="1"/>
  <c r="G9" i="1"/>
  <c r="G10" i="1"/>
  <c r="F11" i="39"/>
  <c r="AA11" i="39"/>
  <c r="H11" i="39"/>
  <c r="AB11" i="39"/>
  <c r="J11" i="39"/>
  <c r="AC11" i="39"/>
  <c r="F15" i="12"/>
  <c r="G34" i="1"/>
  <c r="C77" i="39"/>
  <c r="E9" i="6"/>
  <c r="AD13" i="3"/>
  <c r="M13" i="3"/>
  <c r="K13" i="3"/>
  <c r="I13" i="3"/>
  <c r="D49" i="68"/>
  <c r="D48" i="68"/>
  <c r="D50" i="68"/>
  <c r="D41" i="68"/>
  <c r="D44" i="68"/>
  <c r="A3" i="3"/>
  <c r="H26" i="68"/>
  <c r="AK8" i="1"/>
  <c r="AL8" i="1"/>
  <c r="AM8" i="1"/>
  <c r="Y8" i="1"/>
  <c r="W8" i="1"/>
  <c r="I8" i="39"/>
  <c r="I7" i="39"/>
  <c r="G8" i="39"/>
  <c r="G7" i="39"/>
  <c r="E8" i="39"/>
  <c r="E7" i="39"/>
  <c r="D45" i="68"/>
  <c r="K6" i="68"/>
  <c r="K3" i="68"/>
  <c r="G73" i="39"/>
  <c r="H73" i="39"/>
  <c r="I73" i="39"/>
  <c r="J73" i="39"/>
  <c r="K73" i="39"/>
  <c r="L73" i="39"/>
  <c r="M73" i="39"/>
  <c r="N73" i="39"/>
  <c r="F77" i="39"/>
  <c r="E77" i="39"/>
  <c r="D77" i="39"/>
  <c r="X2" i="69"/>
  <c r="D36" i="68"/>
  <c r="D39" i="68"/>
  <c r="D38" i="68"/>
  <c r="H28" i="68"/>
  <c r="H27" i="68"/>
  <c r="H18" i="68"/>
  <c r="D40" i="68"/>
  <c r="G47" i="21"/>
  <c r="I47" i="21"/>
  <c r="E47" i="21"/>
  <c r="F8" i="68"/>
  <c r="BC13" i="3"/>
  <c r="F20" i="6"/>
  <c r="E20" i="6"/>
  <c r="F22" i="6"/>
  <c r="F21" i="6"/>
  <c r="F19" i="6"/>
  <c r="F5" i="68"/>
  <c r="X19" i="69"/>
  <c r="X18" i="69"/>
  <c r="X17" i="69"/>
  <c r="X16" i="69"/>
  <c r="X15" i="69"/>
  <c r="X14" i="69"/>
  <c r="X13" i="69"/>
  <c r="X12" i="69"/>
  <c r="X11" i="69"/>
  <c r="X10" i="69"/>
  <c r="X9" i="69"/>
  <c r="X8" i="69"/>
  <c r="X7" i="69"/>
  <c r="X6" i="69"/>
  <c r="X5" i="69"/>
  <c r="X4" i="69"/>
  <c r="X3" i="69"/>
  <c r="B5" i="4"/>
  <c r="B7" i="4"/>
  <c r="D3" i="4"/>
  <c r="AH5" i="59"/>
  <c r="AG5" i="59"/>
  <c r="AE5" i="59"/>
  <c r="AF5" i="59"/>
  <c r="AD5" i="59"/>
  <c r="Q5" i="59"/>
  <c r="AB5" i="59"/>
  <c r="P5" i="59"/>
  <c r="O5" i="59"/>
  <c r="Y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P6" i="59"/>
  <c r="AA5" i="59"/>
  <c r="P7" i="59"/>
  <c r="P8" i="59"/>
  <c r="P9" i="59"/>
  <c r="P10" i="59"/>
  <c r="P11" i="59"/>
  <c r="P12" i="59"/>
  <c r="P13" i="59"/>
  <c r="P14" i="59"/>
  <c r="P15" i="59"/>
  <c r="P16" i="59"/>
  <c r="P17" i="59"/>
  <c r="P18" i="59"/>
  <c r="P19" i="59"/>
  <c r="P20" i="59"/>
  <c r="P21" i="59"/>
  <c r="P22" i="59"/>
  <c r="P23" i="59"/>
  <c r="P24" i="59"/>
  <c r="P25" i="59"/>
  <c r="P26" i="59"/>
  <c r="O6" i="59"/>
  <c r="O7" i="59"/>
  <c r="O8" i="59"/>
  <c r="O9" i="59"/>
  <c r="O10" i="59"/>
  <c r="O11" i="59"/>
  <c r="O12" i="59"/>
  <c r="O13" i="59"/>
  <c r="O14" i="59"/>
  <c r="O15" i="59"/>
  <c r="O16" i="59"/>
  <c r="O17" i="59"/>
  <c r="O18" i="59"/>
  <c r="O19" i="59"/>
  <c r="O20" i="59"/>
  <c r="O21" i="59"/>
  <c r="O22" i="59"/>
  <c r="O23" i="59"/>
  <c r="O24" i="59"/>
  <c r="O25" i="59"/>
  <c r="O26" i="59"/>
  <c r="N6" i="59"/>
  <c r="X5" i="59"/>
  <c r="N7" i="59"/>
  <c r="N8" i="59"/>
  <c r="N9" i="59"/>
  <c r="N10" i="59"/>
  <c r="N11" i="59"/>
  <c r="N12" i="59"/>
  <c r="N13" i="59"/>
  <c r="N14" i="59"/>
  <c r="N15" i="59"/>
  <c r="N16" i="59"/>
  <c r="N17" i="59"/>
  <c r="N18" i="59"/>
  <c r="N19" i="59"/>
  <c r="N20" i="59"/>
  <c r="N21" i="59"/>
  <c r="N22" i="59"/>
  <c r="N23" i="59"/>
  <c r="N24" i="59"/>
  <c r="N25" i="59"/>
  <c r="N26"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B17" i="63"/>
  <c r="Y12" i="46"/>
  <c r="AA9" i="46"/>
  <c r="AB9" i="46"/>
  <c r="AB10" i="46"/>
  <c r="AC9" i="46"/>
  <c r="AD9" i="46"/>
  <c r="AD10" i="46"/>
  <c r="AE9" i="46"/>
  <c r="AE10" i="46"/>
  <c r="AF9" i="46"/>
  <c r="AF10" i="46"/>
  <c r="AG9" i="46"/>
  <c r="AH9" i="46"/>
  <c r="AH10" i="46"/>
  <c r="AI9" i="46"/>
  <c r="AJ9" i="46"/>
  <c r="AJ10" i="46"/>
  <c r="Z9" i="46"/>
  <c r="Z10" i="46"/>
  <c r="AG10" i="46"/>
  <c r="AC10" i="46"/>
  <c r="Y10" i="46"/>
  <c r="Z12" i="46"/>
  <c r="AG12" i="46"/>
  <c r="AE12" i="46"/>
  <c r="AC12" i="46"/>
  <c r="A21" i="64"/>
  <c r="B75" i="63"/>
  <c r="B73" i="63"/>
  <c r="A28" i="64"/>
  <c r="A27" i="64"/>
  <c r="A15" i="64"/>
  <c r="A14" i="64"/>
  <c r="A11" i="64"/>
  <c r="A3" i="64"/>
  <c r="A45" i="9"/>
  <c r="K40" i="9"/>
  <c r="A44" i="9"/>
  <c r="C56" i="10"/>
  <c r="C55" i="10"/>
  <c r="C54" i="10"/>
  <c r="A26" i="51"/>
  <c r="B19" i="63"/>
  <c r="B4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E54" i="59"/>
  <c r="P54" i="59"/>
  <c r="C55" i="59"/>
  <c r="B55" i="59"/>
  <c r="D52" i="59"/>
  <c r="Q51" i="59"/>
  <c r="P51" i="59"/>
  <c r="O51" i="59"/>
  <c r="N51" i="59"/>
  <c r="Q50" i="59"/>
  <c r="P50" i="59"/>
  <c r="O50" i="59"/>
  <c r="N50" i="59"/>
  <c r="Q49" i="59"/>
  <c r="P49" i="59"/>
  <c r="O49" i="59"/>
  <c r="N49" i="59"/>
  <c r="Q48" i="59"/>
  <c r="F49" i="59"/>
  <c r="P48" i="59"/>
  <c r="E49" i="59"/>
  <c r="E50" i="59"/>
  <c r="E51" i="59"/>
  <c r="U51" i="59"/>
  <c r="O48" i="59"/>
  <c r="C49" i="59"/>
  <c r="C50" i="59"/>
  <c r="D50"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C46" i="59"/>
  <c r="C47" i="59"/>
  <c r="D47"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D42"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B38" i="59"/>
  <c r="B39" i="59"/>
  <c r="S39"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D29" i="59"/>
  <c r="N28" i="59"/>
  <c r="B29" i="59"/>
  <c r="B30" i="59"/>
  <c r="B31" i="59"/>
  <c r="S31" i="59"/>
  <c r="D28" i="59"/>
  <c r="Q27" i="59"/>
  <c r="P27" i="59"/>
  <c r="O27" i="59"/>
  <c r="N27" i="59"/>
  <c r="AB26" i="59"/>
  <c r="Y26" i="59"/>
  <c r="Z26" i="59"/>
  <c r="X26" i="59"/>
  <c r="F25" i="59"/>
  <c r="E25" i="59"/>
  <c r="E26" i="59"/>
  <c r="E27" i="59"/>
  <c r="U27" i="59"/>
  <c r="C25" i="59"/>
  <c r="D25" i="59"/>
  <c r="B25" i="59"/>
  <c r="B26" i="59"/>
  <c r="B27" i="59"/>
  <c r="S27" i="59"/>
  <c r="D24" i="59"/>
  <c r="F21" i="59"/>
  <c r="F22" i="59"/>
  <c r="E21" i="59"/>
  <c r="E22" i="59"/>
  <c r="E23" i="59"/>
  <c r="U23" i="59"/>
  <c r="C21" i="59"/>
  <c r="B21" i="59"/>
  <c r="B22" i="59"/>
  <c r="B23" i="59"/>
  <c r="S23" i="59"/>
  <c r="D20" i="59"/>
  <c r="F17" i="59"/>
  <c r="C17" i="59"/>
  <c r="D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E38" i="59"/>
  <c r="E39" i="59"/>
  <c r="U39" i="59"/>
  <c r="Z25" i="59"/>
  <c r="AA26" i="59"/>
  <c r="F18" i="59"/>
  <c r="F19" i="59"/>
  <c r="V19" i="59"/>
  <c r="F23" i="59"/>
  <c r="V23" i="59"/>
  <c r="F26" i="59"/>
  <c r="F27" i="59"/>
  <c r="V27" i="59"/>
  <c r="F34" i="59"/>
  <c r="F35" i="59"/>
  <c r="V35" i="59"/>
  <c r="F42" i="59"/>
  <c r="F43" i="59"/>
  <c r="V43" i="59"/>
  <c r="F46" i="59"/>
  <c r="F47" i="59"/>
  <c r="V47" i="59"/>
  <c r="F50" i="59"/>
  <c r="F51" i="59"/>
  <c r="V51" i="59"/>
  <c r="C18" i="59"/>
  <c r="D18" i="59"/>
  <c r="C30" i="59"/>
  <c r="D30" i="59"/>
  <c r="C34" i="59"/>
  <c r="D34" i="59"/>
  <c r="D33" i="59"/>
  <c r="C38" i="59"/>
  <c r="D37" i="59"/>
  <c r="D45" i="59"/>
  <c r="C22" i="59"/>
  <c r="D21" i="59"/>
  <c r="E53" i="59"/>
  <c r="T55" i="59"/>
  <c r="O55" i="59"/>
  <c r="D55" i="59"/>
  <c r="C54" i="59"/>
  <c r="P55" i="59"/>
  <c r="U55" i="59"/>
  <c r="C58" i="59"/>
  <c r="C57" i="59"/>
  <c r="E58" i="59"/>
  <c r="E57" i="59"/>
  <c r="D59" i="59"/>
  <c r="C62" i="59"/>
  <c r="D62" i="59"/>
  <c r="E62" i="59"/>
  <c r="E61" i="59"/>
  <c r="C66" i="59"/>
  <c r="D66" i="59"/>
  <c r="E66" i="59"/>
  <c r="E65" i="59"/>
  <c r="D67" i="59"/>
  <c r="C70" i="59"/>
  <c r="C69" i="59"/>
  <c r="C74" i="59"/>
  <c r="U16" i="4"/>
  <c r="S16" i="4"/>
  <c r="Q16" i="4"/>
  <c r="O16" i="4"/>
  <c r="M16" i="4"/>
  <c r="L16" i="4"/>
  <c r="K16" i="4"/>
  <c r="P52" i="59"/>
  <c r="P53" i="59"/>
  <c r="D74" i="59"/>
  <c r="C73" i="59"/>
  <c r="D73" i="59"/>
  <c r="D58" i="59"/>
  <c r="D57" i="59"/>
  <c r="O54" i="59"/>
  <c r="D69" i="59"/>
  <c r="C61" i="59"/>
  <c r="D61" i="59"/>
  <c r="C23" i="59"/>
  <c r="D23" i="59"/>
  <c r="D22" i="59"/>
  <c r="D46" i="59"/>
  <c r="C39" i="59"/>
  <c r="D39" i="59"/>
  <c r="D38" i="59"/>
  <c r="C31" i="59"/>
  <c r="D31" i="59"/>
  <c r="C19" i="59"/>
  <c r="D19" i="59"/>
  <c r="T47" i="59"/>
  <c r="T39" i="59"/>
  <c r="T23" i="59"/>
  <c r="O27" i="6"/>
  <c r="N27" i="6"/>
  <c r="P26" i="6"/>
  <c r="L26" i="6"/>
  <c r="P25" i="6"/>
  <c r="L25" i="6"/>
  <c r="P24" i="6"/>
  <c r="L24" i="6"/>
  <c r="P23" i="6"/>
  <c r="L23" i="6"/>
  <c r="P22" i="6"/>
  <c r="L22" i="6"/>
  <c r="P21" i="6"/>
  <c r="L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D83" i="21"/>
  <c r="E83" i="21"/>
  <c r="F21" i="21"/>
  <c r="AA21" i="21"/>
  <c r="C21" i="21"/>
  <c r="Q27" i="40"/>
  <c r="Z27" i="40"/>
  <c r="D96" i="40"/>
  <c r="E96" i="40"/>
  <c r="F27" i="40"/>
  <c r="Q31" i="39"/>
  <c r="Z31" i="39"/>
  <c r="E105" i="39"/>
  <c r="G20" i="20"/>
  <c r="C22" i="20"/>
  <c r="S18" i="36"/>
  <c r="S21" i="37"/>
  <c r="S21" i="21"/>
  <c r="S31" i="39"/>
  <c r="B74" i="46"/>
  <c r="E66" i="36"/>
  <c r="H18" i="35"/>
  <c r="J18" i="35"/>
  <c r="H21" i="37"/>
  <c r="J21" i="37"/>
  <c r="E84" i="34"/>
  <c r="F84" i="34"/>
  <c r="G84" i="34"/>
  <c r="J21" i="34"/>
  <c r="H21" i="34"/>
  <c r="F21" i="33"/>
  <c r="H21" i="33"/>
  <c r="J21" i="33"/>
  <c r="F83" i="21"/>
  <c r="H21" i="21"/>
  <c r="G83" i="21"/>
  <c r="J21" i="21"/>
  <c r="F96" i="40"/>
  <c r="H27" i="40"/>
  <c r="F105" i="39"/>
  <c r="F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9" i="1"/>
  <c r="AP9" i="1"/>
  <c r="E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E22" i="6"/>
  <c r="E23" i="6"/>
  <c r="E24" i="6"/>
  <c r="E25" i="6"/>
  <c r="E26" i="6"/>
  <c r="D38" i="4"/>
  <c r="C39" i="4"/>
  <c r="C35" i="4"/>
  <c r="E16" i="12"/>
  <c r="F14" i="12"/>
  <c r="F17" i="12"/>
  <c r="E19"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c r="F30" i="36"/>
  <c r="AA30" i="36"/>
  <c r="C26" i="35"/>
  <c r="C79" i="35"/>
  <c r="J31" i="35"/>
  <c r="AC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E92" i="40"/>
  <c r="F92" i="40"/>
  <c r="G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E99" i="39"/>
  <c r="F99" i="39"/>
  <c r="G99" i="39"/>
  <c r="D95" i="39"/>
  <c r="E95" i="39"/>
  <c r="F95" i="39"/>
  <c r="G95" i="39"/>
  <c r="G93" i="39"/>
  <c r="G91" i="39"/>
  <c r="B88" i="39"/>
  <c r="H16"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J26" i="36"/>
  <c r="W26" i="36"/>
  <c r="B75" i="36"/>
  <c r="B73" i="36"/>
  <c r="B71" i="36"/>
  <c r="D70" i="36"/>
  <c r="H22" i="36"/>
  <c r="AB22" i="36"/>
  <c r="D68" i="36"/>
  <c r="E68" i="36"/>
  <c r="D64" i="36"/>
  <c r="E64" i="36"/>
  <c r="F64" i="36"/>
  <c r="G64" i="36"/>
  <c r="J16" i="36"/>
  <c r="D62" i="36"/>
  <c r="E62" i="36"/>
  <c r="F62" i="36"/>
  <c r="G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H36" i="35"/>
  <c r="AB36" i="35"/>
  <c r="B99" i="35"/>
  <c r="B97" i="35"/>
  <c r="B77" i="35"/>
  <c r="B75" i="35"/>
  <c r="J24" i="35"/>
  <c r="AC24" i="35"/>
  <c r="B73" i="35"/>
  <c r="B57" i="35"/>
  <c r="B61" i="35"/>
  <c r="J13" i="35"/>
  <c r="B59" i="35"/>
  <c r="H12" i="35"/>
  <c r="AB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F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AA43" i="34"/>
  <c r="Q42" i="34"/>
  <c r="Z42" i="34"/>
  <c r="Q41" i="34"/>
  <c r="Z41" i="34"/>
  <c r="Q40" i="34"/>
  <c r="Z40" i="34"/>
  <c r="F40" i="34"/>
  <c r="Q39" i="34"/>
  <c r="Z39" i="34"/>
  <c r="J39" i="34"/>
  <c r="AC39" i="34"/>
  <c r="H39" i="34"/>
  <c r="F39" i="34"/>
  <c r="S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c r="C7" i="33"/>
  <c r="C58" i="33"/>
  <c r="M102" i="21"/>
  <c r="D102" i="21"/>
  <c r="E102" i="21"/>
  <c r="F102" i="21"/>
  <c r="G102" i="21"/>
  <c r="H102" i="21"/>
  <c r="I102" i="21"/>
  <c r="J102" i="21"/>
  <c r="K102" i="21"/>
  <c r="L102" i="21"/>
  <c r="C102" i="21"/>
  <c r="C63" i="21"/>
  <c r="G18" i="20"/>
  <c r="B87" i="46"/>
  <c r="C25" i="40"/>
  <c r="G16" i="20"/>
  <c r="B81" i="46"/>
  <c r="G15" i="20"/>
  <c r="C24" i="20"/>
  <c r="C21" i="20"/>
  <c r="C20" i="20"/>
  <c r="C18" i="20"/>
  <c r="C17" i="20"/>
  <c r="C16" i="20"/>
  <c r="B47" i="46"/>
  <c r="C15" i="20"/>
  <c r="E54" i="21"/>
  <c r="F54" i="21"/>
  <c r="I54" i="21"/>
  <c r="J54" i="21"/>
  <c r="G54" i="21"/>
  <c r="H54" i="21"/>
  <c r="D125" i="21"/>
  <c r="D123" i="21"/>
  <c r="E123" i="21"/>
  <c r="F123" i="21"/>
  <c r="G123" i="21"/>
  <c r="H123" i="21"/>
  <c r="I123" i="21"/>
  <c r="J123" i="21"/>
  <c r="K123" i="21"/>
  <c r="L123" i="21"/>
  <c r="M123" i="21"/>
  <c r="H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H23" i="21"/>
  <c r="AB23" i="21"/>
  <c r="D81" i="21"/>
  <c r="E81" i="21"/>
  <c r="F81" i="21"/>
  <c r="G81" i="21"/>
  <c r="D77" i="21"/>
  <c r="E77" i="21"/>
  <c r="B130" i="21"/>
  <c r="B128" i="21"/>
  <c r="B126" i="21"/>
  <c r="B98" i="21"/>
  <c r="B96" i="21"/>
  <c r="B94" i="21"/>
  <c r="B92" i="21"/>
  <c r="F28" i="21"/>
  <c r="B90" i="21"/>
  <c r="B74" i="21"/>
  <c r="B72" i="21"/>
  <c r="B70" i="21"/>
  <c r="F12" i="21"/>
  <c r="AA12" i="21"/>
  <c r="F10" i="21"/>
  <c r="AA10" i="21"/>
  <c r="C7" i="21"/>
  <c r="E7" i="21"/>
  <c r="G7" i="21"/>
  <c r="I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J5" i="3"/>
  <c r="BE10" i="3"/>
  <c r="BD13" i="3"/>
  <c r="BD5" i="3"/>
  <c r="BE13" i="3"/>
  <c r="BF13" i="3"/>
  <c r="BF570" i="3"/>
  <c r="BF571" i="3"/>
  <c r="BF572" i="3"/>
  <c r="BF5"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L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H38" i="21"/>
  <c r="AB38" i="21"/>
  <c r="F38" i="21"/>
  <c r="S38" i="21"/>
  <c r="F36" i="21"/>
  <c r="F39" i="21"/>
  <c r="J40" i="21"/>
  <c r="H35" i="21"/>
  <c r="J8" i="21"/>
  <c r="J9" i="21"/>
  <c r="H8" i="21"/>
  <c r="AB8" i="21"/>
  <c r="H10" i="21"/>
  <c r="U10" i="21"/>
  <c r="H39" i="21"/>
  <c r="AB39" i="21"/>
  <c r="J34" i="21"/>
  <c r="W34" i="21"/>
  <c r="H36" i="21"/>
  <c r="U36" i="21"/>
  <c r="F35" i="21"/>
  <c r="AA35" i="21"/>
  <c r="J10" i="21"/>
  <c r="H26" i="21"/>
  <c r="U26" i="21"/>
  <c r="F19" i="21"/>
  <c r="AA19" i="21"/>
  <c r="H19" i="21"/>
  <c r="AB19" i="21"/>
  <c r="J19" i="21"/>
  <c r="W19" i="21"/>
  <c r="J12" i="21"/>
  <c r="H12" i="21"/>
  <c r="J26" i="21"/>
  <c r="F26" i="21"/>
  <c r="AA26" i="21"/>
  <c r="AB41" i="21"/>
  <c r="S41" i="21"/>
  <c r="AA41" i="21"/>
  <c r="W41" i="21"/>
  <c r="S10" i="39"/>
  <c r="E103" i="37"/>
  <c r="F103" i="37"/>
  <c r="G103" i="37"/>
  <c r="H103" i="37"/>
  <c r="I103" i="37"/>
  <c r="J103" i="37"/>
  <c r="K103" i="37"/>
  <c r="L103" i="37"/>
  <c r="M103" i="37"/>
  <c r="W39" i="37"/>
  <c r="F29" i="36"/>
  <c r="AA29" i="36"/>
  <c r="F16" i="36"/>
  <c r="AA16" i="36"/>
  <c r="U22" i="36"/>
  <c r="W23" i="36"/>
  <c r="W22" i="36"/>
  <c r="U26" i="36"/>
  <c r="J33" i="36"/>
  <c r="W33" i="36"/>
  <c r="AC27" i="35"/>
  <c r="U31" i="35"/>
  <c r="S34" i="35"/>
  <c r="W24" i="35"/>
  <c r="W31" i="35"/>
  <c r="F36" i="34"/>
  <c r="S36" i="34"/>
  <c r="W9" i="34"/>
  <c r="W39" i="34"/>
  <c r="H39" i="33"/>
  <c r="AB39" i="33"/>
  <c r="U33" i="33"/>
  <c r="W38" i="33"/>
  <c r="S40" i="33"/>
  <c r="S33" i="33"/>
  <c r="W33" i="33"/>
  <c r="U38" i="33"/>
  <c r="S8" i="21"/>
  <c r="H39" i="37"/>
  <c r="AB27" i="35"/>
  <c r="S10" i="40"/>
  <c r="W10" i="40"/>
  <c r="S11" i="40"/>
  <c r="U11" i="40"/>
  <c r="S36" i="40"/>
  <c r="U36" i="40"/>
  <c r="S36" i="39"/>
  <c r="AA38" i="21"/>
  <c r="AB36" i="21"/>
  <c r="AC35" i="21"/>
  <c r="U36" i="39"/>
  <c r="H32" i="33"/>
  <c r="AB32" i="33"/>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S10" i="36"/>
  <c r="AB8" i="36"/>
  <c r="H16" i="35"/>
  <c r="U16" i="35"/>
  <c r="H33" i="35"/>
  <c r="AB33" i="35"/>
  <c r="W8" i="35"/>
  <c r="AC8" i="35"/>
  <c r="F35" i="37"/>
  <c r="E101" i="37"/>
  <c r="F101" i="37"/>
  <c r="G101" i="37"/>
  <c r="H101" i="37"/>
  <c r="I101" i="37"/>
  <c r="J101" i="37"/>
  <c r="K101" i="37"/>
  <c r="L101" i="37"/>
  <c r="M101" i="37"/>
  <c r="J34" i="37"/>
  <c r="W34" i="37"/>
  <c r="H43" i="34"/>
  <c r="AB43" i="34"/>
  <c r="U42" i="34"/>
  <c r="E114" i="34"/>
  <c r="F114" i="34"/>
  <c r="H36" i="34"/>
  <c r="U36" i="34"/>
  <c r="F37" i="34"/>
  <c r="AA37" i="34"/>
  <c r="F33" i="34"/>
  <c r="S33" i="34"/>
  <c r="F19" i="34"/>
  <c r="AA19" i="34"/>
  <c r="J10" i="34"/>
  <c r="AC10" i="34"/>
  <c r="U9" i="34"/>
  <c r="W8" i="34"/>
  <c r="J28" i="34"/>
  <c r="W28" i="34"/>
  <c r="S38" i="33"/>
  <c r="E113" i="33"/>
  <c r="F36" i="33"/>
  <c r="S36" i="33"/>
  <c r="F19" i="33"/>
  <c r="S19" i="33"/>
  <c r="J19" i="33"/>
  <c r="W19" i="33"/>
  <c r="S10" i="21"/>
  <c r="W40" i="33"/>
  <c r="AB30" i="36"/>
  <c r="S22" i="35"/>
  <c r="H29" i="35"/>
  <c r="U34" i="37"/>
  <c r="AA34" i="37"/>
  <c r="AC43" i="34"/>
  <c r="AB42" i="34"/>
  <c r="J19" i="34"/>
  <c r="AC19" i="34"/>
  <c r="F113" i="33"/>
  <c r="G113" i="33"/>
  <c r="H113" i="33"/>
  <c r="I113" i="33"/>
  <c r="J113" i="33"/>
  <c r="K113" i="33"/>
  <c r="L113" i="33"/>
  <c r="M113" i="33"/>
  <c r="H37" i="33"/>
  <c r="AB37" i="33"/>
  <c r="S37" i="33"/>
  <c r="W43" i="34"/>
  <c r="AA42" i="34"/>
  <c r="S42" i="34"/>
  <c r="W38" i="34"/>
  <c r="J37" i="33"/>
  <c r="W37" i="33"/>
  <c r="J42" i="21"/>
  <c r="AC42" i="21"/>
  <c r="J44" i="34"/>
  <c r="AC44" i="34"/>
  <c r="F44" i="34"/>
  <c r="S44" i="34"/>
  <c r="J10" i="35"/>
  <c r="W10" i="35"/>
  <c r="AL5" i="3"/>
  <c r="BQ13" i="3"/>
  <c r="BL572" i="3"/>
  <c r="J14" i="21"/>
  <c r="F14" i="21"/>
  <c r="AA14" i="21"/>
  <c r="H14" i="21"/>
  <c r="H28" i="21"/>
  <c r="J28" i="21"/>
  <c r="AC28" i="21"/>
  <c r="H30" i="21"/>
  <c r="U30" i="21"/>
  <c r="F30" i="21"/>
  <c r="S30" i="21"/>
  <c r="J30" i="21"/>
  <c r="W30" i="21"/>
  <c r="J44" i="21"/>
  <c r="H44" i="21"/>
  <c r="U44" i="21"/>
  <c r="F44" i="21"/>
  <c r="H46" i="21"/>
  <c r="J46" i="21"/>
  <c r="W46" i="21"/>
  <c r="F46" i="21"/>
  <c r="AA46" i="21"/>
  <c r="H26" i="33"/>
  <c r="U26" i="33"/>
  <c r="F33" i="35"/>
  <c r="S33" i="35"/>
  <c r="J33" i="35"/>
  <c r="W33" i="35"/>
  <c r="F30" i="35"/>
  <c r="AA30" i="35"/>
  <c r="F89" i="35"/>
  <c r="G89" i="35"/>
  <c r="H89" i="35"/>
  <c r="I89" i="35"/>
  <c r="J89" i="35"/>
  <c r="K89" i="35"/>
  <c r="L89" i="35"/>
  <c r="M89" i="35"/>
  <c r="H10" i="36"/>
  <c r="AB10" i="36"/>
  <c r="F28" i="36"/>
  <c r="F27" i="36"/>
  <c r="H13" i="21"/>
  <c r="J13" i="21"/>
  <c r="AC13" i="21"/>
  <c r="F13" i="21"/>
  <c r="AA13" i="21"/>
  <c r="H27" i="21"/>
  <c r="AB27" i="21"/>
  <c r="J27" i="21"/>
  <c r="W27" i="21"/>
  <c r="F27" i="21"/>
  <c r="AA27" i="21"/>
  <c r="J29" i="21"/>
  <c r="H29" i="21"/>
  <c r="F29" i="21"/>
  <c r="J31" i="21"/>
  <c r="H31" i="21"/>
  <c r="U31" i="21"/>
  <c r="F31" i="21"/>
  <c r="J45" i="21"/>
  <c r="W45" i="21"/>
  <c r="F45" i="21"/>
  <c r="H45" i="21"/>
  <c r="J27" i="33"/>
  <c r="F27" i="33"/>
  <c r="F13" i="33"/>
  <c r="J29" i="33"/>
  <c r="J31" i="33"/>
  <c r="H31" i="33"/>
  <c r="U31" i="33"/>
  <c r="S31" i="33"/>
  <c r="F11" i="35"/>
  <c r="S11" i="35"/>
  <c r="H28" i="36"/>
  <c r="U28" i="36"/>
  <c r="H32" i="36"/>
  <c r="AB32" i="36"/>
  <c r="J32" i="36"/>
  <c r="J11" i="36"/>
  <c r="H13" i="36"/>
  <c r="AB13" i="36"/>
  <c r="J13" i="36"/>
  <c r="W13" i="36"/>
  <c r="F13" i="36"/>
  <c r="E89" i="37"/>
  <c r="F89" i="37"/>
  <c r="G89" i="37"/>
  <c r="H89" i="37"/>
  <c r="I89" i="37"/>
  <c r="J89" i="37"/>
  <c r="K89" i="37"/>
  <c r="L89" i="37"/>
  <c r="M89" i="37"/>
  <c r="J29" i="37"/>
  <c r="W29" i="37"/>
  <c r="F29" i="37"/>
  <c r="AA29" i="37"/>
  <c r="F105" i="37"/>
  <c r="AB36" i="37"/>
  <c r="F107" i="37"/>
  <c r="J37" i="37"/>
  <c r="H37" i="37"/>
  <c r="H40" i="37"/>
  <c r="J40" i="37"/>
  <c r="AC40" i="37"/>
  <c r="F40" i="37"/>
  <c r="AA40" i="37"/>
  <c r="H14" i="33"/>
  <c r="U14" i="33"/>
  <c r="F14" i="33"/>
  <c r="AA14" i="33"/>
  <c r="J14" i="33"/>
  <c r="AC14" i="33"/>
  <c r="H30" i="33"/>
  <c r="AB30" i="33"/>
  <c r="F30" i="33"/>
  <c r="S30" i="33"/>
  <c r="J30" i="33"/>
  <c r="H44" i="33"/>
  <c r="J44" i="33"/>
  <c r="F44" i="33"/>
  <c r="J46" i="33"/>
  <c r="F46" i="33"/>
  <c r="AA46" i="33"/>
  <c r="H46" i="33"/>
  <c r="H13" i="34"/>
  <c r="U13" i="34"/>
  <c r="J13" i="34"/>
  <c r="F13" i="34"/>
  <c r="J29" i="34"/>
  <c r="AC29" i="34"/>
  <c r="F29" i="34"/>
  <c r="H29" i="34"/>
  <c r="U29" i="34"/>
  <c r="J31" i="34"/>
  <c r="H31" i="34"/>
  <c r="AB31" i="34"/>
  <c r="F31" i="34"/>
  <c r="H45" i="34"/>
  <c r="J45" i="34"/>
  <c r="W45" i="34"/>
  <c r="F45" i="34"/>
  <c r="H47" i="34"/>
  <c r="F47" i="34"/>
  <c r="AA47" i="34"/>
  <c r="J47" i="34"/>
  <c r="F13" i="35"/>
  <c r="S13" i="35"/>
  <c r="H13" i="35"/>
  <c r="U13" i="35"/>
  <c r="J25" i="35"/>
  <c r="F25" i="35"/>
  <c r="AA25" i="35"/>
  <c r="H25" i="35"/>
  <c r="AB25" i="35"/>
  <c r="J35" i="35"/>
  <c r="F35" i="35"/>
  <c r="H35" i="35"/>
  <c r="J25" i="36"/>
  <c r="F25" i="36"/>
  <c r="AA25" i="36"/>
  <c r="H25" i="36"/>
  <c r="AB25" i="36"/>
  <c r="H13" i="37"/>
  <c r="F13" i="37"/>
  <c r="J13" i="37"/>
  <c r="AC13" i="37"/>
  <c r="F28" i="37"/>
  <c r="J28" i="37"/>
  <c r="AC28" i="37"/>
  <c r="H28" i="37"/>
  <c r="U28" i="37"/>
  <c r="H38" i="37"/>
  <c r="J38" i="37"/>
  <c r="F38" i="37"/>
  <c r="S38" i="37"/>
  <c r="F14" i="37"/>
  <c r="AA14" i="37"/>
  <c r="F27" i="37"/>
  <c r="AA27" i="37"/>
  <c r="J14" i="37"/>
  <c r="W14" i="37"/>
  <c r="J27" i="37"/>
  <c r="AB13" i="35"/>
  <c r="U30" i="33"/>
  <c r="J36" i="37"/>
  <c r="AC36" i="37"/>
  <c r="G105" i="37"/>
  <c r="AB28" i="36"/>
  <c r="AB31" i="21"/>
  <c r="S46" i="21"/>
  <c r="AC30" i="21"/>
  <c r="AB30" i="21"/>
  <c r="W14" i="21"/>
  <c r="AC14" i="21"/>
  <c r="W42" i="21"/>
  <c r="S46" i="33"/>
  <c r="U36" i="37"/>
  <c r="AC13" i="36"/>
  <c r="AB31" i="33"/>
  <c r="AB27" i="33"/>
  <c r="AB44" i="21"/>
  <c r="S19" i="21"/>
  <c r="G529" i="3"/>
  <c r="G517" i="3"/>
  <c r="G513" i="3"/>
  <c r="G508" i="3"/>
  <c r="G499" i="3"/>
  <c r="G493" i="3"/>
  <c r="G485" i="3"/>
  <c r="G17" i="3"/>
  <c r="G565" i="3"/>
  <c r="G561" i="3"/>
  <c r="G549" i="3"/>
  <c r="G539" i="3"/>
  <c r="BA569" i="3"/>
  <c r="BL561" i="3"/>
  <c r="BL553" i="3"/>
  <c r="BL535" i="3"/>
  <c r="BL527" i="3"/>
  <c r="BL519" i="3"/>
  <c r="BL501" i="3"/>
  <c r="AZ501" i="3"/>
  <c r="BL483" i="3"/>
  <c r="G16" i="3"/>
  <c r="BL563" i="3"/>
  <c r="BA559" i="3"/>
  <c r="BL555" i="3"/>
  <c r="BL551" i="3"/>
  <c r="BL541" i="3"/>
  <c r="BL525" i="3"/>
  <c r="G518" i="3"/>
  <c r="G514" i="3"/>
  <c r="BL503" i="3"/>
  <c r="BL495" i="3"/>
  <c r="BL485" i="3"/>
  <c r="G18" i="3"/>
  <c r="BA565" i="3"/>
  <c r="BA551" i="3"/>
  <c r="AZ551" i="3"/>
  <c r="BA543" i="3"/>
  <c r="BA541" i="3"/>
  <c r="AZ541" i="3"/>
  <c r="BA521" i="3"/>
  <c r="BA505" i="3"/>
  <c r="BA501" i="3"/>
  <c r="BA493" i="3"/>
  <c r="BA487" i="3"/>
  <c r="BA19" i="3"/>
  <c r="BA566" i="3"/>
  <c r="BA562" i="3"/>
  <c r="AZ562" i="3"/>
  <c r="BA558" i="3"/>
  <c r="BA554" i="3"/>
  <c r="AZ554" i="3"/>
  <c r="BA550" i="3"/>
  <c r="BQ550" i="3"/>
  <c r="BL550" i="3"/>
  <c r="AZ550" i="3"/>
  <c r="BA544" i="3"/>
  <c r="BA540" i="3"/>
  <c r="BA536" i="3"/>
  <c r="BA528" i="3"/>
  <c r="BA524" i="3"/>
  <c r="BA520" i="3"/>
  <c r="BQ520" i="3"/>
  <c r="BL520" i="3"/>
  <c r="BA516" i="3"/>
  <c r="BA512" i="3"/>
  <c r="BA508" i="3"/>
  <c r="BA502" i="3"/>
  <c r="BQ502" i="3"/>
  <c r="BL502" i="3"/>
  <c r="AZ502" i="3"/>
  <c r="BA498" i="3"/>
  <c r="BA492" i="3"/>
  <c r="BQ492" i="3"/>
  <c r="BL492" i="3"/>
  <c r="BA488" i="3"/>
  <c r="AZ488" i="3"/>
  <c r="BA484" i="3"/>
  <c r="BQ484" i="3"/>
  <c r="BL484" i="3"/>
  <c r="AZ484" i="3"/>
  <c r="G566" i="3"/>
  <c r="G562" i="3"/>
  <c r="G558" i="3"/>
  <c r="G554" i="3"/>
  <c r="G550" i="3"/>
  <c r="G546" i="3"/>
  <c r="BA542" i="3"/>
  <c r="AC542" i="3"/>
  <c r="G542" i="3"/>
  <c r="BQ542" i="3"/>
  <c r="BL542" i="3"/>
  <c r="AZ542" i="3"/>
  <c r="BQ568" i="3"/>
  <c r="BQ566" i="3"/>
  <c r="BQ564" i="3"/>
  <c r="BL564" i="3"/>
  <c r="BQ562" i="3"/>
  <c r="BL562" i="3"/>
  <c r="BQ560" i="3"/>
  <c r="BQ558" i="3"/>
  <c r="BQ556" i="3"/>
  <c r="BQ554" i="3"/>
  <c r="BQ552" i="3"/>
  <c r="BQ548" i="3"/>
  <c r="BQ546" i="3"/>
  <c r="BL546" i="3"/>
  <c r="BQ544" i="3"/>
  <c r="BL544" i="3"/>
  <c r="G544" i="3"/>
  <c r="G538" i="3"/>
  <c r="G534" i="3"/>
  <c r="G530" i="3"/>
  <c r="G526" i="3"/>
  <c r="BQ540" i="3"/>
  <c r="BL540" i="3"/>
  <c r="AZ540" i="3"/>
  <c r="BQ538" i="3"/>
  <c r="BL538" i="3"/>
  <c r="BQ536" i="3"/>
  <c r="BL536" i="3"/>
  <c r="BQ534" i="3"/>
  <c r="BL534" i="3"/>
  <c r="BQ532" i="3"/>
  <c r="BL532" i="3"/>
  <c r="BQ530" i="3"/>
  <c r="BQ528" i="3"/>
  <c r="BL528" i="3"/>
  <c r="AZ528" i="3"/>
  <c r="BQ526" i="3"/>
  <c r="BL526" i="3"/>
  <c r="BQ524" i="3"/>
  <c r="BL524" i="3"/>
  <c r="AZ524" i="3"/>
  <c r="BQ522" i="3"/>
  <c r="BQ518" i="3"/>
  <c r="BL518" i="3"/>
  <c r="BQ516" i="3"/>
  <c r="BL516" i="3"/>
  <c r="BQ514" i="3"/>
  <c r="BL514" i="3"/>
  <c r="BQ512" i="3"/>
  <c r="BQ510" i="3"/>
  <c r="BQ508" i="3"/>
  <c r="AC506" i="3"/>
  <c r="G506" i="3"/>
  <c r="BQ506" i="3"/>
  <c r="G502" i="3"/>
  <c r="G498" i="3"/>
  <c r="BQ504" i="3"/>
  <c r="BQ500" i="3"/>
  <c r="BL500" i="3"/>
  <c r="BQ498" i="3"/>
  <c r="BL498" i="3"/>
  <c r="AZ498" i="3"/>
  <c r="BQ496" i="3"/>
  <c r="AC494" i="3"/>
  <c r="G494" i="3"/>
  <c r="BQ494" i="3"/>
  <c r="G492" i="3"/>
  <c r="G488" i="3"/>
  <c r="G484" i="3"/>
  <c r="BQ490" i="3"/>
  <c r="BQ488" i="3"/>
  <c r="BL488" i="3"/>
  <c r="BQ486"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F125" i="33"/>
  <c r="G125" i="33"/>
  <c r="H43" i="33"/>
  <c r="U43" i="33"/>
  <c r="H17" i="37"/>
  <c r="U17" i="37"/>
  <c r="F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D3" i="21"/>
  <c r="AC33" i="36"/>
  <c r="AC12" i="35"/>
  <c r="S27" i="37"/>
  <c r="AC8" i="37"/>
  <c r="AC36" i="34"/>
  <c r="AB8" i="34"/>
  <c r="AC37" i="33"/>
  <c r="U19" i="21"/>
  <c r="S39" i="33"/>
  <c r="F43" i="33"/>
  <c r="AA43" i="33"/>
  <c r="S10" i="35"/>
  <c r="G107" i="37"/>
  <c r="H107" i="37"/>
  <c r="I107" i="37"/>
  <c r="J107" i="37"/>
  <c r="K107" i="37"/>
  <c r="L107" i="37"/>
  <c r="M107" i="37"/>
  <c r="F37" i="21"/>
  <c r="H19" i="34"/>
  <c r="J10" i="37"/>
  <c r="W10" i="37"/>
  <c r="F36" i="35"/>
  <c r="S36" i="35"/>
  <c r="H9" i="37"/>
  <c r="U9" i="37"/>
  <c r="F11" i="37"/>
  <c r="J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90" i="40"/>
  <c r="F21" i="40"/>
  <c r="S21" i="40"/>
  <c r="W36" i="40"/>
  <c r="J21" i="40"/>
  <c r="AC21" i="40"/>
  <c r="G90" i="40"/>
  <c r="S27" i="31"/>
  <c r="G483" i="3"/>
  <c r="G515" i="3"/>
  <c r="G501" i="3"/>
  <c r="BA15" i="3"/>
  <c r="BL17" i="3"/>
  <c r="AZ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AZ361" i="3"/>
  <c r="BL361" i="3"/>
  <c r="G362" i="3"/>
  <c r="BA363" i="3"/>
  <c r="G371" i="3"/>
  <c r="BL372" i="3"/>
  <c r="G373" i="3"/>
  <c r="BL374" i="3"/>
  <c r="BA376" i="3"/>
  <c r="AZ376" i="3"/>
  <c r="BA377" i="3"/>
  <c r="BL377" i="3"/>
  <c r="AZ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AZ158" i="3"/>
  <c r="G159" i="3"/>
  <c r="BA161" i="3"/>
  <c r="AZ161" i="3"/>
  <c r="BL162" i="3"/>
  <c r="G163" i="3"/>
  <c r="BA165" i="3"/>
  <c r="AZ165" i="3"/>
  <c r="BL166" i="3"/>
  <c r="AZ166" i="3"/>
  <c r="G167" i="3"/>
  <c r="BA169" i="3"/>
  <c r="AZ169" i="3"/>
  <c r="BL170" i="3"/>
  <c r="AZ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62" i="3"/>
  <c r="AZ179" i="3"/>
  <c r="AZ183" i="3"/>
  <c r="AZ187" i="3"/>
  <c r="AZ191" i="3"/>
  <c r="AZ195" i="3"/>
  <c r="AZ199" i="3"/>
  <c r="AZ203" i="3"/>
  <c r="BL297" i="3"/>
  <c r="AZ297" i="3"/>
  <c r="G298" i="3"/>
  <c r="BA300" i="3"/>
  <c r="BL301" i="3"/>
  <c r="AZ301" i="3"/>
  <c r="G302" i="3"/>
  <c r="BA304" i="3"/>
  <c r="AZ304" i="3"/>
  <c r="G306" i="3"/>
  <c r="BA308" i="3"/>
  <c r="AZ308" i="3"/>
  <c r="BL309" i="3"/>
  <c r="G310" i="3"/>
  <c r="BA310" i="3"/>
  <c r="AZ310" i="3"/>
  <c r="BL311" i="3"/>
  <c r="G312" i="3"/>
  <c r="BA312" i="3"/>
  <c r="AZ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G330" i="3"/>
  <c r="BA332" i="3"/>
  <c r="AZ332" i="3"/>
  <c r="BL333" i="3"/>
  <c r="G334" i="3"/>
  <c r="BA336" i="3"/>
  <c r="AZ336" i="3"/>
  <c r="BL337" i="3"/>
  <c r="G338" i="3"/>
  <c r="BA340" i="3"/>
  <c r="AZ340" i="3"/>
  <c r="BL341" i="3"/>
  <c r="G342" i="3"/>
  <c r="BA344" i="3"/>
  <c r="AZ344"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AC26" i="36"/>
  <c r="AZ300" i="3"/>
  <c r="AZ322" i="3"/>
  <c r="AA36" i="35"/>
  <c r="H11" i="37"/>
  <c r="AB11" i="37"/>
  <c r="AA30" i="33"/>
  <c r="AA36" i="37"/>
  <c r="S42" i="33"/>
  <c r="U32" i="33"/>
  <c r="AB17" i="37"/>
  <c r="AC10" i="36"/>
  <c r="AC14" i="37"/>
  <c r="S25" i="35"/>
  <c r="AC30" i="33"/>
  <c r="W30" i="33"/>
  <c r="AC29" i="37"/>
  <c r="W32" i="36"/>
  <c r="AC32" i="36"/>
  <c r="J33" i="34"/>
  <c r="AC33" i="34"/>
  <c r="AB36" i="34"/>
  <c r="J40" i="34"/>
  <c r="F16" i="35"/>
  <c r="J35" i="34"/>
  <c r="F107" i="34"/>
  <c r="G107" i="34"/>
  <c r="H107" i="34"/>
  <c r="I107" i="34"/>
  <c r="J107" i="34"/>
  <c r="K107" i="34"/>
  <c r="L107" i="34"/>
  <c r="M107" i="34"/>
  <c r="S30" i="36"/>
  <c r="H16" i="36"/>
  <c r="AB16" i="36"/>
  <c r="H35" i="37"/>
  <c r="AB35" i="37"/>
  <c r="H32" i="21"/>
  <c r="U32" i="21"/>
  <c r="U39" i="21"/>
  <c r="J32" i="21"/>
  <c r="AC32" i="21"/>
  <c r="F17" i="21"/>
  <c r="S17" i="21"/>
  <c r="H17" i="21"/>
  <c r="J17" i="21"/>
  <c r="F40" i="21"/>
  <c r="S40" i="21"/>
  <c r="H40" i="21"/>
  <c r="E119" i="21"/>
  <c r="F119" i="21"/>
  <c r="G119" i="21"/>
  <c r="H119" i="21"/>
  <c r="I119" i="21"/>
  <c r="J119" i="21"/>
  <c r="K119" i="21"/>
  <c r="L119" i="21"/>
  <c r="M119" i="21"/>
  <c r="AC8" i="33"/>
  <c r="H66" i="33"/>
  <c r="F10" i="33"/>
  <c r="AA10" i="33"/>
  <c r="F11" i="33"/>
  <c r="S11" i="33"/>
  <c r="J15" i="33"/>
  <c r="W15" i="33"/>
  <c r="H19" i="33"/>
  <c r="AB19" i="33"/>
  <c r="F32" i="33"/>
  <c r="AA32" i="33"/>
  <c r="J32" i="33"/>
  <c r="AC32" i="33"/>
  <c r="F35" i="33"/>
  <c r="AA35" i="33"/>
  <c r="F11" i="34"/>
  <c r="H17" i="34"/>
  <c r="AB17" i="34"/>
  <c r="S12" i="35"/>
  <c r="AB28" i="35"/>
  <c r="U28" i="35"/>
  <c r="H11" i="35"/>
  <c r="J11" i="35"/>
  <c r="AC11" i="35"/>
  <c r="F96" i="37"/>
  <c r="H32" i="37"/>
  <c r="AB32" i="37"/>
  <c r="S19" i="39"/>
  <c r="U19" i="39"/>
  <c r="F43" i="39"/>
  <c r="AA43" i="39"/>
  <c r="H43" i="39"/>
  <c r="U43" i="39"/>
  <c r="J43" i="39"/>
  <c r="AC43" i="39"/>
  <c r="U25" i="35"/>
  <c r="W40" i="37"/>
  <c r="AC45" i="21"/>
  <c r="S14" i="21"/>
  <c r="AA44" i="34"/>
  <c r="AB29" i="35"/>
  <c r="U29" i="35"/>
  <c r="AC19" i="33"/>
  <c r="AC34" i="37"/>
  <c r="S35" i="37"/>
  <c r="AA35" i="37"/>
  <c r="AB10" i="35"/>
  <c r="U38" i="21"/>
  <c r="AB34" i="21"/>
  <c r="F42" i="21"/>
  <c r="AA42" i="21"/>
  <c r="AB40" i="33"/>
  <c r="U40" i="33"/>
  <c r="AA35" i="34"/>
  <c r="S35" i="34"/>
  <c r="E90" i="34"/>
  <c r="F90" i="34"/>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AB14" i="37"/>
  <c r="U17" i="39"/>
  <c r="W17" i="39"/>
  <c r="F21" i="39"/>
  <c r="S21" i="39"/>
  <c r="H21" i="39"/>
  <c r="J21" i="39"/>
  <c r="F33" i="39"/>
  <c r="S33" i="39"/>
  <c r="H33" i="39"/>
  <c r="U33" i="39"/>
  <c r="J33" i="39"/>
  <c r="F44" i="39"/>
  <c r="S44" i="39"/>
  <c r="H44" i="39"/>
  <c r="J44" i="39"/>
  <c r="E128" i="39"/>
  <c r="F128" i="39"/>
  <c r="G128" i="39"/>
  <c r="H128" i="39"/>
  <c r="I128" i="39"/>
  <c r="J128" i="39"/>
  <c r="K128" i="39"/>
  <c r="L128" i="39"/>
  <c r="M128" i="39"/>
  <c r="F46" i="39"/>
  <c r="S46" i="39"/>
  <c r="H46" i="39"/>
  <c r="U46" i="39"/>
  <c r="J46" i="39"/>
  <c r="W46" i="39"/>
  <c r="F103" i="39"/>
  <c r="G103" i="39"/>
  <c r="F39" i="39"/>
  <c r="S39" i="39"/>
  <c r="H39" i="39"/>
  <c r="AB39" i="39"/>
  <c r="J39" i="39"/>
  <c r="AC39" i="39"/>
  <c r="J29" i="35"/>
  <c r="F29" i="35"/>
  <c r="W30" i="36"/>
  <c r="AC30" i="36"/>
  <c r="F37" i="39"/>
  <c r="S37" i="39"/>
  <c r="H37" i="39"/>
  <c r="U37" i="39"/>
  <c r="J37" i="39"/>
  <c r="BL568" i="3"/>
  <c r="BA567" i="3"/>
  <c r="BL566" i="3"/>
  <c r="AZ566" i="3"/>
  <c r="BL565" i="3"/>
  <c r="BA564" i="3"/>
  <c r="AZ564" i="3"/>
  <c r="BA563" i="3"/>
  <c r="AZ563" i="3"/>
  <c r="BL554" i="3"/>
  <c r="BA553" i="3"/>
  <c r="AZ553" i="3"/>
  <c r="BA552" i="3"/>
  <c r="BL549" i="3"/>
  <c r="AZ549" i="3"/>
  <c r="BA549" i="3"/>
  <c r="BL548" i="3"/>
  <c r="AZ548" i="3"/>
  <c r="BA548" i="3"/>
  <c r="BL547" i="3"/>
  <c r="BL539" i="3"/>
  <c r="BA539" i="3"/>
  <c r="AZ539" i="3"/>
  <c r="BA538" i="3"/>
  <c r="AZ538" i="3"/>
  <c r="BL537" i="3"/>
  <c r="BA537" i="3"/>
  <c r="AZ536" i="3"/>
  <c r="BL530" i="3"/>
  <c r="BA530" i="3"/>
  <c r="AZ530" i="3"/>
  <c r="BL529" i="3"/>
  <c r="BA529" i="3"/>
  <c r="AZ529" i="3"/>
  <c r="BA527" i="3"/>
  <c r="AZ527" i="3"/>
  <c r="BA523" i="3"/>
  <c r="BL522" i="3"/>
  <c r="BA518" i="3"/>
  <c r="BL517" i="3"/>
  <c r="BA517" i="3"/>
  <c r="AZ517" i="3"/>
  <c r="BL515" i="3"/>
  <c r="BA515" i="3"/>
  <c r="AZ515" i="3"/>
  <c r="BA514" i="3"/>
  <c r="AZ514" i="3"/>
  <c r="BL513" i="3"/>
  <c r="BA513" i="3"/>
  <c r="AZ513" i="3"/>
  <c r="BL512" i="3"/>
  <c r="AZ512" i="3"/>
  <c r="BA511" i="3"/>
  <c r="BA510" i="3"/>
  <c r="BL509" i="3"/>
  <c r="BL507" i="3"/>
  <c r="BA506" i="3"/>
  <c r="BL505" i="3"/>
  <c r="BL504" i="3"/>
  <c r="BA503" i="3"/>
  <c r="AZ503" i="3"/>
  <c r="BA500" i="3"/>
  <c r="AZ500" i="3"/>
  <c r="BL499" i="3"/>
  <c r="BA499" i="3"/>
  <c r="AZ499" i="3"/>
  <c r="BL497" i="3"/>
  <c r="BA497" i="3"/>
  <c r="AZ497" i="3"/>
  <c r="BL496" i="3"/>
  <c r="BA496" i="3"/>
  <c r="AZ496" i="3"/>
  <c r="BA495" i="3"/>
  <c r="AZ495" i="3"/>
  <c r="BL494" i="3"/>
  <c r="BA491" i="3"/>
  <c r="BL490" i="3"/>
  <c r="BA489" i="3"/>
  <c r="BL487" i="3"/>
  <c r="AZ487" i="3"/>
  <c r="BL486" i="3"/>
  <c r="BA485" i="3"/>
  <c r="AZ485" i="3"/>
  <c r="BA483" i="3"/>
  <c r="AZ483" i="3"/>
  <c r="BA482" i="3"/>
  <c r="AZ482" i="3"/>
  <c r="BL481" i="3"/>
  <c r="BA481" i="3"/>
  <c r="BB5" i="3"/>
  <c r="BA18" i="3"/>
  <c r="G114" i="34"/>
  <c r="H114" i="34"/>
  <c r="I114" i="34"/>
  <c r="J114" i="34"/>
  <c r="K114" i="34"/>
  <c r="L114" i="34"/>
  <c r="M114" i="34"/>
  <c r="H38" i="34"/>
  <c r="U38" i="34"/>
  <c r="H30" i="40"/>
  <c r="AB30" i="40"/>
  <c r="J30" i="40"/>
  <c r="AC30" i="40"/>
  <c r="F38" i="40"/>
  <c r="AA36" i="34"/>
  <c r="AC12" i="21"/>
  <c r="W12" i="21"/>
  <c r="S35" i="21"/>
  <c r="AB10" i="21"/>
  <c r="U8" i="21"/>
  <c r="S34" i="21"/>
  <c r="AB8" i="33"/>
  <c r="U8" i="33"/>
  <c r="E106" i="33"/>
  <c r="F106" i="33"/>
  <c r="H34" i="33"/>
  <c r="U34" i="33"/>
  <c r="F34" i="33"/>
  <c r="S34" i="33"/>
  <c r="E121" i="33"/>
  <c r="F41" i="33"/>
  <c r="AC34" i="34"/>
  <c r="W34" i="34"/>
  <c r="AA39" i="34"/>
  <c r="S43" i="34"/>
  <c r="E78" i="34"/>
  <c r="F15" i="34"/>
  <c r="S15" i="34"/>
  <c r="AC28" i="35"/>
  <c r="W28" i="35"/>
  <c r="J20" i="35"/>
  <c r="AC20" i="35"/>
  <c r="F72" i="35"/>
  <c r="G72" i="35"/>
  <c r="H22" i="35"/>
  <c r="H23" i="35"/>
  <c r="U23" i="35"/>
  <c r="U36" i="35"/>
  <c r="W12" i="36"/>
  <c r="AC12" i="36"/>
  <c r="U31" i="36"/>
  <c r="S8" i="37"/>
  <c r="F16" i="39"/>
  <c r="AA16" i="39"/>
  <c r="J16" i="39"/>
  <c r="H15" i="40"/>
  <c r="H23" i="40"/>
  <c r="U23" i="40"/>
  <c r="H41" i="40"/>
  <c r="F41" i="40"/>
  <c r="J41" i="40"/>
  <c r="AC41" i="40"/>
  <c r="H36" i="33"/>
  <c r="AB36" i="33"/>
  <c r="H37" i="34"/>
  <c r="F15" i="39"/>
  <c r="AA15" i="39"/>
  <c r="H15" i="39"/>
  <c r="U15" i="39"/>
  <c r="J15" i="39"/>
  <c r="AC15" i="39"/>
  <c r="U25" i="39"/>
  <c r="F45" i="39"/>
  <c r="AA45" i="39"/>
  <c r="H45" i="39"/>
  <c r="U45" i="39"/>
  <c r="J45" i="39"/>
  <c r="AC45" i="39"/>
  <c r="F47" i="39"/>
  <c r="H47" i="39"/>
  <c r="J47" i="39"/>
  <c r="W47" i="39"/>
  <c r="F41" i="39"/>
  <c r="H41" i="39"/>
  <c r="AB41" i="39"/>
  <c r="J41" i="39"/>
  <c r="E94" i="40"/>
  <c r="F94" i="40"/>
  <c r="J25" i="40"/>
  <c r="AC25" i="40"/>
  <c r="J32" i="40"/>
  <c r="AC32" i="40"/>
  <c r="H32" i="40"/>
  <c r="U32" i="40"/>
  <c r="H33" i="40"/>
  <c r="AB33" i="40"/>
  <c r="F33" i="40"/>
  <c r="AA33" i="40"/>
  <c r="J33" i="40"/>
  <c r="AC33" i="40"/>
  <c r="H35" i="40"/>
  <c r="AB35" i="40"/>
  <c r="F35" i="40"/>
  <c r="AA35" i="40"/>
  <c r="J35" i="40"/>
  <c r="AC35" i="40"/>
  <c r="J16" i="40"/>
  <c r="W16" i="40"/>
  <c r="J14" i="40"/>
  <c r="W14" i="40"/>
  <c r="H40" i="40"/>
  <c r="H34" i="40"/>
  <c r="U34" i="40"/>
  <c r="AZ391" i="3"/>
  <c r="AZ399" i="3"/>
  <c r="AZ403" i="3"/>
  <c r="AZ407" i="3"/>
  <c r="AZ415" i="3"/>
  <c r="AZ423" i="3"/>
  <c r="AZ431" i="3"/>
  <c r="AZ439" i="3"/>
  <c r="AZ454" i="3"/>
  <c r="B41" i="1"/>
  <c r="J40" i="40"/>
  <c r="J34" i="40"/>
  <c r="H16" i="40"/>
  <c r="AB16" i="40"/>
  <c r="H14" i="40"/>
  <c r="U14" i="40"/>
  <c r="F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AB14" i="40"/>
  <c r="F34" i="44"/>
  <c r="F27" i="43"/>
  <c r="F66" i="9"/>
  <c r="P72" i="9"/>
  <c r="F71" i="9"/>
  <c r="F72" i="9"/>
  <c r="AC14" i="40"/>
  <c r="W35" i="40"/>
  <c r="S33" i="40"/>
  <c r="AB32" i="40"/>
  <c r="U37" i="34"/>
  <c r="AB37" i="34"/>
  <c r="W41" i="40"/>
  <c r="J23" i="40"/>
  <c r="AC23" i="40"/>
  <c r="F23" i="40"/>
  <c r="S23" i="40"/>
  <c r="AB23" i="35"/>
  <c r="H20" i="35"/>
  <c r="F20" i="35"/>
  <c r="S20" i="35"/>
  <c r="H15" i="34"/>
  <c r="F78" i="34"/>
  <c r="G78" i="34"/>
  <c r="J15" i="34"/>
  <c r="AC15" i="34"/>
  <c r="H41" i="33"/>
  <c r="U41" i="33"/>
  <c r="F121" i="33"/>
  <c r="G121" i="33"/>
  <c r="H121" i="33"/>
  <c r="I121" i="33"/>
  <c r="J121" i="33"/>
  <c r="K121" i="33"/>
  <c r="L121" i="33"/>
  <c r="M121" i="33"/>
  <c r="F30" i="40"/>
  <c r="AA30" i="40"/>
  <c r="AB38" i="34"/>
  <c r="AZ537" i="3"/>
  <c r="AB37" i="39"/>
  <c r="U39" i="39"/>
  <c r="AB21" i="39"/>
  <c r="U21" i="39"/>
  <c r="AB33" i="36"/>
  <c r="AA11" i="36"/>
  <c r="F33" i="37"/>
  <c r="W32" i="33"/>
  <c r="H15" i="33"/>
  <c r="U15" i="33"/>
  <c r="AA11" i="33"/>
  <c r="AA40" i="21"/>
  <c r="AB34" i="40"/>
  <c r="AC16" i="40"/>
  <c r="W32" i="40"/>
  <c r="H25" i="40"/>
  <c r="AB25" i="40"/>
  <c r="G94" i="40"/>
  <c r="W15" i="39"/>
  <c r="J37" i="34"/>
  <c r="AC37" i="34"/>
  <c r="J36" i="33"/>
  <c r="W36" i="33"/>
  <c r="AB23" i="40"/>
  <c r="F97" i="39"/>
  <c r="G97" i="39"/>
  <c r="AA15" i="34"/>
  <c r="AA34" i="33"/>
  <c r="G106" i="33"/>
  <c r="H106" i="33"/>
  <c r="I106" i="33"/>
  <c r="J106" i="33"/>
  <c r="K106" i="33"/>
  <c r="L106" i="33"/>
  <c r="M106" i="33"/>
  <c r="J34" i="33"/>
  <c r="AC34" i="33"/>
  <c r="U30" i="40"/>
  <c r="AA37" i="39"/>
  <c r="W39" i="39"/>
  <c r="AA39" i="39"/>
  <c r="AB46" i="39"/>
  <c r="AC33" i="39"/>
  <c r="W33" i="39"/>
  <c r="S17" i="39"/>
  <c r="U11" i="36"/>
  <c r="F80" i="35"/>
  <c r="G80" i="35"/>
  <c r="H80" i="35"/>
  <c r="I80" i="35"/>
  <c r="J80" i="35"/>
  <c r="K80" i="35"/>
  <c r="L80" i="35"/>
  <c r="M80" i="35"/>
  <c r="W14" i="35"/>
  <c r="G90" i="34"/>
  <c r="H90" i="34"/>
  <c r="I90" i="34"/>
  <c r="J90" i="34"/>
  <c r="K90" i="34"/>
  <c r="L90" i="34"/>
  <c r="M90" i="34"/>
  <c r="W43" i="39"/>
  <c r="S43" i="39"/>
  <c r="G96" i="37"/>
  <c r="H96" i="37"/>
  <c r="I96" i="37"/>
  <c r="J96" i="37"/>
  <c r="K96" i="37"/>
  <c r="L96" i="37"/>
  <c r="M96" i="37"/>
  <c r="F32" i="37"/>
  <c r="S32" i="37"/>
  <c r="U11" i="35"/>
  <c r="AB11" i="35"/>
  <c r="F17" i="34"/>
  <c r="AA17" i="34"/>
  <c r="J17" i="34"/>
  <c r="H11" i="34"/>
  <c r="J35" i="33"/>
  <c r="S32" i="33"/>
  <c r="AC15" i="33"/>
  <c r="H11" i="33"/>
  <c r="U11" i="33"/>
  <c r="H10" i="33"/>
  <c r="I66" i="33"/>
  <c r="J10" i="33"/>
  <c r="AC10" i="33"/>
  <c r="U11" i="37"/>
  <c r="AC16" i="35"/>
  <c r="J11" i="34"/>
  <c r="W11" i="34"/>
  <c r="S17" i="34"/>
  <c r="AC36" i="33"/>
  <c r="F25" i="40"/>
  <c r="J11" i="33"/>
  <c r="W11" i="33"/>
  <c r="H33" i="37"/>
  <c r="W15" i="34"/>
  <c r="U20" i="35"/>
  <c r="AB20" i="35"/>
  <c r="W23" i="40"/>
  <c r="D73" i="9"/>
  <c r="N73" i="9"/>
  <c r="AP11" i="1"/>
  <c r="B11" i="1"/>
  <c r="E11" i="1"/>
  <c r="B9" i="1"/>
  <c r="E9" i="1"/>
  <c r="B7" i="1"/>
  <c r="E7" i="1"/>
  <c r="C20" i="43"/>
  <c r="F6" i="1"/>
  <c r="AP6" i="1"/>
  <c r="G11" i="1"/>
  <c r="M22" i="44"/>
  <c r="F32" i="15"/>
  <c r="F59" i="15"/>
  <c r="F29" i="12"/>
  <c r="F70" i="9"/>
  <c r="D86" i="9"/>
  <c r="M20" i="44"/>
  <c r="F31" i="43"/>
  <c r="F30" i="44"/>
  <c r="S23" i="36"/>
  <c r="S8" i="36"/>
  <c r="AA26" i="36"/>
  <c r="U25" i="36"/>
  <c r="H20" i="36"/>
  <c r="U20" i="36"/>
  <c r="F68" i="36"/>
  <c r="G68" i="36"/>
  <c r="J20" i="36"/>
  <c r="AC20" i="36"/>
  <c r="F20" i="36"/>
  <c r="S20" i="36"/>
  <c r="J14" i="36"/>
  <c r="H14" i="36"/>
  <c r="AB14" i="36"/>
  <c r="F14" i="36"/>
  <c r="AA14" i="36"/>
  <c r="W20" i="36"/>
  <c r="U27" i="36"/>
  <c r="U32" i="36"/>
  <c r="AB12" i="36"/>
  <c r="S33" i="36"/>
  <c r="S16" i="36"/>
  <c r="S29" i="36"/>
  <c r="AC33" i="35"/>
  <c r="AA13" i="35"/>
  <c r="AC9" i="35"/>
  <c r="S8" i="35"/>
  <c r="U33" i="35"/>
  <c r="AA20" i="35"/>
  <c r="W20" i="35"/>
  <c r="AB14" i="35"/>
  <c r="AC10" i="35"/>
  <c r="AC18" i="35"/>
  <c r="W18" i="35"/>
  <c r="U18" i="35"/>
  <c r="AB18" i="35"/>
  <c r="S30" i="35"/>
  <c r="AB30" i="35"/>
  <c r="S28" i="35"/>
  <c r="J26" i="35"/>
  <c r="F26" i="35"/>
  <c r="S26" i="35"/>
  <c r="H26" i="35"/>
  <c r="AB9" i="37"/>
  <c r="W28" i="37"/>
  <c r="AA31" i="37"/>
  <c r="S33" i="37"/>
  <c r="AA33" i="37"/>
  <c r="U32" i="37"/>
  <c r="AA32" i="37"/>
  <c r="J33" i="37"/>
  <c r="W33" i="37"/>
  <c r="S29" i="37"/>
  <c r="J19" i="37"/>
  <c r="G75" i="37"/>
  <c r="F19" i="37"/>
  <c r="AA19" i="37"/>
  <c r="H19" i="37"/>
  <c r="J17" i="37"/>
  <c r="W17" i="37"/>
  <c r="S15" i="37"/>
  <c r="AC10" i="37"/>
  <c r="AC21" i="37"/>
  <c r="W21" i="37"/>
  <c r="AC11" i="37"/>
  <c r="W32" i="37"/>
  <c r="U8" i="37"/>
  <c r="AB25" i="37"/>
  <c r="AB21" i="37"/>
  <c r="U21" i="37"/>
  <c r="S37" i="37"/>
  <c r="S40" i="37"/>
  <c r="S10" i="37"/>
  <c r="AC45" i="34"/>
  <c r="W33" i="34"/>
  <c r="AB33" i="34"/>
  <c r="AA33" i="34"/>
  <c r="U34" i="34"/>
  <c r="U28" i="34"/>
  <c r="J25" i="34"/>
  <c r="H25" i="34"/>
  <c r="AB25" i="34"/>
  <c r="F25" i="34"/>
  <c r="J23" i="34"/>
  <c r="W23" i="34"/>
  <c r="G86" i="34"/>
  <c r="F23" i="34"/>
  <c r="H23" i="34"/>
  <c r="AB23" i="34"/>
  <c r="AC11" i="34"/>
  <c r="U10" i="34"/>
  <c r="W37" i="34"/>
  <c r="W44" i="34"/>
  <c r="W19" i="34"/>
  <c r="W29" i="34"/>
  <c r="AC21" i="34"/>
  <c r="W21" i="34"/>
  <c r="AB21" i="34"/>
  <c r="U21" i="34"/>
  <c r="AB41" i="34"/>
  <c r="AA41" i="34"/>
  <c r="S9" i="34"/>
  <c r="S10" i="34"/>
  <c r="U39" i="33"/>
  <c r="U37" i="33"/>
  <c r="S35" i="33"/>
  <c r="W34" i="33"/>
  <c r="AC12" i="33"/>
  <c r="AB11" i="33"/>
  <c r="AB41" i="33"/>
  <c r="U36" i="33"/>
  <c r="W43" i="33"/>
  <c r="W39" i="33"/>
  <c r="U35" i="33"/>
  <c r="AB34" i="33"/>
  <c r="H25" i="33"/>
  <c r="AB25" i="33"/>
  <c r="J25" i="33"/>
  <c r="W25" i="33"/>
  <c r="G87" i="33"/>
  <c r="H87" i="33"/>
  <c r="I87" i="33"/>
  <c r="J87" i="33"/>
  <c r="K87" i="33"/>
  <c r="L87" i="33"/>
  <c r="M87" i="33"/>
  <c r="F25" i="33"/>
  <c r="J23" i="33"/>
  <c r="AC23" i="33"/>
  <c r="F23" i="33"/>
  <c r="H23" i="33"/>
  <c r="AB23" i="33"/>
  <c r="U19" i="33"/>
  <c r="F79" i="33"/>
  <c r="G79" i="33"/>
  <c r="F17" i="33"/>
  <c r="S17" i="33"/>
  <c r="H17" i="33"/>
  <c r="J17" i="33"/>
  <c r="AC17" i="33"/>
  <c r="AB15" i="33"/>
  <c r="AC11" i="33"/>
  <c r="S10" i="33"/>
  <c r="S14" i="33"/>
  <c r="W10" i="33"/>
  <c r="AC21" i="33"/>
  <c r="W21" i="33"/>
  <c r="W14" i="33"/>
  <c r="U25" i="33"/>
  <c r="AB21" i="33"/>
  <c r="U21" i="33"/>
  <c r="AA21" i="33"/>
  <c r="S21" i="33"/>
  <c r="W39" i="21"/>
  <c r="AC34" i="21"/>
  <c r="W32" i="21"/>
  <c r="S42" i="21"/>
  <c r="W28" i="21"/>
  <c r="F85" i="21"/>
  <c r="G85" i="21"/>
  <c r="F23" i="21"/>
  <c r="S23" i="21"/>
  <c r="F15" i="21"/>
  <c r="F77" i="21"/>
  <c r="G77" i="21"/>
  <c r="J15" i="21"/>
  <c r="AC15" i="21"/>
  <c r="H15" i="21"/>
  <c r="W13" i="21"/>
  <c r="AC21" i="21"/>
  <c r="W21" i="21"/>
  <c r="AC19" i="21"/>
  <c r="AC38" i="21"/>
  <c r="AB21" i="21"/>
  <c r="U21" i="21"/>
  <c r="AA30" i="21"/>
  <c r="W33" i="40"/>
  <c r="U33" i="40"/>
  <c r="S35" i="40"/>
  <c r="S14" i="40"/>
  <c r="AB13" i="40"/>
  <c r="S16" i="40"/>
  <c r="W11" i="40"/>
  <c r="AA2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H17" i="40"/>
  <c r="AB17" i="40"/>
  <c r="W21" i="40"/>
  <c r="U10" i="40"/>
  <c r="U27" i="40"/>
  <c r="AB27" i="40"/>
  <c r="S11" i="39"/>
  <c r="AA21" i="39"/>
  <c r="AB15" i="39"/>
  <c r="U41" i="39"/>
  <c r="U31" i="39"/>
  <c r="D18" i="9"/>
  <c r="M44" i="9"/>
  <c r="M43" i="9"/>
  <c r="B22" i="63"/>
  <c r="M20" i="15"/>
  <c r="D96" i="9"/>
  <c r="F28" i="15"/>
  <c r="M18" i="15"/>
  <c r="A18" i="64"/>
  <c r="B74" i="63"/>
  <c r="C53" i="10"/>
  <c r="A25" i="64"/>
  <c r="A18" i="51"/>
  <c r="B14" i="63"/>
  <c r="BA16" i="3"/>
  <c r="BA17" i="3"/>
  <c r="F3" i="35"/>
  <c r="K1" i="43"/>
  <c r="K1" i="12"/>
  <c r="G1" i="44"/>
  <c r="G3" i="46"/>
  <c r="H22" i="46"/>
  <c r="AZ15" i="3"/>
  <c r="BO5" i="3"/>
  <c r="BN5" i="3"/>
  <c r="BL18" i="3"/>
  <c r="AZ18" i="3"/>
  <c r="BR5" i="3"/>
  <c r="BS5" i="3"/>
  <c r="BL16" i="3"/>
  <c r="BM5" i="3"/>
  <c r="G28" i="12"/>
  <c r="G26" i="12"/>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AA11" i="35"/>
  <c r="S14" i="37"/>
  <c r="S13" i="21"/>
  <c r="C24" i="9"/>
  <c r="C25" i="9"/>
  <c r="I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AB18" i="36"/>
  <c r="U16" i="36"/>
  <c r="S25" i="36"/>
  <c r="U23" i="36"/>
  <c r="AC27" i="36"/>
  <c r="W28" i="36"/>
  <c r="AA32" i="36"/>
  <c r="U13" i="36"/>
  <c r="AA22" i="36"/>
  <c r="U10" i="36"/>
  <c r="W29" i="36"/>
  <c r="W8" i="36"/>
  <c r="AC30" i="35"/>
  <c r="U24" i="35"/>
  <c r="W32" i="35"/>
  <c r="S24" i="35"/>
  <c r="AA33" i="35"/>
  <c r="W22" i="35"/>
  <c r="W34" i="35"/>
  <c r="S32" i="35"/>
  <c r="W35" i="37"/>
  <c r="AC33" i="37"/>
  <c r="AC15" i="37"/>
  <c r="S12" i="37"/>
  <c r="W36" i="37"/>
  <c r="AB28" i="37"/>
  <c r="W13" i="37"/>
  <c r="AB35" i="34"/>
  <c r="AB29" i="34"/>
  <c r="AB13" i="34"/>
  <c r="S47" i="34"/>
  <c r="S19" i="34"/>
  <c r="S8" i="34"/>
  <c r="AA19" i="33"/>
  <c r="AC25" i="33"/>
  <c r="S43" i="33"/>
  <c r="AB42" i="33"/>
  <c r="AB14" i="33"/>
  <c r="AB12" i="33"/>
  <c r="S15" i="33"/>
  <c r="AB25" i="21"/>
  <c r="AA25" i="21"/>
  <c r="U27" i="21"/>
  <c r="S27" i="21"/>
  <c r="AC27" i="21"/>
  <c r="G96" i="40"/>
  <c r="J27" i="40"/>
  <c r="W37" i="40"/>
  <c r="W30" i="40"/>
  <c r="U17" i="40"/>
  <c r="U38" i="40"/>
  <c r="S40" i="40"/>
  <c r="G105" i="39"/>
  <c r="S45" i="39"/>
  <c r="AB43" i="39"/>
  <c r="AC46" i="39"/>
  <c r="W36" i="39"/>
  <c r="U14" i="39"/>
  <c r="S15" i="39"/>
  <c r="W45" i="39"/>
  <c r="AA44" i="39"/>
  <c r="AA46" i="39"/>
  <c r="W10" i="39"/>
  <c r="U42" i="39"/>
  <c r="C27" i="39"/>
  <c r="C19" i="40"/>
  <c r="C19" i="39"/>
  <c r="C23" i="40"/>
  <c r="B51" i="46"/>
  <c r="B59" i="46"/>
  <c r="B66" i="46"/>
  <c r="B64" i="46"/>
  <c r="D24" i="15"/>
  <c r="F29" i="6"/>
  <c r="S14" i="36"/>
  <c r="AB20" i="36"/>
  <c r="AA20" i="36"/>
  <c r="AC14" i="36"/>
  <c r="W14" i="36"/>
  <c r="U14" i="36"/>
  <c r="U18" i="36"/>
  <c r="AA26" i="35"/>
  <c r="U26" i="35"/>
  <c r="AB26" i="35"/>
  <c r="W26" i="35"/>
  <c r="AC26" i="35"/>
  <c r="S19" i="37"/>
  <c r="AB19" i="37"/>
  <c r="U19" i="37"/>
  <c r="AC17" i="37"/>
  <c r="U25" i="34"/>
  <c r="AA25" i="34"/>
  <c r="S25" i="34"/>
  <c r="W25" i="34"/>
  <c r="AC25" i="34"/>
  <c r="U23" i="34"/>
  <c r="AA23" i="34"/>
  <c r="S23" i="34"/>
  <c r="AC23" i="34"/>
  <c r="AA25" i="33"/>
  <c r="S25" i="33"/>
  <c r="W23" i="33"/>
  <c r="S23" i="33"/>
  <c r="AA23" i="33"/>
  <c r="W17" i="33"/>
  <c r="AA17" i="33"/>
  <c r="U17" i="33"/>
  <c r="AB17" i="33"/>
  <c r="U23" i="21"/>
  <c r="AA23" i="21"/>
  <c r="U15" i="21"/>
  <c r="AB15" i="21"/>
  <c r="AB39" i="40"/>
  <c r="AC39" i="40"/>
  <c r="W39" i="40"/>
  <c r="AA39" i="40"/>
  <c r="U37" i="40"/>
  <c r="AA37" i="40"/>
  <c r="S37" i="40"/>
  <c r="U29" i="40"/>
  <c r="W19" i="40"/>
  <c r="AC19" i="40"/>
  <c r="AA19" i="40"/>
  <c r="S19" i="40"/>
  <c r="AB19" i="40"/>
  <c r="AC27" i="40"/>
  <c r="W27" i="40"/>
  <c r="A17" i="51"/>
  <c r="B13" i="63"/>
  <c r="AT6" i="3"/>
  <c r="AZ16" i="3"/>
  <c r="A9" i="64"/>
  <c r="A9" i="51"/>
  <c r="B9" i="63"/>
  <c r="A3" i="55"/>
  <c r="B56" i="63"/>
  <c r="G66" i="36"/>
  <c r="J18" i="36"/>
  <c r="AC18" i="36"/>
  <c r="AE7" i="1"/>
  <c r="AE6" i="1"/>
  <c r="W18" i="36"/>
  <c r="AG6" i="1"/>
  <c r="L20" i="6"/>
  <c r="C45" i="9"/>
  <c r="H14" i="66"/>
  <c r="B7" i="66"/>
  <c r="O40" i="9"/>
  <c r="R7" i="54"/>
  <c r="K31" i="9"/>
  <c r="K32" i="9"/>
  <c r="B52" i="63"/>
  <c r="N76" i="9"/>
  <c r="C46" i="9"/>
  <c r="K33" i="9"/>
  <c r="K34" i="9"/>
  <c r="O41" i="9"/>
  <c r="I14" i="66"/>
  <c r="B8" i="66"/>
  <c r="R8" i="54"/>
  <c r="B54" i="63"/>
  <c r="A25" i="51"/>
  <c r="B18" i="63"/>
  <c r="D58" i="21"/>
  <c r="E58" i="21"/>
  <c r="D70" i="39"/>
  <c r="C72" i="39"/>
  <c r="D58" i="33"/>
  <c r="E58" i="33"/>
  <c r="F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C30" i="44"/>
  <c r="C25" i="12"/>
  <c r="C27" i="43"/>
  <c r="C31" i="43"/>
  <c r="C28" i="15"/>
  <c r="H1" i="65"/>
  <c r="H51" i="46"/>
  <c r="X7" i="46"/>
  <c r="E17" i="46"/>
  <c r="N17" i="46"/>
  <c r="O17" i="46"/>
  <c r="M17" i="46"/>
  <c r="L17" i="46"/>
  <c r="F101" i="46"/>
  <c r="F106" i="46"/>
  <c r="AP7" i="1"/>
  <c r="G13" i="1"/>
  <c r="E52" i="37"/>
  <c r="D46" i="36"/>
  <c r="E48" i="35"/>
  <c r="D59" i="34"/>
  <c r="G6" i="1"/>
  <c r="H70" i="46"/>
  <c r="H73" i="46"/>
  <c r="H50" i="46"/>
  <c r="H48" i="46"/>
  <c r="F35" i="46"/>
  <c r="I17" i="46"/>
  <c r="G17" i="46"/>
  <c r="C16" i="46"/>
  <c r="H63" i="46"/>
  <c r="H64" i="46"/>
  <c r="H66" i="46"/>
  <c r="D100" i="46"/>
  <c r="H62" i="46"/>
  <c r="AF12" i="46"/>
  <c r="K100" i="46"/>
  <c r="AB12" i="46"/>
  <c r="AJ12" i="46"/>
  <c r="C101" i="46"/>
  <c r="C109" i="46"/>
  <c r="Z7" i="46"/>
  <c r="AF11" i="46"/>
  <c r="AF13" i="46"/>
  <c r="H60" i="46"/>
  <c r="H59" i="46"/>
  <c r="H74" i="46"/>
  <c r="H65" i="46"/>
  <c r="H75" i="46"/>
  <c r="E10" i="46"/>
  <c r="E9" i="46"/>
  <c r="E11" i="46"/>
  <c r="E8" i="46"/>
  <c r="H72" i="46"/>
  <c r="H69" i="46"/>
  <c r="H77" i="46"/>
  <c r="H76" i="46"/>
  <c r="H55" i="46"/>
  <c r="H54" i="46"/>
  <c r="H52" i="46"/>
  <c r="H47" i="46"/>
  <c r="AD12" i="46"/>
  <c r="AH12" i="46"/>
  <c r="C8" i="59"/>
  <c r="C7" i="59"/>
  <c r="P21" i="46"/>
  <c r="B8" i="59"/>
  <c r="B7" i="59"/>
  <c r="S7" i="59"/>
  <c r="D8" i="59"/>
  <c r="P22" i="46"/>
  <c r="P23" i="46"/>
  <c r="P25" i="46"/>
  <c r="B73" i="39"/>
  <c r="P24" i="46"/>
  <c r="B68" i="40"/>
  <c r="F33" i="44"/>
  <c r="F31" i="15"/>
  <c r="F58" i="15"/>
  <c r="M17" i="15"/>
  <c r="M19" i="44"/>
  <c r="E65" i="40"/>
  <c r="D67" i="40"/>
  <c r="E70" i="39"/>
  <c r="D72" i="39"/>
  <c r="B6" i="59"/>
  <c r="B5" i="59"/>
  <c r="F48" i="35"/>
  <c r="E46" i="36"/>
  <c r="E59" i="34"/>
  <c r="F59" i="34"/>
  <c r="F52" i="37"/>
  <c r="C23" i="46"/>
  <c r="C21" i="46"/>
  <c r="C7" i="46"/>
  <c r="F70" i="39"/>
  <c r="E72" i="39"/>
  <c r="F65" i="40"/>
  <c r="E67" i="40"/>
  <c r="G20" i="46"/>
  <c r="E41" i="46"/>
  <c r="C41" i="46"/>
  <c r="G52" i="37"/>
  <c r="H52" i="37"/>
  <c r="G48" i="35"/>
  <c r="F46" i="36"/>
  <c r="G46" i="36"/>
  <c r="H46" i="36"/>
  <c r="F67" i="40"/>
  <c r="G65" i="40"/>
  <c r="G67" i="40"/>
  <c r="F72" i="39"/>
  <c r="G70" i="39"/>
  <c r="G72" i="39"/>
  <c r="C20" i="46"/>
  <c r="C19" i="46"/>
  <c r="H48" i="35"/>
  <c r="H70" i="39"/>
  <c r="I70" i="39"/>
  <c r="H65" i="40"/>
  <c r="I52" i="37"/>
  <c r="I48" i="35"/>
  <c r="J48" i="35"/>
  <c r="H67" i="40"/>
  <c r="I65" i="40"/>
  <c r="I67" i="40"/>
  <c r="H72" i="39"/>
  <c r="J52" i="37"/>
  <c r="K52" i="37"/>
  <c r="J65" i="40"/>
  <c r="K65" i="40"/>
  <c r="J67" i="40"/>
  <c r="I3" i="65"/>
  <c r="M8" i="15"/>
  <c r="F8" i="44"/>
  <c r="F38" i="15"/>
  <c r="L49" i="44"/>
  <c r="F42" i="15"/>
  <c r="F11" i="67"/>
  <c r="M24" i="44"/>
  <c r="B11" i="67"/>
  <c r="E10" i="67"/>
  <c r="M23" i="44"/>
  <c r="F40" i="44"/>
  <c r="I7" i="65"/>
  <c r="F12" i="67"/>
  <c r="J36" i="15"/>
  <c r="M8" i="44"/>
  <c r="B8" i="67"/>
  <c r="L48" i="44"/>
  <c r="F40" i="15"/>
  <c r="M30" i="44"/>
  <c r="F9" i="44"/>
  <c r="J4" i="65"/>
  <c r="F38" i="44"/>
  <c r="J6" i="65"/>
  <c r="M28" i="44"/>
  <c r="N5" i="65"/>
  <c r="F10" i="67"/>
  <c r="F11" i="44"/>
  <c r="F37" i="44"/>
  <c r="C19" i="44"/>
  <c r="F13" i="67"/>
  <c r="M23" i="15"/>
  <c r="M22" i="15"/>
  <c r="M29" i="44"/>
  <c r="J15" i="15"/>
  <c r="B13" i="67"/>
  <c r="J17" i="44"/>
  <c r="M28" i="15"/>
  <c r="M26" i="44"/>
  <c r="I4" i="65"/>
  <c r="E9" i="67"/>
  <c r="F18" i="44"/>
  <c r="F46" i="44"/>
  <c r="B12" i="67"/>
  <c r="N7" i="65"/>
  <c r="F15" i="44"/>
  <c r="B10" i="67"/>
  <c r="E14" i="67"/>
  <c r="M31" i="44"/>
  <c r="M10" i="44"/>
  <c r="J3" i="65"/>
  <c r="F28" i="44"/>
  <c r="F10" i="44"/>
  <c r="M11" i="44"/>
  <c r="B9" i="67"/>
  <c r="F43" i="44"/>
  <c r="F39" i="44"/>
  <c r="F8" i="67"/>
  <c r="M25" i="44"/>
  <c r="E12" i="67"/>
  <c r="E8" i="67"/>
  <c r="F9" i="67"/>
  <c r="F7" i="15"/>
  <c r="J5" i="65"/>
  <c r="F8" i="15"/>
  <c r="F45" i="44"/>
  <c r="F14" i="67"/>
  <c r="B14" i="67"/>
  <c r="N4" i="65"/>
  <c r="E13" i="67"/>
  <c r="M24" i="15"/>
  <c r="M29" i="15"/>
  <c r="F6" i="15"/>
  <c r="E11" i="67"/>
  <c r="I6" i="65"/>
  <c r="N6" i="65"/>
  <c r="N3" i="65"/>
  <c r="J7" i="65"/>
  <c r="G13" i="3"/>
  <c r="S27" i="39"/>
  <c r="W31" i="39"/>
  <c r="G21" i="43"/>
  <c r="G27" i="12"/>
  <c r="D24" i="44"/>
  <c r="G22" i="43"/>
  <c r="W34" i="39"/>
  <c r="S29" i="39"/>
  <c r="AB33" i="39"/>
  <c r="W29" i="39"/>
  <c r="W27" i="39"/>
  <c r="U27" i="39"/>
  <c r="W23" i="39"/>
  <c r="S23" i="39"/>
  <c r="Z11" i="46"/>
  <c r="Z13" i="46"/>
  <c r="N104" i="45"/>
  <c r="AC11" i="46"/>
  <c r="AC13" i="46"/>
  <c r="H101" i="46"/>
  <c r="H102" i="46"/>
  <c r="U34" i="39"/>
  <c r="W42" i="39"/>
  <c r="S42" i="39"/>
  <c r="W11" i="39"/>
  <c r="U11" i="39"/>
  <c r="I4" i="6"/>
  <c r="F107" i="46"/>
  <c r="C103" i="46"/>
  <c r="AB11" i="46"/>
  <c r="AB13" i="46"/>
  <c r="AA11" i="46"/>
  <c r="E22" i="46"/>
  <c r="F22" i="46"/>
  <c r="J101" i="46"/>
  <c r="J104" i="46"/>
  <c r="AJ11" i="46"/>
  <c r="AJ13" i="46"/>
  <c r="M101" i="46"/>
  <c r="M103" i="46"/>
  <c r="D101" i="46"/>
  <c r="D106" i="46"/>
  <c r="G22" i="46"/>
  <c r="Y11" i="46"/>
  <c r="Y13" i="46"/>
  <c r="J102" i="46"/>
  <c r="D109" i="46"/>
  <c r="M105" i="46"/>
  <c r="C106" i="46"/>
  <c r="C104" i="46"/>
  <c r="F105" i="46"/>
  <c r="F104" i="46"/>
  <c r="C105" i="46"/>
  <c r="C102" i="46"/>
  <c r="S5" i="46"/>
  <c r="C107" i="46"/>
  <c r="E5" i="52"/>
  <c r="AE11" i="46"/>
  <c r="AE13" i="46"/>
  <c r="AI11" i="46"/>
  <c r="AH11" i="46"/>
  <c r="AH13" i="46"/>
  <c r="AG11" i="46"/>
  <c r="AG13" i="46"/>
  <c r="K101" i="46"/>
  <c r="E101" i="46"/>
  <c r="L101" i="46"/>
  <c r="B113" i="46"/>
  <c r="G101" i="46"/>
  <c r="F103" i="46"/>
  <c r="F102" i="46"/>
  <c r="F109" i="46"/>
  <c r="AD11" i="46"/>
  <c r="AD13" i="46"/>
  <c r="N101" i="46"/>
  <c r="I101" i="46"/>
  <c r="J22" i="46"/>
  <c r="S6" i="46"/>
  <c r="B8" i="52"/>
  <c r="E11" i="52"/>
  <c r="W25" i="21"/>
  <c r="S28" i="21"/>
  <c r="AA28" i="21"/>
  <c r="E16" i="52"/>
  <c r="B11" i="52"/>
  <c r="B6" i="52"/>
  <c r="E10" i="52"/>
  <c r="B9" i="52"/>
  <c r="B14" i="52"/>
  <c r="E9" i="52"/>
  <c r="B22" i="52"/>
  <c r="E4" i="52"/>
  <c r="E7" i="52"/>
  <c r="C4" i="4"/>
  <c r="B20" i="55"/>
  <c r="B70" i="63"/>
  <c r="E21" i="52"/>
  <c r="B13" i="52"/>
  <c r="B16" i="52"/>
  <c r="B5" i="52"/>
  <c r="E8" i="52"/>
  <c r="E15" i="52"/>
  <c r="E17" i="52"/>
  <c r="B4" i="52"/>
  <c r="B10" i="52"/>
  <c r="E22" i="52"/>
  <c r="B7" i="52"/>
  <c r="E6" i="52"/>
  <c r="E14" i="52"/>
  <c r="E13" i="52"/>
  <c r="E4" i="4"/>
  <c r="B21" i="55"/>
  <c r="B72" i="63"/>
  <c r="P75" i="15"/>
  <c r="E20" i="46"/>
  <c r="C8" i="44"/>
  <c r="Q73" i="44"/>
  <c r="Q72" i="15"/>
  <c r="F65" i="15"/>
  <c r="J54" i="44"/>
  <c r="J58" i="44"/>
  <c r="J56" i="44"/>
  <c r="J59" i="44"/>
  <c r="Q52" i="44"/>
  <c r="L57" i="44"/>
  <c r="J60" i="44"/>
  <c r="I55" i="44"/>
  <c r="J61" i="44"/>
  <c r="Q50" i="44"/>
  <c r="F50" i="15"/>
  <c r="C4" i="65"/>
  <c r="B39" i="1"/>
  <c r="J1" i="65"/>
  <c r="M7" i="15"/>
  <c r="F49" i="15"/>
  <c r="C29" i="44"/>
  <c r="F67" i="15"/>
  <c r="M9" i="44"/>
  <c r="J8" i="44"/>
  <c r="J22" i="44"/>
  <c r="L59" i="44"/>
  <c r="L60" i="44"/>
  <c r="L52" i="37"/>
  <c r="M52" i="37"/>
  <c r="N52" i="37"/>
  <c r="O52" i="37"/>
  <c r="F7" i="37"/>
  <c r="H7" i="37"/>
  <c r="J7" i="37"/>
  <c r="L65" i="40"/>
  <c r="K67" i="40"/>
  <c r="I72" i="39"/>
  <c r="J70" i="39"/>
  <c r="I46" i="36"/>
  <c r="J46" i="36"/>
  <c r="K46" i="36"/>
  <c r="L46" i="36"/>
  <c r="M46" i="36"/>
  <c r="N46" i="36"/>
  <c r="O46" i="36"/>
  <c r="J7" i="36"/>
  <c r="F7" i="36"/>
  <c r="H7" i="36"/>
  <c r="K48" i="35"/>
  <c r="L48" i="35"/>
  <c r="M48" i="35"/>
  <c r="N48" i="35"/>
  <c r="O48" i="35"/>
  <c r="H7" i="35"/>
  <c r="J7" i="35"/>
  <c r="F7" i="35"/>
  <c r="D5" i="46"/>
  <c r="C5" i="46"/>
  <c r="G59" i="34"/>
  <c r="T7" i="59"/>
  <c r="C6" i="59"/>
  <c r="D7" i="59"/>
  <c r="F6" i="59"/>
  <c r="F5" i="59"/>
  <c r="V7" i="59"/>
  <c r="G58" i="33"/>
  <c r="H58" i="33"/>
  <c r="I58" i="33"/>
  <c r="J58" i="33"/>
  <c r="K58" i="33"/>
  <c r="L58" i="33"/>
  <c r="M58" i="33"/>
  <c r="N58" i="33"/>
  <c r="O58" i="33"/>
  <c r="J7" i="33"/>
  <c r="F58" i="21"/>
  <c r="W15" i="21"/>
  <c r="U23" i="33"/>
  <c r="W9" i="37"/>
  <c r="AC9" i="37"/>
  <c r="S15" i="21"/>
  <c r="AA15" i="21"/>
  <c r="AC19" i="37"/>
  <c r="W19" i="37"/>
  <c r="AC13" i="35"/>
  <c r="W13" i="35"/>
  <c r="S14" i="39"/>
  <c r="U16" i="39"/>
  <c r="AB16" i="39"/>
  <c r="AB33" i="37"/>
  <c r="U33" i="37"/>
  <c r="AA25" i="40"/>
  <c r="S25" i="40"/>
  <c r="U10" i="33"/>
  <c r="AB10" i="33"/>
  <c r="W35" i="33"/>
  <c r="AC35" i="33"/>
  <c r="AC17" i="34"/>
  <c r="W17" i="34"/>
  <c r="U23" i="39"/>
  <c r="W13" i="40"/>
  <c r="AC13" i="40"/>
  <c r="AA32" i="40"/>
  <c r="S32" i="40"/>
  <c r="AC40" i="40"/>
  <c r="W40" i="40"/>
  <c r="AA47" i="39"/>
  <c r="S47" i="39"/>
  <c r="S25" i="39"/>
  <c r="AA41" i="40"/>
  <c r="S41" i="40"/>
  <c r="AB15" i="40"/>
  <c r="U15" i="40"/>
  <c r="AC16" i="39"/>
  <c r="W16" i="39"/>
  <c r="S29" i="35"/>
  <c r="AA29" i="35"/>
  <c r="S34" i="39"/>
  <c r="W44" i="39"/>
  <c r="AC44" i="39"/>
  <c r="W19" i="39"/>
  <c r="S11" i="34"/>
  <c r="AA11" i="34"/>
  <c r="AC17" i="21"/>
  <c r="W17" i="21"/>
  <c r="W40" i="34"/>
  <c r="AC40" i="34"/>
  <c r="AB12" i="37"/>
  <c r="U12" i="37"/>
  <c r="S11" i="37"/>
  <c r="AA11" i="37"/>
  <c r="AB19" i="34"/>
  <c r="U19" i="34"/>
  <c r="S37" i="21"/>
  <c r="AA37" i="21"/>
  <c r="AA17" i="37"/>
  <c r="S17" i="37"/>
  <c r="S23" i="37"/>
  <c r="AA23" i="37"/>
  <c r="AZ516" i="3"/>
  <c r="AZ544" i="3"/>
  <c r="W27" i="37"/>
  <c r="AC27" i="37"/>
  <c r="AB38" i="37"/>
  <c r="U38" i="37"/>
  <c r="AB13" i="37"/>
  <c r="U13" i="37"/>
  <c r="U35" i="35"/>
  <c r="AB35" i="35"/>
  <c r="AC35" i="35"/>
  <c r="W35" i="35"/>
  <c r="AA45" i="34"/>
  <c r="S45" i="34"/>
  <c r="U45" i="34"/>
  <c r="AB45" i="34"/>
  <c r="W13" i="34"/>
  <c r="AC13" i="34"/>
  <c r="AB46" i="33"/>
  <c r="U46" i="33"/>
  <c r="AC46" i="33"/>
  <c r="W46" i="33"/>
  <c r="AC44" i="33"/>
  <c r="W44" i="33"/>
  <c r="U40" i="37"/>
  <c r="AB40" i="37"/>
  <c r="AC37" i="37"/>
  <c r="W37" i="37"/>
  <c r="W11" i="36"/>
  <c r="AC11" i="36"/>
  <c r="AC31" i="33"/>
  <c r="W31" i="33"/>
  <c r="S13" i="33"/>
  <c r="AA13" i="33"/>
  <c r="AC27" i="33"/>
  <c r="W27" i="33"/>
  <c r="AA45" i="21"/>
  <c r="S45" i="21"/>
  <c r="S31" i="21"/>
  <c r="AA31" i="21"/>
  <c r="AC31" i="21"/>
  <c r="W31" i="21"/>
  <c r="U29" i="21"/>
  <c r="AB29" i="21"/>
  <c r="S27" i="36"/>
  <c r="AA27" i="36"/>
  <c r="AA44" i="21"/>
  <c r="S44" i="21"/>
  <c r="AC44" i="21"/>
  <c r="W44" i="21"/>
  <c r="U14" i="21"/>
  <c r="AB14" i="21"/>
  <c r="AB39" i="37"/>
  <c r="U39" i="37"/>
  <c r="U12" i="21"/>
  <c r="AB12" i="21"/>
  <c r="AC9" i="21"/>
  <c r="W9" i="21"/>
  <c r="AB35" i="21"/>
  <c r="U35" i="21"/>
  <c r="AA39" i="21"/>
  <c r="S39" i="21"/>
  <c r="BA572" i="3"/>
  <c r="AZ572" i="3"/>
  <c r="BA571" i="3"/>
  <c r="AZ571" i="3"/>
  <c r="BL570" i="3"/>
  <c r="BL13" i="3"/>
  <c r="BJ5" i="3"/>
  <c r="W36" i="21"/>
  <c r="AC36" i="21"/>
  <c r="B70" i="46"/>
  <c r="B48" i="46"/>
  <c r="B73" i="46"/>
  <c r="C29" i="39"/>
  <c r="B53" i="46"/>
  <c r="B80" i="46"/>
  <c r="C17" i="40"/>
  <c r="F9" i="21"/>
  <c r="H9" i="21"/>
  <c r="AC42" i="33"/>
  <c r="W42" i="33"/>
  <c r="F28" i="33"/>
  <c r="J28" i="33"/>
  <c r="J26" i="33"/>
  <c r="F26" i="33"/>
  <c r="AA34" i="34"/>
  <c r="S34" i="34"/>
  <c r="U39" i="34"/>
  <c r="AB39" i="34"/>
  <c r="S28" i="34"/>
  <c r="AA28" i="34"/>
  <c r="AB32" i="35"/>
  <c r="U32" i="35"/>
  <c r="AB34" i="35"/>
  <c r="U34" i="35"/>
  <c r="AC36" i="35"/>
  <c r="W36" i="35"/>
  <c r="H45" i="33"/>
  <c r="J45" i="33"/>
  <c r="F45" i="33"/>
  <c r="J12" i="34"/>
  <c r="H12" i="34"/>
  <c r="F12" i="34"/>
  <c r="J14" i="34"/>
  <c r="F14" i="34"/>
  <c r="H14" i="34"/>
  <c r="H30" i="34"/>
  <c r="F30" i="34"/>
  <c r="J30" i="34"/>
  <c r="H32" i="34"/>
  <c r="F32" i="34"/>
  <c r="J32" i="34"/>
  <c r="H46" i="34"/>
  <c r="F46" i="34"/>
  <c r="J46" i="34"/>
  <c r="J23" i="35"/>
  <c r="F23" i="35"/>
  <c r="AA27" i="35"/>
  <c r="S27" i="35"/>
  <c r="J9" i="36"/>
  <c r="H9" i="36"/>
  <c r="F9" i="36"/>
  <c r="AB26" i="37"/>
  <c r="U26" i="37"/>
  <c r="AB30" i="37"/>
  <c r="U30" i="37"/>
  <c r="F15" i="40"/>
  <c r="J15" i="40"/>
  <c r="F29" i="40"/>
  <c r="J29" i="40"/>
  <c r="F42" i="40"/>
  <c r="H42" i="40"/>
  <c r="AA31" i="35"/>
  <c r="S31" i="35"/>
  <c r="S22" i="31"/>
  <c r="AB45" i="39"/>
  <c r="AA17" i="40"/>
  <c r="S17" i="40"/>
  <c r="AA17" i="21"/>
  <c r="J23" i="21"/>
  <c r="AC46" i="21"/>
  <c r="AB32" i="21"/>
  <c r="W43" i="21"/>
  <c r="AA36" i="33"/>
  <c r="AB26" i="33"/>
  <c r="W10" i="34"/>
  <c r="U35" i="37"/>
  <c r="U9" i="35"/>
  <c r="AB11" i="34"/>
  <c r="U11" i="34"/>
  <c r="AA33" i="39"/>
  <c r="S16" i="39"/>
  <c r="U16" i="40"/>
  <c r="U17" i="34"/>
  <c r="AA14" i="35"/>
  <c r="AB15" i="34"/>
  <c r="U15" i="34"/>
  <c r="AC47" i="39"/>
  <c r="AC34" i="40"/>
  <c r="W34" i="40"/>
  <c r="J42" i="40"/>
  <c r="U40" i="40"/>
  <c r="AB40" i="40"/>
  <c r="AC41" i="39"/>
  <c r="W41" i="39"/>
  <c r="AA41" i="39"/>
  <c r="S41" i="39"/>
  <c r="AB47" i="39"/>
  <c r="U47" i="39"/>
  <c r="W25" i="39"/>
  <c r="AB41" i="40"/>
  <c r="U41" i="40"/>
  <c r="AB22" i="35"/>
  <c r="U22" i="35"/>
  <c r="S41" i="33"/>
  <c r="AA41" i="33"/>
  <c r="AA38" i="40"/>
  <c r="S38" i="40"/>
  <c r="F36" i="44"/>
  <c r="C36" i="44"/>
  <c r="AZ481" i="3"/>
  <c r="AZ518" i="3"/>
  <c r="W37" i="39"/>
  <c r="AC37" i="39"/>
  <c r="AC29" i="35"/>
  <c r="W29" i="35"/>
  <c r="U29" i="39"/>
  <c r="U44" i="39"/>
  <c r="AB44" i="39"/>
  <c r="W21" i="39"/>
  <c r="AC21" i="39"/>
  <c r="U8" i="35"/>
  <c r="U43" i="34"/>
  <c r="U31" i="34"/>
  <c r="S8" i="33"/>
  <c r="AB40" i="21"/>
  <c r="U40" i="21"/>
  <c r="H37" i="21"/>
  <c r="AB17" i="21"/>
  <c r="U17" i="21"/>
  <c r="AB26" i="21"/>
  <c r="S26" i="21"/>
  <c r="W35" i="34"/>
  <c r="AC35" i="34"/>
  <c r="AA16" i="35"/>
  <c r="S16" i="35"/>
  <c r="AZ356" i="3"/>
  <c r="AZ354" i="3"/>
  <c r="AC12" i="37"/>
  <c r="W12" i="37"/>
  <c r="F9" i="37"/>
  <c r="J37" i="21"/>
  <c r="AB43" i="33"/>
  <c r="W23" i="37"/>
  <c r="AC23" i="37"/>
  <c r="AZ492" i="3"/>
  <c r="AZ520" i="3"/>
  <c r="AZ505" i="3"/>
  <c r="AZ565" i="3"/>
  <c r="AA38" i="37"/>
  <c r="AC38" i="37"/>
  <c r="W38" i="37"/>
  <c r="AA28" i="37"/>
  <c r="S28" i="37"/>
  <c r="S13" i="37"/>
  <c r="AA13" i="37"/>
  <c r="W25" i="36"/>
  <c r="AC25" i="36"/>
  <c r="S35" i="35"/>
  <c r="AA35" i="35"/>
  <c r="AC25" i="35"/>
  <c r="W25" i="35"/>
  <c r="AC47" i="34"/>
  <c r="W47" i="34"/>
  <c r="U47" i="34"/>
  <c r="AB47" i="34"/>
  <c r="S31" i="34"/>
  <c r="AA31" i="34"/>
  <c r="AC31" i="34"/>
  <c r="W31" i="34"/>
  <c r="S29" i="34"/>
  <c r="AA29" i="34"/>
  <c r="AA13" i="34"/>
  <c r="S13" i="34"/>
  <c r="S44" i="33"/>
  <c r="AA44" i="33"/>
  <c r="U44" i="33"/>
  <c r="AB44" i="33"/>
  <c r="U37" i="37"/>
  <c r="AB37" i="37"/>
  <c r="S13" i="36"/>
  <c r="AA13" i="36"/>
  <c r="W29" i="33"/>
  <c r="AC29" i="33"/>
  <c r="S27" i="33"/>
  <c r="AA27" i="33"/>
  <c r="U45" i="21"/>
  <c r="AB45" i="21"/>
  <c r="S29" i="21"/>
  <c r="AA29" i="21"/>
  <c r="AC29" i="21"/>
  <c r="W29" i="21"/>
  <c r="U13" i="21"/>
  <c r="AB13" i="21"/>
  <c r="S28" i="36"/>
  <c r="AA28" i="36"/>
  <c r="H28" i="33"/>
  <c r="AB46" i="21"/>
  <c r="U46" i="21"/>
  <c r="AB28" i="21"/>
  <c r="U28" i="21"/>
  <c r="BQ5" i="3"/>
  <c r="F28" i="6"/>
  <c r="S38" i="34"/>
  <c r="W42" i="34"/>
  <c r="C23" i="39"/>
  <c r="F39" i="37"/>
  <c r="W26" i="21"/>
  <c r="AC26" i="21"/>
  <c r="AC10" i="21"/>
  <c r="W10" i="21"/>
  <c r="AC8" i="21"/>
  <c r="W8" i="21"/>
  <c r="W40" i="21"/>
  <c r="AC40" i="21"/>
  <c r="S36" i="21"/>
  <c r="AA36" i="21"/>
  <c r="H5" i="3"/>
  <c r="BA570" i="3"/>
  <c r="AZ570" i="3"/>
  <c r="BH5" i="3"/>
  <c r="E101" i="21"/>
  <c r="F101" i="21"/>
  <c r="G101" i="21"/>
  <c r="H101" i="21"/>
  <c r="I101" i="21"/>
  <c r="J101" i="21"/>
  <c r="K101" i="21"/>
  <c r="L101" i="21"/>
  <c r="M101" i="21"/>
  <c r="F32" i="21"/>
  <c r="AB42" i="21"/>
  <c r="U42" i="21"/>
  <c r="E125" i="21"/>
  <c r="F125" i="21"/>
  <c r="G125" i="21"/>
  <c r="F43" i="21"/>
  <c r="H43" i="21"/>
  <c r="B69" i="46"/>
  <c r="C17" i="39"/>
  <c r="B58" i="46"/>
  <c r="C21" i="39"/>
  <c r="B76" i="46"/>
  <c r="B55" i="46"/>
  <c r="B72" i="46"/>
  <c r="B62" i="46"/>
  <c r="W41" i="33"/>
  <c r="J9" i="33"/>
  <c r="H9" i="33"/>
  <c r="F9" i="33"/>
  <c r="S40" i="34"/>
  <c r="AA40" i="34"/>
  <c r="AB44" i="34"/>
  <c r="U44" i="34"/>
  <c r="J27" i="34"/>
  <c r="H27" i="34"/>
  <c r="F27" i="34"/>
  <c r="U40" i="34"/>
  <c r="AB40" i="34"/>
  <c r="J13" i="33"/>
  <c r="H13" i="33"/>
  <c r="H29" i="33"/>
  <c r="F29" i="33"/>
  <c r="J24" i="36"/>
  <c r="H24" i="36"/>
  <c r="F24" i="36"/>
  <c r="H34" i="36"/>
  <c r="J34" i="36"/>
  <c r="F34" i="36"/>
  <c r="W31" i="36"/>
  <c r="AC31" i="36"/>
  <c r="AA25" i="37"/>
  <c r="S25" i="37"/>
  <c r="J26" i="37"/>
  <c r="F26" i="37"/>
  <c r="AA34" i="40"/>
  <c r="S34" i="40"/>
  <c r="F38" i="39"/>
  <c r="J38" i="39"/>
  <c r="H38" i="39"/>
  <c r="BL569" i="3"/>
  <c r="AZ569" i="3"/>
  <c r="BA568" i="3"/>
  <c r="AZ568" i="3"/>
  <c r="BL567" i="3"/>
  <c r="AZ567" i="3"/>
  <c r="BA561" i="3"/>
  <c r="AZ561" i="3"/>
  <c r="BL560" i="3"/>
  <c r="BA560" i="3"/>
  <c r="BL559" i="3"/>
  <c r="AZ559" i="3"/>
  <c r="BL558" i="3"/>
  <c r="AZ558" i="3"/>
  <c r="BL557" i="3"/>
  <c r="BA557" i="3"/>
  <c r="AZ557" i="3"/>
  <c r="BL556" i="3"/>
  <c r="BA556" i="3"/>
  <c r="AZ556" i="3"/>
  <c r="BA555" i="3"/>
  <c r="AZ555" i="3"/>
  <c r="BL552" i="3"/>
  <c r="AZ552" i="3"/>
  <c r="BA547" i="3"/>
  <c r="AZ547" i="3"/>
  <c r="BA546" i="3"/>
  <c r="AZ546" i="3"/>
  <c r="BL545" i="3"/>
  <c r="BA545" i="3"/>
  <c r="BL543" i="3"/>
  <c r="AZ543" i="3"/>
  <c r="BA535" i="3"/>
  <c r="AZ535" i="3"/>
  <c r="BA534" i="3"/>
  <c r="AZ534" i="3"/>
  <c r="BL533" i="3"/>
  <c r="BA533" i="3"/>
  <c r="AZ533" i="3"/>
  <c r="BA532" i="3"/>
  <c r="AZ532" i="3"/>
  <c r="BL531" i="3"/>
  <c r="BA531" i="3"/>
  <c r="AZ531" i="3"/>
  <c r="BA526" i="3"/>
  <c r="AZ526" i="3"/>
  <c r="BA525" i="3"/>
  <c r="AZ525" i="3"/>
  <c r="BL523" i="3"/>
  <c r="AZ523" i="3"/>
  <c r="BA522" i="3"/>
  <c r="AZ522" i="3"/>
  <c r="BL521" i="3"/>
  <c r="AZ521" i="3"/>
  <c r="BA519" i="3"/>
  <c r="AZ519" i="3"/>
  <c r="BL511" i="3"/>
  <c r="AZ511" i="3"/>
  <c r="BL510" i="3"/>
  <c r="AZ510" i="3"/>
  <c r="BA509" i="3"/>
  <c r="AZ509" i="3"/>
  <c r="BL508" i="3"/>
  <c r="AZ508" i="3"/>
  <c r="BA507" i="3"/>
  <c r="AZ507" i="3"/>
  <c r="BL506" i="3"/>
  <c r="AZ506" i="3"/>
  <c r="BA504" i="3"/>
  <c r="AZ504" i="3"/>
  <c r="BA494" i="3"/>
  <c r="AZ494" i="3"/>
  <c r="BL493" i="3"/>
  <c r="AZ493" i="3"/>
  <c r="BL491" i="3"/>
  <c r="AZ491" i="3"/>
  <c r="BP5" i="3"/>
  <c r="G29" i="6"/>
  <c r="E29" i="6"/>
  <c r="BK5" i="3"/>
  <c r="BI5" i="3"/>
  <c r="BG5" i="3"/>
  <c r="BE5" i="3"/>
  <c r="BA490" i="3"/>
  <c r="AZ490" i="3"/>
  <c r="BC5" i="3"/>
  <c r="BL489" i="3"/>
  <c r="AZ489" i="3"/>
  <c r="BA486" i="3"/>
  <c r="AZ486" i="3"/>
  <c r="BT5" i="3"/>
  <c r="G28" i="6"/>
  <c r="BL20" i="3"/>
  <c r="BA20" i="3"/>
  <c r="AZ20" i="3"/>
  <c r="BL19" i="3"/>
  <c r="AZ19" i="3"/>
  <c r="G15" i="3"/>
  <c r="AC5" i="3"/>
  <c r="AZ396" i="3"/>
  <c r="AZ412" i="3"/>
  <c r="AZ419" i="3"/>
  <c r="AZ425" i="3"/>
  <c r="AZ429" i="3"/>
  <c r="AZ445" i="3"/>
  <c r="AZ448" i="3"/>
  <c r="AZ472" i="3"/>
  <c r="AZ206" i="3"/>
  <c r="AZ210" i="3"/>
  <c r="AZ226" i="3"/>
  <c r="AZ242" i="3"/>
  <c r="AZ389" i="3"/>
  <c r="AZ400" i="3"/>
  <c r="AZ404" i="3"/>
  <c r="AZ416" i="3"/>
  <c r="AZ421" i="3"/>
  <c r="AZ476" i="3"/>
  <c r="AZ480" i="3"/>
  <c r="AZ384" i="3"/>
  <c r="AZ386" i="3"/>
  <c r="AZ218" i="3"/>
  <c r="AZ234" i="3"/>
  <c r="AZ250" i="3"/>
  <c r="AZ262" i="3"/>
  <c r="BA13" i="3"/>
  <c r="AZ275" i="3"/>
  <c r="AZ279" i="3"/>
  <c r="AZ291" i="3"/>
  <c r="AZ294" i="3"/>
  <c r="AZ113" i="3"/>
  <c r="AZ116" i="3"/>
  <c r="AZ129" i="3"/>
  <c r="AZ132" i="3"/>
  <c r="AZ145" i="3"/>
  <c r="AZ148" i="3"/>
  <c r="AZ25" i="3"/>
  <c r="AZ30" i="3"/>
  <c r="AZ68" i="3"/>
  <c r="AZ85" i="3"/>
  <c r="AZ88" i="3"/>
  <c r="AZ95" i="3"/>
  <c r="AZ101" i="3"/>
  <c r="AZ104" i="3"/>
  <c r="AZ111" i="3"/>
  <c r="AZ37" i="3"/>
  <c r="AZ44" i="3"/>
  <c r="AZ50" i="3"/>
  <c r="AZ53" i="3"/>
  <c r="AZ60" i="3"/>
  <c r="AZ72" i="3"/>
  <c r="AZ77" i="3"/>
  <c r="B65" i="46"/>
  <c r="B54" i="46"/>
  <c r="AA21" i="34"/>
  <c r="S21" i="34"/>
  <c r="C53" i="59"/>
  <c r="D54" i="59"/>
  <c r="AI10" i="46"/>
  <c r="AI12" i="46"/>
  <c r="AA10" i="46"/>
  <c r="AA12" i="46"/>
  <c r="E26" i="57"/>
  <c r="D22" i="15"/>
  <c r="D23" i="15"/>
  <c r="C31" i="39"/>
  <c r="B85" i="46"/>
  <c r="C27" i="40"/>
  <c r="AA27" i="40"/>
  <c r="S27" i="40"/>
  <c r="AA18" i="35"/>
  <c r="S18" i="35"/>
  <c r="T31" i="59"/>
  <c r="T19" i="59"/>
  <c r="N16" i="4"/>
  <c r="K17" i="4"/>
  <c r="A22" i="51"/>
  <c r="B16" i="63"/>
  <c r="C43" i="59"/>
  <c r="C51" i="59"/>
  <c r="D70" i="59"/>
  <c r="C65" i="59"/>
  <c r="D65" i="59"/>
  <c r="D49" i="59"/>
  <c r="D41" i="59"/>
  <c r="C26" i="59"/>
  <c r="N55" i="59"/>
  <c r="B54" i="59"/>
  <c r="S55" i="59"/>
  <c r="V55" i="59"/>
  <c r="F54" i="59"/>
  <c r="Q55" i="59"/>
  <c r="T63" i="59"/>
  <c r="D63" i="59"/>
  <c r="K76" i="9"/>
  <c r="K77" i="9"/>
  <c r="K79" i="9"/>
  <c r="K81" i="9"/>
  <c r="F13" i="15"/>
  <c r="F36" i="15"/>
  <c r="F26" i="15"/>
  <c r="M6" i="15"/>
  <c r="C18" i="44"/>
  <c r="F37" i="15"/>
  <c r="L48" i="15"/>
  <c r="F16" i="15"/>
  <c r="M9" i="15"/>
  <c r="M26" i="15"/>
  <c r="F9" i="15"/>
  <c r="F43" i="15"/>
  <c r="M27" i="15"/>
  <c r="L47" i="15"/>
  <c r="E3" i="65"/>
  <c r="D105" i="46"/>
  <c r="S4" i="46"/>
  <c r="AA13" i="46"/>
  <c r="AI13" i="46"/>
  <c r="D103" i="46"/>
  <c r="D104" i="46"/>
  <c r="H107" i="46"/>
  <c r="J105" i="46"/>
  <c r="J109" i="46"/>
  <c r="S7" i="46"/>
  <c r="H105" i="46"/>
  <c r="H104" i="46"/>
  <c r="H103" i="46"/>
  <c r="H109" i="46"/>
  <c r="H106" i="46"/>
  <c r="M109" i="46"/>
  <c r="M106" i="46"/>
  <c r="D107" i="46"/>
  <c r="D102" i="46"/>
  <c r="M107" i="46"/>
  <c r="M104" i="46"/>
  <c r="M102" i="46"/>
  <c r="J106" i="46"/>
  <c r="J107" i="46"/>
  <c r="J103" i="46"/>
  <c r="D22" i="46"/>
  <c r="I102" i="46"/>
  <c r="I106" i="46"/>
  <c r="I109" i="46"/>
  <c r="I105" i="46"/>
  <c r="I104" i="46"/>
  <c r="I103" i="46"/>
  <c r="I107" i="46"/>
  <c r="G106" i="46"/>
  <c r="G104" i="46"/>
  <c r="G107" i="46"/>
  <c r="G103" i="46"/>
  <c r="G105" i="46"/>
  <c r="G102" i="46"/>
  <c r="G109" i="46"/>
  <c r="L102" i="46"/>
  <c r="L104" i="46"/>
  <c r="L109" i="46"/>
  <c r="L107" i="46"/>
  <c r="L105" i="46"/>
  <c r="L106" i="46"/>
  <c r="L103" i="46"/>
  <c r="K107" i="46"/>
  <c r="K102" i="46"/>
  <c r="K104" i="46"/>
  <c r="K109" i="46"/>
  <c r="K103" i="46"/>
  <c r="K106" i="46"/>
  <c r="K105" i="46"/>
  <c r="N105" i="46"/>
  <c r="N104" i="46"/>
  <c r="N109" i="46"/>
  <c r="N103" i="46"/>
  <c r="N107" i="46"/>
  <c r="N106" i="46"/>
  <c r="N102"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I115" i="46"/>
  <c r="J115" i="46"/>
  <c r="K115" i="46"/>
  <c r="L115" i="46"/>
  <c r="M115" i="46"/>
  <c r="B115" i="46"/>
  <c r="B116" i="46"/>
  <c r="C116" i="46"/>
  <c r="D118" i="46"/>
  <c r="E118" i="46"/>
  <c r="F118" i="46"/>
  <c r="I117" i="46"/>
  <c r="J117" i="46"/>
  <c r="K117" i="46"/>
  <c r="L117" i="46"/>
  <c r="M117" i="46"/>
  <c r="B117" i="46"/>
  <c r="C117" i="46"/>
  <c r="E104" i="46"/>
  <c r="E105" i="46"/>
  <c r="E102" i="46"/>
  <c r="E106" i="46"/>
  <c r="E103" i="46"/>
  <c r="E107" i="46"/>
  <c r="E109" i="46"/>
  <c r="S2" i="46"/>
  <c r="T2" i="46"/>
  <c r="V2" i="46"/>
  <c r="S3" i="46"/>
  <c r="T3" i="46"/>
  <c r="V3" i="46"/>
  <c r="F70" i="15"/>
  <c r="L58" i="15"/>
  <c r="L59" i="15"/>
  <c r="F64" i="15"/>
  <c r="I54" i="15"/>
  <c r="L56" i="15"/>
  <c r="J57" i="15"/>
  <c r="J55" i="15"/>
  <c r="J58" i="15"/>
  <c r="Q51" i="15"/>
  <c r="J53" i="15"/>
  <c r="C6" i="15"/>
  <c r="C27" i="15"/>
  <c r="J6" i="15"/>
  <c r="F63" i="15"/>
  <c r="F17" i="11"/>
  <c r="C17" i="11"/>
  <c r="K15" i="1"/>
  <c r="L19" i="6"/>
  <c r="L27" i="6"/>
  <c r="G30" i="6"/>
  <c r="G31" i="6"/>
  <c r="J20" i="44"/>
  <c r="F53" i="59"/>
  <c r="Q54" i="59"/>
  <c r="D51" i="59"/>
  <c r="T51" i="59"/>
  <c r="B53" i="59"/>
  <c r="N54" i="59"/>
  <c r="D26" i="59"/>
  <c r="C27" i="59"/>
  <c r="D43" i="59"/>
  <c r="T43" i="59"/>
  <c r="AP16" i="1"/>
  <c r="F22" i="11"/>
  <c r="AZ13" i="3"/>
  <c r="BA5" i="3"/>
  <c r="E27" i="6"/>
  <c r="E15" i="6"/>
  <c r="E12" i="6"/>
  <c r="E11" i="6"/>
  <c r="E14" i="6"/>
  <c r="E13" i="6"/>
  <c r="E10" i="6"/>
  <c r="AZ545" i="3"/>
  <c r="AZ560" i="3"/>
  <c r="AB38" i="39"/>
  <c r="U38" i="39"/>
  <c r="AA38" i="39"/>
  <c r="S38" i="39"/>
  <c r="W26" i="37"/>
  <c r="AC26" i="37"/>
  <c r="AC34" i="36"/>
  <c r="W34" i="36"/>
  <c r="AA24" i="36"/>
  <c r="S24" i="36"/>
  <c r="W24" i="36"/>
  <c r="AC24" i="36"/>
  <c r="AB29" i="33"/>
  <c r="U29" i="33"/>
  <c r="AC13" i="33"/>
  <c r="W13" i="33"/>
  <c r="U27" i="34"/>
  <c r="AB27" i="34"/>
  <c r="AA9" i="33"/>
  <c r="S9" i="33"/>
  <c r="W9" i="33"/>
  <c r="AC9" i="33"/>
  <c r="AB43" i="21"/>
  <c r="U43" i="21"/>
  <c r="E5" i="6"/>
  <c r="S39" i="37"/>
  <c r="AA39" i="37"/>
  <c r="F30" i="6"/>
  <c r="E28" i="6"/>
  <c r="W37" i="21"/>
  <c r="AC37" i="21"/>
  <c r="U37" i="21"/>
  <c r="AB37" i="21"/>
  <c r="W14" i="39"/>
  <c r="W23" i="21"/>
  <c r="AC23" i="21"/>
  <c r="AB42" i="40"/>
  <c r="U42" i="40"/>
  <c r="W29" i="40"/>
  <c r="AC29" i="40"/>
  <c r="AC15" i="40"/>
  <c r="W15" i="40"/>
  <c r="AA9" i="36"/>
  <c r="S9" i="36"/>
  <c r="W9" i="36"/>
  <c r="AC9" i="36"/>
  <c r="W23" i="35"/>
  <c r="AC23" i="35"/>
  <c r="S46" i="34"/>
  <c r="AA46" i="34"/>
  <c r="AC32" i="34"/>
  <c r="W32" i="34"/>
  <c r="AB32" i="34"/>
  <c r="U32" i="34"/>
  <c r="S30" i="34"/>
  <c r="AA30" i="34"/>
  <c r="U14" i="34"/>
  <c r="AB14" i="34"/>
  <c r="AC14" i="34"/>
  <c r="W14" i="34"/>
  <c r="U12" i="34"/>
  <c r="AB12" i="34"/>
  <c r="AA45" i="33"/>
  <c r="S45" i="33"/>
  <c r="U45" i="33"/>
  <c r="AB45" i="33"/>
  <c r="W26" i="33"/>
  <c r="AC26" i="33"/>
  <c r="S28" i="33"/>
  <c r="AA28" i="33"/>
  <c r="AA9" i="21"/>
  <c r="S9" i="21"/>
  <c r="BL5" i="3"/>
  <c r="E8" i="6"/>
  <c r="C15" i="43"/>
  <c r="H7" i="33"/>
  <c r="F7" i="33"/>
  <c r="D6" i="59"/>
  <c r="C5" i="59"/>
  <c r="H59" i="34"/>
  <c r="C38" i="46"/>
  <c r="C34" i="46"/>
  <c r="C36" i="46"/>
  <c r="C35" i="46"/>
  <c r="C33" i="46"/>
  <c r="C37" i="46"/>
  <c r="C39" i="46"/>
  <c r="AC7" i="35"/>
  <c r="V38" i="35"/>
  <c r="I38" i="35"/>
  <c r="W7" i="35"/>
  <c r="U7" i="36"/>
  <c r="AB7" i="36"/>
  <c r="T36" i="36"/>
  <c r="G36" i="36"/>
  <c r="W7" i="36"/>
  <c r="AC7" i="36"/>
  <c r="V36" i="36"/>
  <c r="I36" i="36"/>
  <c r="J72" i="39"/>
  <c r="K70" i="39"/>
  <c r="AC7" i="37"/>
  <c r="V42" i="37"/>
  <c r="I42" i="37"/>
  <c r="W7" i="37"/>
  <c r="AA7" i="37"/>
  <c r="R42" i="37"/>
  <c r="S7" i="37"/>
  <c r="Q76" i="44"/>
  <c r="Q63" i="44"/>
  <c r="F13" i="44"/>
  <c r="C12" i="44"/>
  <c r="C7" i="44"/>
  <c r="F11" i="15"/>
  <c r="M11" i="15"/>
  <c r="J10" i="15"/>
  <c r="M13" i="44"/>
  <c r="J12" i="44"/>
  <c r="J7" i="44"/>
  <c r="P28" i="46"/>
  <c r="O28" i="46"/>
  <c r="M28" i="46"/>
  <c r="N28" i="46"/>
  <c r="D53" i="59"/>
  <c r="O52" i="59"/>
  <c r="O53" i="59"/>
  <c r="W38" i="39"/>
  <c r="AC38" i="39"/>
  <c r="AA26" i="37"/>
  <c r="S26" i="37"/>
  <c r="AA34" i="36"/>
  <c r="S34" i="36"/>
  <c r="AB34" i="36"/>
  <c r="U34" i="36"/>
  <c r="AB24" i="36"/>
  <c r="U24" i="36"/>
  <c r="AA29" i="33"/>
  <c r="S29" i="33"/>
  <c r="U13" i="33"/>
  <c r="AB13" i="33"/>
  <c r="S27" i="34"/>
  <c r="AA27" i="34"/>
  <c r="W27" i="34"/>
  <c r="AC27" i="34"/>
  <c r="U9" i="33"/>
  <c r="AB9" i="33"/>
  <c r="AA43" i="21"/>
  <c r="S43" i="21"/>
  <c r="S32" i="21"/>
  <c r="AA32" i="21"/>
  <c r="U28" i="33"/>
  <c r="AB28" i="33"/>
  <c r="S9" i="37"/>
  <c r="AA9" i="37"/>
  <c r="G5" i="3"/>
  <c r="B3" i="3"/>
  <c r="AC42" i="40"/>
  <c r="W42" i="40"/>
  <c r="R22" i="31"/>
  <c r="B21" i="31"/>
  <c r="B20" i="31"/>
  <c r="AA42" i="40"/>
  <c r="S42" i="40"/>
  <c r="S29" i="40"/>
  <c r="AA29" i="40"/>
  <c r="S15" i="40"/>
  <c r="AA15" i="40"/>
  <c r="AB9" i="36"/>
  <c r="U9" i="36"/>
  <c r="AA23" i="35"/>
  <c r="S23" i="35"/>
  <c r="W46" i="34"/>
  <c r="AC46" i="34"/>
  <c r="AB46" i="34"/>
  <c r="U46" i="34"/>
  <c r="AA32" i="34"/>
  <c r="S32" i="34"/>
  <c r="AC30" i="34"/>
  <c r="W30" i="34"/>
  <c r="U30" i="34"/>
  <c r="AB30" i="34"/>
  <c r="S14" i="34"/>
  <c r="AA14" i="34"/>
  <c r="S12" i="34"/>
  <c r="AA12" i="34"/>
  <c r="W12" i="34"/>
  <c r="AC12" i="34"/>
  <c r="W45" i="33"/>
  <c r="AC45" i="33"/>
  <c r="S26" i="33"/>
  <c r="AA26" i="33"/>
  <c r="W28" i="33"/>
  <c r="AC28" i="33"/>
  <c r="AB9" i="21"/>
  <c r="U9" i="21"/>
  <c r="H16" i="1"/>
  <c r="G58" i="21"/>
  <c r="H58" i="21"/>
  <c r="I58" i="21"/>
  <c r="J58" i="21"/>
  <c r="K58" i="21"/>
  <c r="L58" i="21"/>
  <c r="M58" i="21"/>
  <c r="N58" i="21"/>
  <c r="O58" i="21"/>
  <c r="F7" i="21"/>
  <c r="AC7" i="33"/>
  <c r="V48" i="33"/>
  <c r="I48" i="33"/>
  <c r="W7" i="33"/>
  <c r="T15" i="46"/>
  <c r="V15" i="46"/>
  <c r="T9" i="46"/>
  <c r="V9" i="46"/>
  <c r="T8" i="46"/>
  <c r="V8" i="46"/>
  <c r="T6" i="46"/>
  <c r="V6" i="46"/>
  <c r="T10" i="46"/>
  <c r="V10" i="46"/>
  <c r="T13" i="46"/>
  <c r="V13" i="46"/>
  <c r="T12" i="46"/>
  <c r="V12" i="46"/>
  <c r="T14" i="46"/>
  <c r="V14" i="46"/>
  <c r="T16" i="46"/>
  <c r="V16" i="46"/>
  <c r="T4" i="46"/>
  <c r="V4" i="46"/>
  <c r="T11" i="46"/>
  <c r="V11" i="46"/>
  <c r="C29" i="46"/>
  <c r="T5" i="46"/>
  <c r="V5" i="46"/>
  <c r="T7" i="46"/>
  <c r="V7" i="46"/>
  <c r="AA7" i="35"/>
  <c r="R38" i="35"/>
  <c r="S7" i="35"/>
  <c r="U7" i="35"/>
  <c r="AB7" i="35"/>
  <c r="T38" i="35"/>
  <c r="G38" i="35"/>
  <c r="S7" i="36"/>
  <c r="AA7" i="36"/>
  <c r="R36" i="36"/>
  <c r="M65" i="40"/>
  <c r="L67" i="40"/>
  <c r="U7" i="37"/>
  <c r="AB7" i="37"/>
  <c r="T42" i="37"/>
  <c r="G42" i="37"/>
  <c r="Q75" i="44"/>
  <c r="Q62" i="44"/>
  <c r="C48" i="15"/>
  <c r="L47" i="44"/>
  <c r="Q54" i="44"/>
  <c r="F1" i="44"/>
  <c r="C34" i="44"/>
  <c r="C16" i="15"/>
  <c r="F26" i="44"/>
  <c r="C26" i="44"/>
  <c r="F24" i="15"/>
  <c r="C24" i="15"/>
  <c r="F21" i="43"/>
  <c r="C23" i="43"/>
  <c r="D21" i="43"/>
  <c r="C115" i="46"/>
  <c r="D113" i="46"/>
  <c r="J28" i="44"/>
  <c r="J31" i="44"/>
  <c r="J26" i="44"/>
  <c r="N65" i="40"/>
  <c r="N67" i="40"/>
  <c r="M67" i="40"/>
  <c r="E36" i="36"/>
  <c r="R37" i="36"/>
  <c r="G42" i="35"/>
  <c r="H42" i="35"/>
  <c r="G43" i="35"/>
  <c r="H43" i="35"/>
  <c r="AA7" i="21"/>
  <c r="S7" i="21"/>
  <c r="E297" i="3"/>
  <c r="E411" i="3"/>
  <c r="E395" i="3"/>
  <c r="E250" i="3"/>
  <c r="AN6" i="3"/>
  <c r="E41" i="3"/>
  <c r="E280" i="3"/>
  <c r="E471" i="3"/>
  <c r="E59" i="3"/>
  <c r="E418" i="3"/>
  <c r="E270" i="3"/>
  <c r="E408" i="3"/>
  <c r="E464" i="3"/>
  <c r="E92" i="3"/>
  <c r="E157" i="3"/>
  <c r="E238" i="3"/>
  <c r="E209" i="3"/>
  <c r="E414" i="3"/>
  <c r="E161" i="3"/>
  <c r="E44" i="3"/>
  <c r="E450" i="3"/>
  <c r="E202" i="3"/>
  <c r="E36" i="3"/>
  <c r="E149" i="3"/>
  <c r="E131" i="3"/>
  <c r="E295" i="3"/>
  <c r="E237" i="3"/>
  <c r="E249" i="3"/>
  <c r="E304" i="3"/>
  <c r="E89" i="3"/>
  <c r="E428" i="3"/>
  <c r="E165" i="3"/>
  <c r="E201" i="3"/>
  <c r="E100" i="3"/>
  <c r="E460" i="3"/>
  <c r="E404" i="3"/>
  <c r="E170" i="3"/>
  <c r="I3" i="6"/>
  <c r="E30" i="3"/>
  <c r="E274" i="3"/>
  <c r="E223" i="3"/>
  <c r="E463" i="3"/>
  <c r="E441" i="3"/>
  <c r="E32" i="3"/>
  <c r="E205" i="3"/>
  <c r="E292" i="3"/>
  <c r="E367" i="3"/>
  <c r="E399" i="3"/>
  <c r="E426" i="3"/>
  <c r="E415" i="3"/>
  <c r="E447" i="3"/>
  <c r="E478" i="3"/>
  <c r="E60" i="3"/>
  <c r="E80" i="3"/>
  <c r="E33" i="3"/>
  <c r="E317" i="3"/>
  <c r="E75" i="3"/>
  <c r="E28" i="3"/>
  <c r="E357" i="3"/>
  <c r="E178" i="3"/>
  <c r="E141" i="3"/>
  <c r="E119" i="3"/>
  <c r="E179" i="3"/>
  <c r="E168" i="3"/>
  <c r="E500" i="3"/>
  <c r="E48" i="3"/>
  <c r="E34" i="3"/>
  <c r="E97" i="3"/>
  <c r="E444" i="3"/>
  <c r="E438" i="3"/>
  <c r="E407" i="3"/>
  <c r="AE6" i="3"/>
  <c r="E383" i="3"/>
  <c r="E455" i="3"/>
  <c r="E550" i="3"/>
  <c r="E289" i="3"/>
  <c r="E247" i="3"/>
  <c r="E363" i="3"/>
  <c r="E136" i="3"/>
  <c r="E113" i="3"/>
  <c r="E79" i="3"/>
  <c r="E85" i="3"/>
  <c r="E425" i="3"/>
  <c r="E401" i="3"/>
  <c r="E332" i="3"/>
  <c r="E257" i="3"/>
  <c r="E245" i="3"/>
  <c r="E272" i="3"/>
  <c r="E139" i="3"/>
  <c r="E166" i="3"/>
  <c r="E52" i="3"/>
  <c r="E102" i="3"/>
  <c r="E445" i="3"/>
  <c r="E451" i="3"/>
  <c r="E25" i="3"/>
  <c r="E204" i="3"/>
  <c r="E258" i="3"/>
  <c r="E291" i="3"/>
  <c r="E207" i="3"/>
  <c r="E305" i="3"/>
  <c r="E479" i="3"/>
  <c r="E449" i="3"/>
  <c r="E73" i="3"/>
  <c r="E43" i="3"/>
  <c r="E365" i="3"/>
  <c r="E196" i="3"/>
  <c r="E126" i="3"/>
  <c r="E276" i="3"/>
  <c r="E248" i="3"/>
  <c r="E259" i="3"/>
  <c r="E211" i="3"/>
  <c r="E370" i="3"/>
  <c r="E336" i="3"/>
  <c r="E308" i="3"/>
  <c r="AR6" i="3"/>
  <c r="E416" i="3"/>
  <c r="E466" i="3"/>
  <c r="E477" i="3"/>
  <c r="E65" i="3"/>
  <c r="E96" i="3"/>
  <c r="E51" i="3"/>
  <c r="E540" i="3"/>
  <c r="E513" i="3"/>
  <c r="E160" i="3"/>
  <c r="E134" i="3"/>
  <c r="E345" i="3"/>
  <c r="E242" i="3"/>
  <c r="E281" i="3"/>
  <c r="AI6" i="3"/>
  <c r="E72" i="3"/>
  <c r="E133" i="3"/>
  <c r="E290" i="3"/>
  <c r="E239" i="3"/>
  <c r="E440" i="3"/>
  <c r="E87" i="3"/>
  <c r="E234" i="3"/>
  <c r="E331" i="3"/>
  <c r="E458" i="3"/>
  <c r="E40" i="3"/>
  <c r="E128" i="3"/>
  <c r="E29" i="3"/>
  <c r="E176" i="3"/>
  <c r="E150" i="3"/>
  <c r="E256" i="3"/>
  <c r="E228" i="3"/>
  <c r="E314" i="3"/>
  <c r="E525" i="3"/>
  <c r="E502" i="3"/>
  <c r="K6" i="3"/>
  <c r="E489" i="3"/>
  <c r="E456" i="3"/>
  <c r="E325" i="3"/>
  <c r="E353" i="3"/>
  <c r="E286" i="3"/>
  <c r="E396" i="3"/>
  <c r="E50" i="3"/>
  <c r="E183" i="3"/>
  <c r="E216" i="3"/>
  <c r="E236" i="3"/>
  <c r="E320" i="3"/>
  <c r="E392" i="3"/>
  <c r="E474" i="3"/>
  <c r="E45" i="3"/>
  <c r="E171" i="3"/>
  <c r="E284" i="3"/>
  <c r="E251" i="3"/>
  <c r="E354" i="3"/>
  <c r="E42" i="3"/>
  <c r="E56" i="3"/>
  <c r="T6" i="3"/>
  <c r="E531" i="3"/>
  <c r="E181" i="3"/>
  <c r="E122" i="3"/>
  <c r="E269" i="3"/>
  <c r="E208" i="3"/>
  <c r="E219" i="3"/>
  <c r="E344" i="3"/>
  <c r="E485" i="3"/>
  <c r="E483" i="3"/>
  <c r="E518" i="3"/>
  <c r="E497" i="3"/>
  <c r="E167" i="3"/>
  <c r="E566" i="3"/>
  <c r="E350" i="3"/>
  <c r="E496" i="3"/>
  <c r="E561" i="3"/>
  <c r="E283" i="3"/>
  <c r="E53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3" i="3"/>
  <c r="E265" i="3"/>
  <c r="AM6" i="3"/>
  <c r="E337" i="3"/>
  <c r="E158" i="3"/>
  <c r="E376" i="3"/>
  <c r="E294" i="3"/>
  <c r="E21" i="3"/>
  <c r="E64" i="3"/>
  <c r="E140" i="3"/>
  <c r="E343" i="3"/>
  <c r="E142" i="3"/>
  <c r="E410" i="3"/>
  <c r="E468" i="3"/>
  <c r="E109" i="3"/>
  <c r="E185" i="3"/>
  <c r="E148" i="3"/>
  <c r="E27" i="3"/>
  <c r="E412" i="3"/>
  <c r="E469" i="3"/>
  <c r="E293" i="3"/>
  <c r="E560" i="3"/>
  <c r="E111" i="3"/>
  <c r="E261"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66" i="3"/>
  <c r="E215" i="3"/>
  <c r="I6" i="3"/>
  <c r="E103" i="3"/>
  <c r="E200" i="3"/>
  <c r="E62" i="3"/>
  <c r="E389" i="3"/>
  <c r="E230" i="3"/>
  <c r="E143" i="3"/>
  <c r="E443" i="3"/>
  <c r="E194" i="3"/>
  <c r="E78" i="3"/>
  <c r="E390" i="3"/>
  <c r="E296" i="3"/>
  <c r="E534" i="3"/>
  <c r="E387" i="3"/>
  <c r="R6" i="3"/>
  <c r="E125" i="3"/>
  <c r="AH6" i="3"/>
  <c r="P6" i="3"/>
  <c r="E84" i="3"/>
  <c r="AP6" i="3"/>
  <c r="E431" i="3"/>
  <c r="E70" i="3"/>
  <c r="E38" i="3"/>
  <c r="E151" i="3"/>
  <c r="E313" i="3"/>
  <c r="E53" i="3"/>
  <c r="E405" i="3"/>
  <c r="W6" i="3"/>
  <c r="E190" i="3"/>
  <c r="E420" i="3"/>
  <c r="E233"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299" i="3"/>
  <c r="E327" i="3"/>
  <c r="E548" i="3"/>
  <c r="Z6" i="3"/>
  <c r="E454" i="3"/>
  <c r="E520" i="3"/>
  <c r="AK6" i="3"/>
  <c r="E360" i="3"/>
  <c r="E324" i="3"/>
  <c r="E506" i="3"/>
  <c r="E554" i="3"/>
  <c r="E549" i="3"/>
  <c r="E338" i="3"/>
  <c r="E330" i="3"/>
  <c r="E319" i="3"/>
  <c r="E144" i="3"/>
  <c r="E362" i="3"/>
  <c r="E539" i="3"/>
  <c r="Y6" i="3"/>
  <c r="Q6" i="3"/>
  <c r="AS6" i="3"/>
  <c r="AF6" i="3"/>
  <c r="E547" i="3"/>
  <c r="E532" i="3"/>
  <c r="E495" i="3"/>
  <c r="E491" i="3"/>
  <c r="E374" i="3"/>
  <c r="E335" i="3"/>
  <c r="E492" i="3"/>
  <c r="E546" i="3"/>
  <c r="E562" i="3"/>
  <c r="E571" i="3"/>
  <c r="J6" i="3"/>
  <c r="E334" i="3"/>
  <c r="E366" i="3"/>
  <c r="E340" i="3"/>
  <c r="E198" i="3"/>
  <c r="E373" i="3"/>
  <c r="E515" i="3"/>
  <c r="E526" i="3"/>
  <c r="U6" i="3"/>
  <c r="O6" i="3"/>
  <c r="AJ6" i="3"/>
  <c r="E569" i="3"/>
  <c r="E568" i="3"/>
  <c r="E559" i="3"/>
  <c r="E556" i="3"/>
  <c r="E553" i="3"/>
  <c r="E527" i="3"/>
  <c r="E521" i="3"/>
  <c r="R43" i="37"/>
  <c r="E42" i="37"/>
  <c r="I46" i="37"/>
  <c r="J46" i="37"/>
  <c r="I47" i="37"/>
  <c r="J47" i="37"/>
  <c r="I42" i="35"/>
  <c r="J42" i="35"/>
  <c r="G37" i="46"/>
  <c r="I37" i="46"/>
  <c r="E37" i="46"/>
  <c r="E35" i="46"/>
  <c r="G35" i="46"/>
  <c r="I35" i="46"/>
  <c r="E34" i="46"/>
  <c r="G34" i="46"/>
  <c r="I34" i="46"/>
  <c r="D5" i="59"/>
  <c r="AA7" i="33"/>
  <c r="R48" i="33"/>
  <c r="S7" i="33"/>
  <c r="E53" i="40"/>
  <c r="E58" i="39"/>
  <c r="F27" i="6"/>
  <c r="F31" i="6"/>
  <c r="F36" i="6"/>
  <c r="E16" i="6"/>
  <c r="K19" i="6"/>
  <c r="K22" i="6"/>
  <c r="K26" i="6"/>
  <c r="M26" i="6"/>
  <c r="I26" i="6"/>
  <c r="S26" i="6"/>
  <c r="K24" i="6"/>
  <c r="M24" i="6"/>
  <c r="I24" i="6"/>
  <c r="S24" i="6"/>
  <c r="K20" i="6"/>
  <c r="K21" i="6"/>
  <c r="E30" i="6"/>
  <c r="E31" i="6"/>
  <c r="K23" i="6"/>
  <c r="M23" i="6"/>
  <c r="I23" i="6"/>
  <c r="S23" i="6"/>
  <c r="K25" i="6"/>
  <c r="M25" i="6"/>
  <c r="I25" i="6"/>
  <c r="S25" i="6"/>
  <c r="D12" i="11"/>
  <c r="C12" i="11"/>
  <c r="E65" i="39"/>
  <c r="E60" i="40"/>
  <c r="E58" i="40"/>
  <c r="E63" i="39"/>
  <c r="E62" i="40"/>
  <c r="E67" i="39"/>
  <c r="AZ5" i="3"/>
  <c r="F18" i="11"/>
  <c r="C18" i="11"/>
  <c r="C19" i="11"/>
  <c r="F24" i="43"/>
  <c r="C26" i="43"/>
  <c r="D24" i="43"/>
  <c r="D27" i="59"/>
  <c r="M20" i="46"/>
  <c r="T27" i="59"/>
  <c r="H7" i="21"/>
  <c r="F1" i="15"/>
  <c r="Q53" i="15"/>
  <c r="Q61" i="15"/>
  <c r="Q74" i="15"/>
  <c r="C40" i="44"/>
  <c r="G46" i="37"/>
  <c r="H46" i="37"/>
  <c r="G47" i="37"/>
  <c r="H47" i="37"/>
  <c r="F9" i="40"/>
  <c r="J9" i="40"/>
  <c r="H9" i="40"/>
  <c r="E38" i="35"/>
  <c r="R39" i="35"/>
  <c r="C30" i="46"/>
  <c r="E30" i="46"/>
  <c r="E29" i="46"/>
  <c r="I52" i="33"/>
  <c r="J52" i="33"/>
  <c r="J7" i="21"/>
  <c r="E15" i="3"/>
  <c r="C52" i="15"/>
  <c r="C47" i="15"/>
  <c r="C10" i="15"/>
  <c r="C5" i="15"/>
  <c r="K72" i="39"/>
  <c r="L70" i="39"/>
  <c r="I40" i="36"/>
  <c r="J40" i="36"/>
  <c r="I41" i="36"/>
  <c r="J41" i="36"/>
  <c r="G41" i="36"/>
  <c r="H41" i="36"/>
  <c r="G40" i="36"/>
  <c r="H40" i="36"/>
  <c r="G39" i="46"/>
  <c r="I39" i="46"/>
  <c r="E39" i="46"/>
  <c r="E33" i="46"/>
  <c r="G33" i="46"/>
  <c r="I33" i="46"/>
  <c r="G36" i="46"/>
  <c r="I36" i="46"/>
  <c r="E36" i="46"/>
  <c r="G38" i="46"/>
  <c r="I38" i="46"/>
  <c r="E38" i="46"/>
  <c r="I59" i="34"/>
  <c r="AB7" i="33"/>
  <c r="T48" i="33"/>
  <c r="G48" i="33"/>
  <c r="U7" i="33"/>
  <c r="E66" i="39"/>
  <c r="E61" i="40"/>
  <c r="E59" i="40"/>
  <c r="E64" i="39"/>
  <c r="N53" i="59"/>
  <c r="N52" i="59"/>
  <c r="Q52" i="59"/>
  <c r="Q53" i="59"/>
  <c r="J18" i="15"/>
  <c r="J5" i="15"/>
  <c r="C32" i="15"/>
  <c r="Q75" i="15"/>
  <c r="Q62" i="15"/>
  <c r="AE8" i="1"/>
  <c r="L52" i="44"/>
  <c r="F7" i="67"/>
  <c r="Q69" i="44"/>
  <c r="L58" i="44"/>
  <c r="L61" i="44"/>
  <c r="E4" i="67"/>
  <c r="C65" i="15"/>
  <c r="C59" i="15"/>
  <c r="C20" i="11"/>
  <c r="C21" i="11"/>
  <c r="C22" i="11"/>
  <c r="C23" i="11"/>
  <c r="B2" i="11"/>
  <c r="C38" i="15"/>
  <c r="J26" i="15"/>
  <c r="J24" i="15"/>
  <c r="G53" i="33"/>
  <c r="H53" i="33"/>
  <c r="G52" i="33"/>
  <c r="H52" i="33"/>
  <c r="J59" i="34"/>
  <c r="AC7" i="21"/>
  <c r="W7" i="21"/>
  <c r="C27" i="46"/>
  <c r="E43" i="35"/>
  <c r="F43" i="35"/>
  <c r="E42" i="35"/>
  <c r="F42" i="35"/>
  <c r="AC9" i="40"/>
  <c r="V44" i="40"/>
  <c r="I44" i="40"/>
  <c r="W9" i="40"/>
  <c r="S7" i="1"/>
  <c r="M20" i="6"/>
  <c r="I20" i="6"/>
  <c r="S20" i="6"/>
  <c r="S9" i="1"/>
  <c r="M22" i="6"/>
  <c r="I22" i="6"/>
  <c r="S22" i="6"/>
  <c r="R49" i="33"/>
  <c r="E48" i="33"/>
  <c r="I43" i="35"/>
  <c r="J43" i="35"/>
  <c r="C43" i="37"/>
  <c r="B3" i="37"/>
  <c r="B2" i="37"/>
  <c r="C42" i="37"/>
  <c r="AC6" i="3"/>
  <c r="E40" i="36"/>
  <c r="F40" i="36"/>
  <c r="E41" i="36"/>
  <c r="F41" i="36"/>
  <c r="L72" i="39"/>
  <c r="M70" i="39"/>
  <c r="C26" i="46"/>
  <c r="C39" i="35"/>
  <c r="B3" i="35"/>
  <c r="B2" i="35"/>
  <c r="C38" i="35"/>
  <c r="U9" i="40"/>
  <c r="AB9" i="40"/>
  <c r="T44" i="40"/>
  <c r="G44" i="40"/>
  <c r="AA9" i="40"/>
  <c r="R44" i="40"/>
  <c r="S9" i="40"/>
  <c r="AB7" i="21"/>
  <c r="U7" i="21"/>
  <c r="E3" i="6"/>
  <c r="AY6" i="3"/>
  <c r="S8" i="1"/>
  <c r="M21" i="6"/>
  <c r="I21" i="6"/>
  <c r="S21" i="6"/>
  <c r="K16" i="1"/>
  <c r="S6" i="1"/>
  <c r="M19" i="6"/>
  <c r="K27" i="6"/>
  <c r="E47" i="37"/>
  <c r="F47" i="37"/>
  <c r="E46" i="37"/>
  <c r="F46" i="37"/>
  <c r="H6" i="3"/>
  <c r="C36" i="36"/>
  <c r="C37" i="36"/>
  <c r="B3" i="36"/>
  <c r="B2" i="36"/>
  <c r="Q58" i="44"/>
  <c r="Q49" i="44"/>
  <c r="Q55" i="44"/>
  <c r="Q67" i="44"/>
  <c r="F41" i="15"/>
  <c r="E7" i="67"/>
  <c r="C17" i="15"/>
  <c r="F68" i="15"/>
  <c r="J29" i="15"/>
  <c r="S16" i="1"/>
  <c r="T9" i="1"/>
  <c r="E6" i="3"/>
  <c r="E3" i="67"/>
  <c r="B3" i="11"/>
  <c r="I19" i="6"/>
  <c r="M27" i="6"/>
  <c r="C33" i="21"/>
  <c r="E6" i="6"/>
  <c r="D45" i="9"/>
  <c r="D10" i="11"/>
  <c r="L38" i="9"/>
  <c r="B14" i="66"/>
  <c r="B1" i="66"/>
  <c r="D16" i="43"/>
  <c r="C16" i="43"/>
  <c r="D46" i="9"/>
  <c r="C21" i="4"/>
  <c r="O5" i="54"/>
  <c r="B45" i="63"/>
  <c r="R45" i="40"/>
  <c r="E44" i="40"/>
  <c r="I49" i="40"/>
  <c r="J49" i="40"/>
  <c r="N70" i="39"/>
  <c r="N72" i="39"/>
  <c r="M72" i="39"/>
  <c r="C49" i="33"/>
  <c r="B3" i="33"/>
  <c r="B2" i="33"/>
  <c r="C48" i="33"/>
  <c r="I48" i="40"/>
  <c r="J48" i="40"/>
  <c r="K59" i="34"/>
  <c r="Q68" i="44"/>
  <c r="Q77" i="44"/>
  <c r="Q59" i="44"/>
  <c r="Q64" i="44"/>
  <c r="O16" i="1"/>
  <c r="T13" i="1"/>
  <c r="M16" i="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G49" i="40"/>
  <c r="H49" i="40"/>
  <c r="G48" i="40"/>
  <c r="H48" i="40"/>
  <c r="B2" i="46"/>
  <c r="E52" i="33"/>
  <c r="F52" i="33"/>
  <c r="E53" i="33"/>
  <c r="F53" i="33"/>
  <c r="I53" i="33"/>
  <c r="J53" i="33"/>
  <c r="B7" i="67"/>
  <c r="T6" i="1"/>
  <c r="T11" i="1"/>
  <c r="T12" i="1"/>
  <c r="T10" i="1"/>
  <c r="T8" i="1"/>
  <c r="T7" i="1"/>
  <c r="B5" i="11"/>
  <c r="C40" i="39"/>
  <c r="B2" i="67"/>
  <c r="W9" i="39"/>
  <c r="D4" i="46"/>
  <c r="B4" i="46"/>
  <c r="B3" i="46"/>
  <c r="L16" i="1"/>
  <c r="N16" i="1"/>
  <c r="C29" i="43"/>
  <c r="C13" i="43"/>
  <c r="S9" i="39"/>
  <c r="E48" i="40"/>
  <c r="F48" i="40"/>
  <c r="E49" i="40"/>
  <c r="F49" i="40"/>
  <c r="C7" i="66"/>
  <c r="C8" i="66"/>
  <c r="J33" i="21"/>
  <c r="H33" i="21"/>
  <c r="F33" i="21"/>
  <c r="S19" i="6"/>
  <c r="S27" i="6"/>
  <c r="I27" i="6"/>
  <c r="H22" i="6"/>
  <c r="H20" i="6"/>
  <c r="H21" i="6"/>
  <c r="H19" i="6"/>
  <c r="D20" i="6"/>
  <c r="D19" i="6"/>
  <c r="E63" i="40"/>
  <c r="D25" i="6"/>
  <c r="D13" i="6"/>
  <c r="D6" i="6"/>
  <c r="D14" i="6"/>
  <c r="D8" i="6"/>
  <c r="E45" i="9"/>
  <c r="D24" i="6"/>
  <c r="H26" i="6"/>
  <c r="D11" i="6"/>
  <c r="H25" i="6"/>
  <c r="D5" i="6"/>
  <c r="D15" i="6"/>
  <c r="F46" i="9"/>
  <c r="D22" i="6"/>
  <c r="R22" i="6"/>
  <c r="R9" i="1"/>
  <c r="D21" i="6"/>
  <c r="E68" i="39"/>
  <c r="C22" i="4"/>
  <c r="D10" i="6"/>
  <c r="H24" i="6"/>
  <c r="D23" i="6"/>
  <c r="D28" i="6"/>
  <c r="H23" i="6"/>
  <c r="F45" i="9"/>
  <c r="K38" i="9"/>
  <c r="C14" i="66"/>
  <c r="B2" i="66"/>
  <c r="D26" i="6"/>
  <c r="D12" i="6"/>
  <c r="D9" i="6"/>
  <c r="D29" i="6"/>
  <c r="E46" i="9"/>
  <c r="L59" i="34"/>
  <c r="U9" i="39"/>
  <c r="C44" i="40"/>
  <c r="C45" i="40"/>
  <c r="D13" i="11"/>
  <c r="C13" i="11"/>
  <c r="B4" i="11"/>
  <c r="C16" i="44"/>
  <c r="C14" i="15"/>
  <c r="T16" i="1"/>
  <c r="C18" i="15"/>
  <c r="C15" i="15"/>
  <c r="C20" i="44"/>
  <c r="C17" i="44"/>
  <c r="H27" i="6"/>
  <c r="R20" i="6"/>
  <c r="R7" i="1"/>
  <c r="M59" i="34"/>
  <c r="N59" i="34"/>
  <c r="O59" i="34"/>
  <c r="J7" i="34"/>
  <c r="H7" i="34"/>
  <c r="D7" i="66"/>
  <c r="D8" i="66"/>
  <c r="R23" i="6"/>
  <c r="AB33" i="21"/>
  <c r="U33" i="21"/>
  <c r="C14" i="43"/>
  <c r="C17" i="43"/>
  <c r="B55" i="40"/>
  <c r="F55" i="40"/>
  <c r="B53" i="40"/>
  <c r="F53" i="40"/>
  <c r="B57" i="40"/>
  <c r="F57" i="40"/>
  <c r="F63" i="40"/>
  <c r="B2" i="40"/>
  <c r="B56" i="40"/>
  <c r="F56" i="40"/>
  <c r="B60" i="40"/>
  <c r="F60" i="40"/>
  <c r="B61" i="40"/>
  <c r="F61" i="40"/>
  <c r="B58" i="40"/>
  <c r="F58" i="40"/>
  <c r="B59" i="40"/>
  <c r="F59" i="40"/>
  <c r="B54" i="40"/>
  <c r="F54" i="40"/>
  <c r="B62" i="40"/>
  <c r="F62" i="40"/>
  <c r="F7" i="34"/>
  <c r="R26" i="6"/>
  <c r="D30" i="6"/>
  <c r="A6" i="51"/>
  <c r="B7" i="63"/>
  <c r="A6" i="64"/>
  <c r="A20" i="51"/>
  <c r="B15" i="63"/>
  <c r="N5" i="54"/>
  <c r="B43" i="63"/>
  <c r="A20" i="64"/>
  <c r="R21" i="6"/>
  <c r="R8" i="1"/>
  <c r="R24" i="6"/>
  <c r="D16" i="6"/>
  <c r="R25" i="6"/>
  <c r="R19" i="6"/>
  <c r="D27" i="6"/>
  <c r="S33" i="21"/>
  <c r="AA33" i="21"/>
  <c r="W33" i="21"/>
  <c r="AC33" i="21"/>
  <c r="B4" i="67"/>
  <c r="B3" i="67"/>
  <c r="F35" i="15"/>
  <c r="M21" i="15"/>
  <c r="C21" i="44"/>
  <c r="C22" i="44"/>
  <c r="C25" i="44"/>
  <c r="C19" i="15"/>
  <c r="C20" i="15"/>
  <c r="S40" i="39"/>
  <c r="W40" i="39"/>
  <c r="U40" i="39"/>
  <c r="F62" i="15"/>
  <c r="C61" i="15"/>
  <c r="C34" i="15"/>
  <c r="J20" i="15"/>
  <c r="C18" i="43"/>
  <c r="C19" i="43"/>
  <c r="C22" i="43"/>
  <c r="C21" i="43"/>
  <c r="S7" i="34"/>
  <c r="AA7" i="34"/>
  <c r="R49" i="34"/>
  <c r="B3" i="40"/>
  <c r="B5" i="40"/>
  <c r="B4" i="40"/>
  <c r="AB7" i="34"/>
  <c r="T49" i="34"/>
  <c r="G49" i="34"/>
  <c r="U7" i="34"/>
  <c r="R6" i="1"/>
  <c r="R16" i="1"/>
  <c r="R27" i="6"/>
  <c r="D31" i="6"/>
  <c r="W7" i="34"/>
  <c r="AC7" i="34"/>
  <c r="V49" i="34"/>
  <c r="I49" i="34"/>
  <c r="C23" i="15"/>
  <c r="C26" i="15"/>
  <c r="C28" i="44"/>
  <c r="C31" i="44"/>
  <c r="C35" i="44"/>
  <c r="C33" i="44"/>
  <c r="C25" i="43"/>
  <c r="C24" i="43"/>
  <c r="C28" i="43"/>
  <c r="C30" i="43"/>
  <c r="C32" i="43"/>
  <c r="B2" i="43"/>
  <c r="C33" i="15"/>
  <c r="C31" i="15"/>
  <c r="I5" i="6"/>
  <c r="I6" i="6"/>
  <c r="C13" i="39"/>
  <c r="I53" i="34"/>
  <c r="J53" i="34"/>
  <c r="G54" i="34"/>
  <c r="H54" i="34"/>
  <c r="G53" i="34"/>
  <c r="H53" i="34"/>
  <c r="E49" i="34"/>
  <c r="R50" i="34"/>
  <c r="C29" i="15"/>
  <c r="C56" i="15"/>
  <c r="C63" i="15"/>
  <c r="C15" i="44"/>
  <c r="C39" i="44"/>
  <c r="J16" i="44"/>
  <c r="J24" i="44"/>
  <c r="J21" i="44"/>
  <c r="J19" i="44"/>
  <c r="C38" i="44"/>
  <c r="Q51" i="44"/>
  <c r="C11" i="21"/>
  <c r="H11" i="21"/>
  <c r="F11" i="21"/>
  <c r="J11" i="21"/>
  <c r="J59" i="15"/>
  <c r="J60" i="15"/>
  <c r="Q49" i="15"/>
  <c r="B3" i="43"/>
  <c r="B4" i="43"/>
  <c r="B5" i="43"/>
  <c r="C49" i="34"/>
  <c r="C50" i="34"/>
  <c r="B3" i="34"/>
  <c r="B2" i="34"/>
  <c r="C60" i="15"/>
  <c r="C58" i="15"/>
  <c r="E54" i="34"/>
  <c r="F54" i="34"/>
  <c r="E53" i="34"/>
  <c r="F53" i="34"/>
  <c r="I54" i="34"/>
  <c r="J54" i="34"/>
  <c r="L46" i="15"/>
  <c r="J14" i="15"/>
  <c r="J13" i="15"/>
  <c r="J23" i="15"/>
  <c r="Q50" i="15"/>
  <c r="C36" i="15"/>
  <c r="C13" i="15"/>
  <c r="J35" i="15"/>
  <c r="J19" i="15"/>
  <c r="J17" i="15"/>
  <c r="J15" i="44"/>
  <c r="J25" i="44"/>
  <c r="J18" i="44"/>
  <c r="J27" i="44"/>
  <c r="Q72" i="44"/>
  <c r="C43" i="44"/>
  <c r="C32" i="44"/>
  <c r="C42" i="44"/>
  <c r="Q71" i="44"/>
  <c r="Q70" i="44"/>
  <c r="U13" i="39"/>
  <c r="S13" i="39"/>
  <c r="W13" i="39"/>
  <c r="U11" i="21"/>
  <c r="AB11" i="21"/>
  <c r="T48" i="21"/>
  <c r="G48" i="21"/>
  <c r="W11" i="21"/>
  <c r="AC11" i="21"/>
  <c r="V48" i="21"/>
  <c r="I48" i="21"/>
  <c r="I52" i="21"/>
  <c r="J52" i="21"/>
  <c r="S11" i="21"/>
  <c r="AA11" i="21"/>
  <c r="R48" i="21"/>
  <c r="C55" i="15"/>
  <c r="C64" i="15"/>
  <c r="C57" i="15"/>
  <c r="C66" i="15"/>
  <c r="C67" i="15"/>
  <c r="Q71" i="15"/>
  <c r="J22" i="15"/>
  <c r="J16" i="15"/>
  <c r="J25" i="15"/>
  <c r="C37" i="15"/>
  <c r="C30" i="15"/>
  <c r="C39" i="15"/>
  <c r="C44" i="44"/>
  <c r="C45" i="44"/>
  <c r="B2" i="44"/>
  <c r="B4" i="44"/>
  <c r="C40" i="15"/>
  <c r="C46" i="15"/>
  <c r="R49" i="21"/>
  <c r="E48" i="21"/>
  <c r="G52" i="21"/>
  <c r="H52" i="21"/>
  <c r="G53" i="21"/>
  <c r="H53" i="21"/>
  <c r="L57" i="15"/>
  <c r="L60" i="15"/>
  <c r="C70" i="15"/>
  <c r="Q57" i="15"/>
  <c r="L51" i="15"/>
  <c r="B3" i="44"/>
  <c r="Q68" i="15"/>
  <c r="Q70" i="15"/>
  <c r="Q69" i="15"/>
  <c r="J39" i="15"/>
  <c r="J40" i="15"/>
  <c r="J42" i="15"/>
  <c r="J43" i="15"/>
  <c r="C43" i="15"/>
  <c r="B5" i="44"/>
  <c r="Q66" i="15"/>
  <c r="B2" i="15"/>
  <c r="B3" i="15"/>
  <c r="Q48" i="15"/>
  <c r="Q54" i="15"/>
  <c r="I53" i="21"/>
  <c r="J53" i="21"/>
  <c r="E53" i="21"/>
  <c r="F53" i="21"/>
  <c r="E52" i="21"/>
  <c r="F52" i="21"/>
  <c r="C49" i="21"/>
  <c r="B3" i="21"/>
  <c r="C48" i="21"/>
  <c r="Q58" i="15"/>
  <c r="Q63" i="15"/>
  <c r="Q67" i="15"/>
  <c r="Q76" i="15"/>
  <c r="B2" i="21"/>
  <c r="L44" i="9"/>
  <c r="B3" i="12"/>
  <c r="B4" i="12"/>
  <c r="B5" i="12"/>
  <c r="D21" i="9"/>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G14" i="66"/>
  <c r="D14" i="66"/>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O39" i="9"/>
  <c r="K29" i="9"/>
  <c r="K30" i="9"/>
  <c r="R6" i="54"/>
  <c r="B50" i="63"/>
  <c r="B5" i="66"/>
  <c r="D5" i="66"/>
  <c r="C5" i="66"/>
  <c r="B6" i="66"/>
  <c r="C6" i="66"/>
  <c r="D6" i="66"/>
  <c r="F14" i="66"/>
  <c r="E14" i="66"/>
  <c r="D44" i="9"/>
  <c r="E44" i="9"/>
  <c r="F44" i="9"/>
  <c r="C82" i="9"/>
  <c r="C81" i="9"/>
  <c r="C85" i="9"/>
  <c r="C86" i="9"/>
  <c r="D72" i="9"/>
  <c r="D70" i="9"/>
  <c r="C34" i="9"/>
  <c r="E42" i="9"/>
  <c r="P5" i="54"/>
  <c r="B46" i="63"/>
  <c r="M38" i="9"/>
  <c r="K27" i="9"/>
  <c r="O38" i="9"/>
  <c r="K26" i="9"/>
  <c r="K25" i="9"/>
  <c r="N68" i="9"/>
  <c r="R5" i="54"/>
  <c r="B48" i="63"/>
  <c r="C33" i="9"/>
  <c r="D42" i="9"/>
  <c r="Q5" i="54"/>
  <c r="B47" i="63"/>
  <c r="N38" i="9"/>
  <c r="K28" i="9"/>
  <c r="C35" i="9"/>
  <c r="F42" i="9"/>
  <c r="O43" i="9"/>
  <c r="G22" i="9"/>
  <c r="N43" i="9"/>
  <c r="B4" i="39"/>
  <c r="C21" i="9"/>
  <c r="G21" i="9"/>
  <c r="B3" i="39"/>
  <c r="C20" i="9"/>
  <c r="G20" i="9"/>
  <c r="D22" i="9"/>
  <c r="B5" i="39"/>
  <c r="L43" i="9"/>
  <c r="I49" i="39"/>
  <c r="E49" i="39"/>
  <c r="I54" i="39"/>
  <c r="J54" i="39"/>
  <c r="C49" i="39"/>
  <c r="G49" i="39"/>
  <c r="E54" i="39"/>
  <c r="F54" i="39"/>
  <c r="E53" i="39"/>
  <c r="F53" i="39"/>
  <c r="G53" i="39"/>
  <c r="H53" i="39"/>
  <c r="G54" i="39"/>
  <c r="H54" i="39"/>
  <c r="I53" i="39"/>
  <c r="J53" i="39"/>
  <c r="H12" i="40"/>
  <c r="AB12" i="40"/>
  <c r="U12" i="40"/>
  <c r="J12" i="40"/>
  <c r="AC12" i="40"/>
  <c r="W12" i="40"/>
  <c r="F12" i="40"/>
  <c r="S12" i="40"/>
  <c r="AA12" i="40"/>
  <c r="U12" i="39"/>
  <c r="W12" i="39"/>
  <c r="S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<sst xmlns="http://schemas.openxmlformats.org/spreadsheetml/2006/main" count="7567" uniqueCount="3369">
  <si>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</si>
  <si>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</si>
  <si>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</si>
  <si>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</si>
  <si>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</si>
  <si>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</si>
  <si>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</si>
  <si>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</si>
  <si>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</si>
  <si>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</si>
  <si>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</si>
  <si>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</si>
  <si>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</si>
  <si>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</si>
  <si>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</si>
  <si>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</si>
  <si>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</si>
  <si>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</si>
  <si>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</si>
  <si>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</si>
  <si>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</si>
  <si>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</si>
  <si>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</si>
  <si>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</si>
  <si>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</si>
  <si>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</si>
  <si>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</si>
  <si>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</si>
  <si>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</si>
  <si>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</si>
  <si>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</si>
  <si>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</si>
  <si>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</si>
  <si>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</si>
  <si>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</si>
  <si>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</si>
  <si>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</si>
  <si>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</si>
  <si>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</si>
  <si>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</si>
  <si>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</si>
  <si>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</si>
  <si>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</si>
  <si>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</si>
  <si>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</si>
  <si>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</si>
  <si>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</si>
  <si>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</si>
  <si>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</si>
  <si>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</si>
  <si>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</si>
  <si>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</si>
  <si>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</si>
  <si>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</si>
  <si>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</si>
  <si>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</si>
  <si>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</si>
  <si>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</si>
  <si>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</si>
  <si>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</si>
  <si>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</si>
  <si>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</si>
  <si>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</si>
  <si>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</si>
  <si>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</si>
  <si>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</si>
  <si>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</si>
  <si>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</si>
  <si>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</si>
  <si>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</si>
  <si>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</si>
  <si>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</si>
  <si>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</si>
  <si>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</si>
  <si>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</si>
  <si>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</si>
  <si>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</si>
  <si>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</si>
  <si>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</si>
  <si>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</si>
  <si>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</si>
  <si>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</si>
  <si>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</si>
  <si>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</si>
  <si>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</si>
  <si>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</si>
  <si>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</si>
  <si>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</si>
  <si>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</si>
  <si>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</si>
  <si>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</si>
  <si>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</si>
  <si>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</si>
  <si>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</si>
  <si>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</si>
  <si>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</si>
  <si>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</si>
  <si>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</si>
  <si>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</si>
  <si>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</si>
  <si>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</si>
  <si>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</si>
  <si>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</si>
  <si>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</si>
  <si>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</si>
  <si>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</si>
  <si>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</si>
  <si>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</si>
  <si>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</si>
  <si>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</si>
  <si>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</si>
  <si>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</si>
  <si>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</si>
  <si>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</si>
  <si>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</si>
  <si>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</si>
  <si>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</si>
  <si>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</si>
  <si>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</si>
  <si>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</si>
  <si>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</si>
  <si>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</si>
  <si>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</si>
  <si>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</si>
  <si>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</si>
  <si>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</si>
  <si>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</si>
  <si>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</si>
  <si>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</si>
  <si>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</si>
  <si>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</si>
  <si>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</si>
  <si>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</si>
  <si>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</si>
  <si>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</si>
  <si>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</si>
  <si>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</si>
  <si>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</si>
  <si>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</si>
  <si>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</si>
  <si>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</si>
  <si>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</si>
  <si>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</si>
  <si>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</si>
  <si>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</si>
  <si>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</si>
  <si>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</si>
  <si>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</si>
  <si>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</si>
  <si>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</si>
  <si>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</si>
  <si>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</si>
  <si>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</si>
  <si>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</si>
  <si>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</si>
  <si>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</si>
  <si>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</si>
  <si>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</si>
  <si>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</si>
  <si>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</si>
  <si>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</si>
  <si>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</si>
  <si>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</si>
  <si>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</si>
  <si>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</si>
  <si>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</si>
  <si>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</si>
  <si>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</si>
  <si>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</si>
  <si>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</si>
  <si>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</si>
  <si>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</si>
  <si>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</si>
  <si>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</si>
  <si>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</si>
  <si>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</si>
  <si>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</si>
  <si>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</si>
  <si>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</si>
  <si>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</si>
  <si>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</si>
  <si>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</si>
  <si>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</si>
  <si>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</si>
  <si>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</si>
  <si>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</si>
  <si>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</si>
  <si>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</si>
  <si>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</si>
  <si>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</si>
  <si>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</si>
  <si>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</si>
  <si>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</si>
  <si>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</si>
  <si>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</si>
  <si>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</si>
  <si>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</si>
  <si>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</si>
  <si>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</si>
  <si>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</si>
  <si>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</si>
  <si>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</si>
  <si>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</si>
  <si>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</si>
  <si>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</si>
  <si>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</si>
  <si>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</si>
  <si>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</si>
  <si>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</si>
  <si>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</si>
  <si>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</si>
  <si>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</si>
  <si>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</si>
  <si>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</si>
  <si>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</si>
  <si>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</si>
  <si>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</si>
  <si>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</si>
  <si>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</si>
  <si>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</si>
  <si>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</si>
  <si>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</si>
  <si>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</si>
  <si>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</si>
  <si>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</si>
  <si>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</si>
  <si>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</si>
  <si>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</si>
  <si>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</si>
  <si>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</si>
  <si>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</si>
  <si>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</si>
  <si>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</si>
  <si>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</si>
  <si>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</si>
  <si>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</si>
  <si>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</si>
  <si>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</si>
  <si>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</si>
  <si>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</si>
  <si>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</si>
  <si>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</si>
  <si>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</si>
  <si>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</si>
  <si>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</si>
  <si>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</si>
  <si>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</si>
  <si>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</si>
  <si>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</si>
  <si>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</si>
  <si>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</si>
  <si>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</si>
  <si>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</si>
  <si>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</si>
  <si>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</si>
  <si>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</si>
  <si>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</si>
  <si>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</si>
  <si>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</si>
  <si>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</si>
  <si>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</si>
  <si>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</si>
  <si>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</si>
  <si>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</si>
  <si>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</si>
  <si>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</si>
  <si>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</si>
  <si>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</si>
  <si>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</si>
  <si>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</si>
  <si>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</si>
  <si>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</si>
  <si>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</si>
  <si>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</si>
  <si>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</si>
  <si>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</si>
  <si>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</si>
  <si>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</si>
  <si>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</si>
  <si>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</si>
  <si>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</si>
  <si>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</si>
  <si>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</si>
  <si>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</si>
  <si>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</si>
  <si>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</si>
  <si>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</si>
  <si>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</si>
  <si>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</si>
  <si>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</si>
  <si>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</si>
  <si>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</si>
  <si>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</si>
  <si>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</si>
  <si>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</si>
  <si>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</si>
  <si>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</si>
  <si>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</si>
  <si>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</si>
  <si>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</si>
  <si>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</si>
  <si>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</si>
  <si>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</si>
  <si>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</si>
  <si>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</si>
  <si>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</si>
  <si>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</si>
  <si>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</si>
  <si>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</si>
  <si>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</si>
  <si>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</si>
  <si>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</si>
  <si>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</si>
  <si>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</si>
  <si>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</si>
  <si>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</si>
  <si>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</si>
  <si>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</si>
  <si>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</si>
  <si>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</si>
  <si>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</si>
  <si>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</si>
  <si>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</si>
  <si>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</si>
  <si>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</si>
  <si>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</si>
  <si>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</si>
  <si>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</si>
  <si>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</si>
  <si>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</si>
  <si>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</si>
  <si>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</si>
  <si>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</si>
  <si>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</si>
  <si>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</si>
  <si>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</si>
  <si>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</si>
  <si>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</si>
  <si>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</si>
  <si>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</si>
  <si>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</si>
  <si>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</si>
  <si>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</si>
  <si>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</si>
  <si>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</si>
  <si>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</si>
  <si>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</si>
  <si>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</si>
  <si>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</si>
  <si>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</si>
  <si>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</si>
  <si>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</si>
  <si>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</si>
  <si>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</si>
  <si>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</si>
  <si>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</si>
  <si>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</si>
  <si>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</si>
  <si>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</si>
  <si>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</si>
  <si>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</si>
  <si>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</si>
  <si>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</si>
  <si>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</si>
  <si>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</si>
  <si>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</si>
  <si>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</si>
  <si>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</si>
  <si>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</si>
  <si>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</si>
  <si>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</si>
  <si>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</si>
  <si>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</si>
  <si>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</si>
  <si>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</si>
  <si>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</si>
  <si>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</si>
  <si>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</si>
  <si>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</si>
  <si>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</si>
  <si>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</si>
  <si>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</si>
  <si>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</si>
  <si>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</si>
  <si>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</si>
  <si>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</si>
  <si>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</si>
  <si>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</si>
  <si>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</si>
  <si>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</si>
  <si>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</si>
  <si>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</si>
  <si>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</si>
  <si>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</si>
  <si>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</si>
  <si>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</si>
  <si>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</si>
  <si>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</si>
  <si>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</si>
  <si>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</si>
  <si>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</si>
  <si>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</si>
  <si>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</si>
  <si>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</si>
  <si>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</si>
  <si>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</si>
  <si>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</si>
  <si>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</si>
  <si>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</si>
  <si>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</si>
  <si>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</si>
  <si>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</si>
  <si>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</si>
  <si>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</si>
  <si>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</si>
  <si>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</si>
  <si>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</si>
  <si>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</si>
  <si>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</si>
  <si>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</si>
  <si>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</si>
  <si>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</si>
  <si>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</si>
  <si>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</si>
  <si>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</si>
  <si>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</si>
  <si>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</si>
  <si>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</si>
  <si>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</si>
  <si>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</si>
  <si>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</si>
  <si>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</si>
  <si>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</si>
  <si>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</si>
  <si>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</si>
  <si>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</si>
  <si>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</si>
  <si>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</si>
  <si>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</si>
  <si>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</si>
  <si>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</si>
  <si>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</si>
  <si>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</si>
  <si>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</si>
  <si>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</si>
  <si>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</si>
  <si>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</si>
  <si>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</si>
  <si>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</si>
  <si>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</si>
  <si>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</si>
  <si>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</si>
  <si>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</si>
  <si>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</si>
  <si>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</si>
  <si>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</si>
  <si>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</si>
  <si>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</si>
  <si>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</si>
  <si>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</si>
  <si>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</si>
  <si>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</si>
  <si>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</si>
  <si>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</si>
  <si>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</si>
  <si>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</si>
  <si>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</si>
  <si>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</si>
  <si>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</si>
  <si>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</si>
  <si>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</si>
  <si>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</si>
  <si>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</si>
  <si>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</si>
  <si>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</si>
  <si>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</si>
  <si>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</si>
  <si>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</si>
  <si>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</si>
  <si>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</si>
  <si>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</si>
  <si>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</si>
  <si>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</si>
  <si>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</si>
  <si>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</si>
  <si>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</si>
  <si>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</si>
  <si>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</si>
  <si>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</si>
  <si>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</si>
  <si>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</si>
  <si>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</si>
  <si>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</si>
  <si>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</si>
  <si>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</si>
  <si>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</si>
  <si>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</si>
  <si>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</si>
  <si>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</si>
  <si>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</si>
  <si>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</si>
  <si>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</si>
  <si>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</si>
  <si>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</si>
  <si>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</si>
  <si>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</si>
  <si>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</si>
  <si>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</si>
  <si>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</si>
  <si>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</si>
  <si>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</si>
  <si>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</si>
  <si>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</si>
  <si>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</si>
  <si>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</si>
  <si>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</si>
  <si>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</si>
  <si>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</si>
  <si>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</si>
  <si>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</si>
  <si>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</si>
  <si>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</si>
  <si>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</si>
  <si>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</si>
  <si>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</si>
  <si>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</si>
  <si>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</si>
  <si>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</si>
  <si>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</si>
  <si>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</si>
  <si>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</si>
  <si>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</si>
  <si>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</si>
  <si>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</si>
  <si>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</si>
  <si>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</si>
  <si>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</si>
  <si>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</si>
  <si>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</si>
  <si>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</si>
  <si>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</si>
  <si>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</si>
  <si>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</si>
  <si>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</si>
  <si>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</si>
  <si>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</si>
  <si>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</si>
  <si>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</si>
  <si>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</si>
  <si>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</si>
  <si>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</si>
  <si>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</si>
  <si>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</si>
  <si>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</si>
  <si>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</si>
  <si>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</si>
  <si>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</si>
  <si>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</si>
  <si>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</si>
  <si>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</si>
  <si>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</si>
  <si>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</si>
  <si>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</si>
  <si>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</si>
  <si>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</si>
  <si>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</si>
  <si>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</si>
  <si>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</si>
  <si>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</si>
  <si>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</si>
  <si>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</si>
  <si>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</si>
  <si>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</si>
  <si>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</si>
  <si>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</si>
  <si>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</si>
  <si>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</si>
  <si>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</si>
  <si>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</si>
  <si>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</si>
  <si>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</si>
  <si>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</si>
  <si>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</si>
  <si>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</si>
  <si>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</si>
  <si>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</si>
  <si>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</si>
  <si>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</si>
  <si>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</si>
  <si>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</si>
  <si>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</si>
  <si>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</si>
  <si>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</si>
  <si>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</si>
  <si>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</si>
  <si>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</si>
  <si>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</si>
  <si>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</si>
  <si>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</si>
  <si>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</si>
  <si>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</si>
  <si>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</si>
  <si>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</si>
  <si>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</si>
  <si>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</si>
  <si>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</si>
  <si>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</si>
  <si>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</si>
  <si>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</si>
  <si>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</si>
  <si>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</si>
  <si>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</si>
  <si>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</si>
  <si>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</si>
  <si>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</si>
  <si>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</si>
  <si>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</si>
  <si>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</si>
  <si>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</si>
  <si>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</si>
  <si>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</si>
  <si>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</si>
  <si>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</si>
  <si>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</si>
  <si>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</si>
  <si>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</si>
  <si>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</si>
  <si>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</si>
  <si>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</si>
  <si>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</si>
  <si>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</si>
  <si>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</si>
  <si>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</si>
  <si>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</si>
  <si>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</si>
  <si>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</si>
  <si>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</si>
  <si>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</si>
  <si>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</si>
  <si>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</si>
  <si>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</si>
  <si>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</si>
  <si>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</si>
  <si>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</si>
  <si>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</si>
  <si>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</si>
  <si>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</si>
  <si>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</si>
  <si>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</si>
  <si>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</si>
  <si>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</si>
  <si>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</si>
  <si>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</si>
  <si>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</si>
  <si>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</si>
  <si>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</si>
  <si>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</si>
  <si>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</si>
  <si>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</si>
  <si>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</si>
  <si>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</si>
  <si>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</si>
  <si>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</si>
  <si>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</si>
  <si>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</si>
  <si>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</si>
  <si>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</si>
  <si>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</si>
  <si>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</si>
  <si>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</si>
  <si>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</si>
  <si>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</si>
  <si>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</si>
  <si>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</si>
  <si>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</si>
  <si>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</si>
  <si>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</si>
  <si>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</si>
  <si>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</si>
  <si>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</si>
  <si>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</si>
  <si>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</si>
  <si>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</si>
  <si>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</si>
  <si>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</si>
  <si>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</si>
  <si>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</si>
  <si>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</si>
  <si>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</si>
  <si>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</si>
  <si>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</si>
  <si>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</si>
  <si>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</si>
  <si>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</si>
  <si>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</si>
  <si>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</si>
  <si>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</si>
  <si>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</si>
  <si>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</si>
  <si>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</si>
  <si>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</si>
  <si>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</si>
  <si>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</si>
  <si>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</si>
  <si>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</si>
  <si>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</si>
  <si>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</si>
  <si>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</si>
  <si>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</si>
  <si>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</si>
  <si>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</si>
  <si>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</si>
  <si>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</si>
  <si>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</si>
  <si>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</si>
  <si>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</si>
  <si>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</si>
  <si>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</si>
  <si>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</si>
  <si>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</si>
  <si>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</si>
  <si>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</si>
  <si>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</si>
  <si>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</si>
  <si>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</si>
  <si>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</si>
  <si>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</si>
  <si>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</si>
  <si>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</si>
  <si>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</si>
  <si>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</si>
  <si>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</si>
  <si>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</si>
  <si>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</si>
  <si>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</si>
  <si>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</si>
  <si>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</si>
  <si>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</si>
  <si>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</si>
  <si>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</si>
  <si>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</si>
  <si>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</si>
  <si>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</si>
  <si>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</si>
  <si>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</si>
  <si>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</si>
  <si>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</si>
  <si>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</si>
  <si>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</si>
  <si>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</si>
  <si>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</si>
  <si>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</si>
  <si>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</si>
  <si>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</si>
  <si>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</si>
  <si>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</si>
  <si>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</si>
  <si>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</si>
  <si>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</si>
  <si>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</si>
  <si>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</si>
  <si>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</si>
  <si>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</si>
  <si>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</si>
  <si>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</si>
  <si>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</si>
  <si>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</si>
  <si>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</si>
  <si>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</si>
  <si>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</si>
  <si>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</si>
  <si>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</si>
  <si>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</si>
  <si>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</si>
  <si>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</si>
  <si>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</si>
  <si>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</si>
  <si>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</si>
  <si>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</si>
  <si>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</si>
  <si>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</si>
  <si>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</si>
  <si>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</si>
  <si>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</si>
  <si>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</si>
  <si>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</si>
  <si>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</si>
  <si>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</si>
  <si>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</si>
  <si>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</si>
  <si>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</si>
  <si>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</si>
  <si>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</si>
  <si>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</si>
  <si>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</si>
  <si>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</si>
  <si>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</si>
  <si>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</si>
  <si>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</si>
  <si>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</si>
  <si>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</si>
  <si>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</si>
  <si>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</si>
  <si>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</si>
  <si>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</si>
  <si>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</si>
  <si>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</si>
  <si>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</si>
  <si>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</si>
  <si>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</si>
  <si>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</si>
  <si>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</si>
  <si>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</si>
  <si>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</si>
  <si>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</si>
  <si>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</si>
  <si>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</si>
  <si>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</si>
  <si>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</si>
  <si>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</si>
  <si>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</si>
  <si>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</si>
  <si>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</si>
  <si>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</si>
  <si>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</si>
  <si>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</si>
  <si>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</si>
  <si>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</si>
  <si>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</si>
  <si>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</si>
  <si>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</si>
  <si>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</si>
  <si>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</si>
  <si>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</si>
  <si>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</si>
  <si>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</si>
  <si>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</si>
  <si>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</si>
  <si>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</si>
  <si>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</si>
  <si>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</si>
  <si>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</si>
  <si>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</si>
  <si>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</si>
  <si>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</si>
  <si>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</si>
  <si>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</si>
  <si>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</si>
  <si>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</si>
  <si>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</si>
  <si>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</si>
  <si>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</si>
  <si>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</si>
  <si>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</si>
  <si>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</si>
  <si>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</si>
  <si>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</si>
  <si>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</si>
  <si>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</si>
  <si>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</si>
  <si>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</si>
  <si>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</si>
  <si>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</si>
  <si>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</si>
  <si>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</si>
  <si>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</si>
  <si>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</si>
  <si>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</si>
  <si>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</si>
  <si>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</si>
  <si>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</si>
  <si>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</si>
  <si>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</si>
  <si>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</si>
  <si>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</si>
  <si>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</si>
  <si>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</si>
  <si>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</si>
  <si>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</si>
  <si>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</si>
  <si>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</si>
  <si>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</si>
  <si>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</si>
  <si>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</si>
  <si>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</si>
  <si>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</si>
  <si>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</si>
  <si>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</si>
  <si>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</si>
  <si>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</si>
  <si>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</si>
  <si>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</si>
  <si>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</si>
  <si>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</si>
  <si>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</si>
  <si>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</si>
  <si>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</si>
  <si>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</si>
  <si>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</si>
  <si>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</si>
  <si>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</si>
  <si>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</si>
  <si>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</si>
  <si>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</si>
  <si>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</si>
  <si>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</si>
  <si>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</si>
  <si>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</si>
  <si>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</si>
  <si>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</si>
  <si>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</si>
  <si>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</si>
  <si>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</si>
  <si>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</si>
  <si>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</si>
  <si>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</si>
  <si>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</si>
  <si>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</si>
  <si>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</si>
  <si>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</si>
  <si>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</si>
  <si>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</si>
  <si>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</si>
  <si>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</si>
  <si>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</si>
  <si>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</si>
  <si>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</si>
  <si>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</si>
  <si>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</si>
  <si>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</si>
  <si>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</si>
  <si>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</si>
  <si>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</si>
  <si>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</si>
  <si>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</si>
  <si>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</si>
  <si>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</si>
  <si>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</si>
  <si>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</si>
  <si>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</si>
  <si>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</si>
  <si>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</si>
  <si>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</si>
  <si>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</si>
  <si>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</si>
  <si>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</si>
  <si>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</si>
  <si>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</si>
  <si>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</si>
  <si>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</si>
  <si>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</si>
  <si>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</si>
  <si>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</si>
  <si>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</si>
  <si>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</si>
  <si>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</si>
  <si>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</si>
  <si>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</si>
  <si>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</si>
  <si>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</si>
  <si>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</si>
  <si>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</si>
  <si>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</si>
  <si>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</si>
  <si>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</si>
  <si>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</si>
  <si>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</si>
  <si>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</si>
  <si>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</si>
  <si>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</si>
  <si>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</si>
  <si>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</si>
  <si>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</si>
  <si>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</si>
  <si>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</si>
  <si>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</si>
  <si>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</si>
  <si>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</si>
  <si>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</si>
  <si>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</si>
  <si>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</si>
  <si>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</si>
  <si>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</si>
  <si>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</si>
  <si>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</si>
  <si>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</si>
  <si>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</si>
  <si>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</si>
  <si>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</si>
  <si>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</si>
  <si>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</si>
  <si>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</si>
  <si>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</si>
  <si>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</si>
  <si>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</si>
  <si>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</si>
  <si>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</si>
  <si>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</si>
  <si>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</si>
  <si>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</si>
  <si>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</si>
  <si>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</si>
  <si>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</si>
  <si>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</si>
  <si>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</si>
  <si>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</si>
  <si>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</si>
  <si>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</si>
  <si>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</si>
  <si>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</si>
  <si>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</si>
  <si>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</si>
  <si>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</si>
  <si>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</si>
  <si>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</si>
  <si>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</si>
  <si>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</si>
  <si>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</si>
  <si>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</si>
  <si>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</si>
  <si>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</si>
  <si>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</si>
  <si>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</si>
  <si>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</si>
  <si>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</si>
  <si>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</si>
  <si>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</si>
  <si>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</si>
  <si>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</si>
  <si>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</si>
  <si>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</si>
  <si>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</si>
  <si>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</si>
  <si>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</si>
  <si>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</si>
  <si>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</si>
  <si>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</si>
  <si>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</si>
  <si>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</si>
  <si>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</si>
  <si>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</si>
  <si>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</si>
  <si>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</si>
  <si>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</si>
  <si>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</si>
  <si>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</si>
  <si>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</si>
  <si>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</si>
  <si>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</si>
  <si>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</si>
  <si>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</si>
  <si>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</si>
  <si>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</si>
  <si>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</si>
  <si>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</si>
  <si>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</si>
  <si>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</si>
  <si>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</si>
  <si>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</si>
  <si>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</si>
  <si>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</si>
  <si>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</si>
  <si>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</si>
  <si>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</si>
  <si>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</si>
  <si>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</si>
  <si>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</si>
  <si>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</si>
  <si>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</si>
  <si>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</si>
  <si>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</si>
  <si>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</si>
  <si>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</si>
  <si>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</si>
  <si>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</si>
  <si>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</si>
  <si>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</si>
  <si>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</si>
  <si>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</si>
  <si>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</si>
  <si>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</si>
  <si>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</si>
  <si>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</si>
  <si>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</si>
  <si>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</si>
  <si>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</si>
  <si>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</si>
  <si>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</si>
  <si>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</si>
  <si>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</si>
  <si>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</si>
  <si>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</si>
  <si>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</si>
  <si>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</si>
  <si>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</si>
  <si>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</si>
  <si>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</si>
  <si>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</si>
  <si>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</si>
  <si>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</si>
  <si>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</si>
  <si>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</si>
  <si>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</si>
  <si>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</si>
  <si>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</si>
  <si>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</si>
  <si>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</si>
  <si>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</si>
  <si>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</si>
  <si>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</si>
  <si>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</si>
  <si>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</si>
  <si>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</si>
  <si>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</si>
  <si>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</si>
  <si>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</si>
  <si>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</si>
  <si>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</si>
  <si>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</si>
  <si>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</si>
  <si>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</si>
  <si>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</si>
  <si>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</si>
  <si>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</si>
  <si>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</si>
  <si>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</si>
  <si>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</si>
  <si>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</si>
  <si>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</si>
  <si>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</si>
  <si>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</si>
  <si>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</si>
  <si>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</si>
  <si>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</si>
  <si>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</si>
  <si>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</si>
  <si>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</si>
  <si>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</si>
  <si>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</si>
  <si>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</si>
  <si>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</si>
  <si>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</si>
  <si>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</si>
  <si>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</si>
  <si>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</si>
  <si>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</si>
  <si>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</si>
  <si>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</si>
  <si>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</si>
  <si>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</si>
  <si>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</si>
  <si>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</si>
  <si>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</si>
  <si>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</si>
  <si>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</si>
  <si>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</si>
  <si>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</si>
  <si>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</si>
  <si>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</si>
  <si>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</si>
  <si>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</si>
  <si>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</si>
  <si>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</si>
  <si>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</si>
  <si>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</si>
  <si>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</si>
  <si>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</si>
  <si>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</si>
  <si>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</si>
  <si>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</si>
  <si>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</si>
  <si>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</si>
  <si>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</si>
  <si>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</si>
  <si>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</si>
  <si>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</si>
  <si>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</si>
  <si>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</si>
  <si>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</si>
  <si>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</si>
  <si>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</si>
  <si>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</si>
  <si>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</si>
  <si>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</si>
  <si>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</si>
  <si>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</si>
  <si>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</si>
  <si>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</si>
  <si>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</si>
  <si>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</si>
  <si>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</si>
  <si>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</si>
  <si>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</si>
  <si>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</si>
  <si>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</si>
  <si>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</si>
  <si>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</si>
  <si>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</si>
  <si>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</si>
  <si>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</si>
  <si>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</si>
  <si>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</si>
  <si>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</si>
  <si>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</si>
  <si>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</si>
  <si>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</si>
  <si>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</si>
  <si>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</si>
  <si>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</si>
  <si>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</si>
  <si>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</si>
  <si>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</si>
  <si>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</si>
  <si>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</si>
  <si>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</si>
  <si>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</si>
  <si>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</si>
  <si>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</si>
  <si>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</si>
  <si>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</si>
  <si>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</si>
  <si>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</si>
  <si>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</si>
  <si>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</si>
  <si>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</si>
  <si>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</si>
  <si>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</si>
  <si>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</si>
  <si>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</si>
  <si>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</si>
  <si>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</si>
  <si>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</si>
  <si>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</si>
  <si>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</si>
  <si>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</si>
  <si>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</si>
  <si>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</si>
  <si>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</si>
  <si>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</si>
  <si>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</si>
  <si>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</si>
  <si>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</si>
  <si>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</si>
  <si>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</si>
  <si>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</si>
  <si>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</si>
  <si>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</si>
  <si>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</si>
  <si>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</si>
  <si>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</si>
  <si>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</si>
  <si>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</si>
  <si>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</si>
  <si>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</si>
  <si>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</si>
  <si>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</si>
  <si>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</si>
  <si>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</si>
  <si>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</si>
  <si>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</si>
  <si>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</si>
  <si>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</si>
  <si>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</si>
  <si>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</si>
  <si>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</si>
  <si>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</si>
  <si>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</si>
  <si>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</si>
  <si>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</si>
  <si>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</si>
  <si>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</si>
  <si>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</si>
  <si>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</si>
  <si>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</si>
  <si>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</si>
  <si>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</si>
  <si>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</si>
  <si>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</si>
  <si>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</si>
  <si>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</si>
  <si>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</si>
  <si>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</si>
  <si>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</si>
  <si>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</si>
  <si>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</si>
  <si>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</si>
  <si>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</si>
  <si>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</si>
  <si>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</si>
  <si>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</si>
  <si>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</si>
  <si>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</si>
  <si>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</si>
  <si>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</si>
  <si>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</si>
  <si>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</si>
  <si>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</si>
  <si>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</si>
  <si>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</si>
  <si>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</si>
  <si>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</si>
  <si>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</si>
  <si>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</si>
  <si>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</si>
  <si>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</si>
  <si>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</si>
  <si>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</si>
  <si>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</si>
  <si>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</si>
  <si>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</si>
  <si>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</si>
  <si>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</si>
  <si>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</si>
  <si>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</si>
  <si>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</si>
  <si>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</si>
  <si>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</si>
  <si>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</si>
  <si>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</si>
  <si>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</si>
  <si>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</si>
  <si>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</si>
  <si>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</si>
  <si>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</si>
  <si>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</si>
  <si>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</si>
  <si>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</si>
  <si>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</si>
  <si>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</si>
  <si>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</si>
  <si>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</si>
  <si>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</si>
  <si>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</si>
  <si>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</si>
  <si>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</si>
  <si>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</si>
  <si>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</si>
  <si>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</si>
  <si>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</si>
  <si>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</si>
  <si>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</si>
  <si>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</si>
  <si>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</si>
  <si>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</si>
  <si>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</si>
  <si>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</si>
  <si>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</si>
  <si>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</si>
  <si>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</si>
  <si>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</si>
  <si>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</si>
  <si>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</si>
  <si>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</si>
  <si>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</si>
  <si>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</si>
  <si>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</si>
  <si>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</si>
  <si>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</si>
  <si>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</si>
  <si>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</si>
  <si>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</si>
  <si>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</si>
  <si>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</si>
  <si>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</si>
  <si>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</si>
  <si>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</si>
  <si>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</si>
  <si>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</si>
  <si>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</si>
  <si>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</si>
  <si>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</si>
  <si>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</si>
  <si>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</si>
  <si>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</si>
  <si>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</si>
  <si>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</si>
  <si>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</si>
  <si>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</si>
  <si>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</si>
  <si>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</si>
  <si>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</si>
  <si>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</si>
  <si>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</si>
  <si>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</si>
  <si>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</si>
  <si>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</si>
  <si>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</si>
  <si>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</si>
  <si>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</si>
  <si>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</si>
  <si>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</si>
  <si>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</si>
  <si>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</si>
  <si>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</si>
  <si>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</si>
  <si>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</si>
  <si>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</si>
  <si>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</si>
  <si>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</si>
  <si>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</si>
  <si>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</si>
  <si>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</si>
  <si>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</si>
  <si>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</si>
  <si>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</si>
  <si>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</si>
  <si>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</si>
  <si>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</si>
  <si>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</si>
  <si>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</si>
  <si>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</si>
  <si>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</si>
  <si>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</si>
  <si>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</si>
  <si>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</si>
  <si>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</si>
  <si>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</si>
  <si>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</si>
  <si>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</si>
  <si>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</si>
  <si>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</si>
  <si>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</si>
  <si>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</si>
  <si>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</si>
  <si>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</si>
  <si>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</si>
  <si>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</si>
  <si>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</si>
  <si>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</si>
  <si>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</si>
  <si>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</si>
  <si>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</si>
  <si>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</si>
  <si>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</si>
  <si>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</si>
  <si>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</si>
  <si>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</si>
  <si>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</si>
  <si>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</si>
  <si>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</si>
  <si>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</si>
  <si>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</si>
  <si>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</si>
  <si>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</si>
  <si>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</si>
  <si>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</si>
  <si>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</si>
  <si>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</si>
  <si>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</si>
  <si>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</si>
  <si>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</si>
  <si>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</si>
  <si>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</si>
  <si>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</si>
  <si>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</si>
  <si>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</si>
  <si>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</si>
  <si>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</si>
  <si>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</si>
  <si>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</si>
  <si>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</si>
  <si>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</si>
  <si>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</si>
  <si>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</si>
  <si>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</si>
  <si>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</si>
  <si>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</si>
  <si>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</si>
  <si>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</si>
  <si>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</si>
  <si>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</si>
  <si>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</si>
  <si>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</si>
  <si>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</si>
  <si>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</si>
  <si>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</si>
  <si>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</si>
  <si>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</si>
  <si>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</si>
  <si>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</si>
  <si>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</si>
  <si>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</si>
  <si>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</si>
  <si>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</si>
  <si>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</si>
  <si>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</si>
  <si>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</si>
  <si>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</si>
  <si>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</si>
  <si>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</si>
  <si>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</si>
  <si>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</si>
  <si>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</si>
  <si>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</si>
  <si>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</si>
  <si>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</si>
  <si>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</si>
  <si>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</si>
  <si>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</si>
  <si>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</si>
  <si>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</si>
  <si>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</si>
  <si>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</si>
  <si>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</si>
  <si>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</si>
  <si>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</si>
  <si>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</si>
  <si>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</si>
  <si>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</si>
  <si>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</si>
  <si>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</si>
  <si>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</si>
  <si>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</si>
  <si>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</si>
  <si>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</si>
  <si>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</si>
  <si>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</si>
  <si>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</si>
  <si>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</si>
  <si>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</si>
  <si>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</si>
  <si>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</si>
  <si>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</si>
  <si>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</si>
  <si>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</si>
  <si>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</si>
  <si>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</si>
  <si>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</si>
  <si>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</si>
  <si>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</si>
  <si>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</si>
  <si>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</si>
  <si>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</si>
  <si>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</si>
  <si>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</si>
  <si>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</si>
  <si>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</si>
  <si>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</si>
  <si>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</si>
  <si>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</si>
  <si>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</si>
  <si>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</si>
  <si>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</si>
  <si>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</si>
  <si>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</si>
  <si>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</si>
  <si>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</si>
  <si>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</si>
  <si>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</si>
  <si>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</si>
  <si>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</si>
  <si>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</si>
  <si>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</si>
  <si>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</si>
  <si>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</si>
  <si>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</si>
  <si>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</si>
  <si>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</si>
  <si>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</si>
  <si>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</si>
  <si>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</si>
  <si>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</si>
  <si>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</si>
  <si>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</si>
  <si>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</si>
  <si>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</si>
  <si>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</si>
  <si>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</si>
  <si>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</si>
  <si>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</si>
  <si>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</si>
  <si>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</si>
  <si>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</si>
  <si>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</si>
  <si>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</si>
  <si>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</si>
  <si>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</si>
  <si>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</si>
  <si>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</si>
  <si>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</si>
  <si>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</si>
  <si>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</si>
  <si>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</si>
  <si>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</si>
  <si>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</si>
  <si>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</si>
  <si>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</si>
  <si>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</si>
  <si>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</si>
  <si>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</si>
  <si>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</si>
  <si>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</si>
  <si>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</si>
  <si>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</si>
  <si>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</si>
  <si>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</si>
  <si>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</si>
  <si>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</si>
  <si>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</si>
  <si>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</si>
  <si>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</si>
  <si>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</si>
  <si>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</si>
  <si>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</si>
  <si>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</si>
  <si>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</si>
  <si>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</si>
  <si>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</si>
  <si>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</si>
  <si>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</si>
  <si>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</si>
  <si>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</si>
  <si>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</si>
  <si>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</si>
  <si>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</si>
  <si>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</si>
  <si>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</si>
  <si>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</si>
  <si>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</si>
  <si>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</si>
  <si>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</si>
  <si>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</si>
  <si>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</si>
  <si>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</si>
  <si>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</si>
  <si>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</si>
  <si>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</si>
  <si>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</si>
  <si>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</si>
  <si>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</si>
  <si>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</si>
  <si>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</si>
  <si>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</si>
  <si>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</si>
  <si>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</si>
  <si>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</si>
  <si>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</si>
  <si>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</si>
  <si>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</si>
  <si>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</si>
  <si>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</si>
  <si>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</si>
  <si>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</si>
  <si>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</si>
  <si>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</si>
  <si>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</si>
  <si>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</si>
  <si>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</si>
  <si>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</si>
  <si>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</si>
  <si>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</si>
  <si>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</si>
  <si>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</si>
  <si>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</si>
  <si>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</si>
  <si>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</si>
  <si>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</si>
  <si>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</si>
  <si>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</si>
  <si>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</si>
  <si>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</si>
  <si>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</si>
  <si>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</si>
  <si>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</si>
  <si>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</si>
  <si>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</si>
  <si>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</si>
  <si>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</si>
  <si>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</si>
  <si>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</si>
  <si>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</si>
  <si>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</si>
  <si>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</si>
  <si>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</si>
  <si>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</si>
  <si>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</si>
  <si>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</si>
  <si>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</si>
  <si>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</si>
  <si>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</si>
  <si>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</si>
  <si>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</si>
  <si>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</si>
  <si>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</si>
  <si>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</si>
  <si>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</si>
  <si>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</si>
  <si>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</si>
  <si>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</si>
  <si>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</si>
  <si>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</si>
  <si>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</si>
  <si>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</si>
  <si>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</si>
  <si>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</si>
  <si>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</si>
  <si>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</si>
  <si>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</si>
  <si>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</si>
  <si>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</si>
  <si>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</si>
  <si>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</si>
  <si>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</si>
  <si>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</si>
  <si>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</si>
  <si>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</si>
  <si>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</si>
  <si>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</si>
  <si>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</si>
  <si>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</si>
  <si>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</si>
  <si>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</si>
  <si>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</si>
  <si>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</si>
  <si>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</si>
  <si>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</si>
  <si>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</si>
  <si>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</si>
  <si>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</si>
  <si>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</si>
  <si>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</si>
  <si>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</si>
  <si>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</si>
  <si>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</si>
  <si>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</si>
  <si>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</si>
  <si>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</si>
  <si>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</si>
  <si>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</si>
  <si>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</si>
  <si>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</si>
  <si>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</si>
  <si>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</si>
  <si>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</si>
  <si>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</si>
  <si>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</si>
  <si>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</si>
  <si>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</si>
  <si>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</si>
  <si>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</si>
  <si>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</si>
  <si>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</si>
  <si>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</si>
  <si>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</si>
  <si>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</si>
  <si>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</si>
  <si>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</si>
  <si>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</si>
  <si>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</si>
  <si>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</si>
  <si>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</si>
  <si>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</si>
  <si>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</si>
  <si>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</si>
  <si>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</si>
  <si>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</si>
  <si>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</si>
  <si>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</si>
  <si>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</si>
  <si>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</si>
  <si>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</si>
  <si>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</si>
  <si>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</si>
  <si>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</si>
  <si>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</si>
  <si>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</si>
  <si>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</si>
  <si>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</si>
  <si>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</si>
  <si>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</si>
  <si>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</si>
  <si>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</si>
  <si>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</si>
  <si>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</si>
  <si>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</si>
  <si>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</si>
  <si>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</si>
  <si>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</si>
  <si>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</si>
  <si>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</si>
  <si>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</si>
  <si>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</si>
  <si>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</si>
  <si>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</si>
  <si>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</si>
  <si>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</si>
  <si>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</si>
  <si>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</si>
  <si>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</si>
  <si>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</si>
  <si>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</si>
  <si>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</si>
  <si>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</si>
  <si>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</si>
  <si>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</si>
  <si>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</si>
  <si>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</si>
  <si>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</si>
  <si>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</si>
  <si>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</si>
  <si>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</si>
  <si>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</si>
  <si>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</si>
  <si>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</si>
  <si>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</si>
  <si>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</si>
  <si>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</si>
  <si>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</si>
  <si>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</si>
  <si>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</si>
  <si>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</si>
  <si>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</si>
  <si>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</si>
  <si>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</si>
  <si>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</si>
  <si>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</si>
  <si>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</si>
  <si>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</si>
  <si>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</si>
  <si>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</si>
  <si>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</si>
  <si>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</si>
  <si>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</si>
  <si>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</si>
  <si>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</si>
  <si>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</si>
  <si>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</si>
  <si>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</si>
  <si>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</si>
  <si>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</si>
  <si>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</si>
  <si>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</si>
  <si>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</si>
  <si>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</si>
  <si>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</si>
  <si>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</si>
  <si>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</si>
  <si>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</si>
  <si>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</si>
  <si>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</si>
  <si>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</si>
  <si>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</si>
  <si>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</si>
  <si>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</si>
  <si>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</si>
  <si>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</si>
  <si>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</si>
  <si>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</si>
  <si>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</si>
  <si>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</si>
  <si>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</si>
  <si>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</si>
  <si>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</si>
  <si>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</si>
  <si>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</si>
  <si>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</si>
  <si>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</si>
  <si>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</si>
  <si>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</si>
  <si>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</si>
  <si>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</si>
  <si>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</si>
  <si>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</si>
  <si>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</si>
  <si>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</si>
  <si>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</si>
  <si>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</si>
  <si>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</si>
  <si>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</si>
  <si>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</si>
  <si>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</si>
  <si>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</si>
  <si>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</si>
  <si>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</si>
  <si>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</si>
  <si>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</si>
  <si>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</si>
  <si>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</si>
  <si>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</si>
  <si>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</si>
  <si>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</si>
  <si>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</si>
  <si>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</si>
  <si>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</si>
  <si>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</si>
  <si>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</si>
  <si>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</si>
  <si>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</si>
  <si>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</si>
  <si>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</si>
  <si>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</si>
  <si>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</si>
  <si>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</si>
  <si>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</si>
  <si>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</si>
  <si>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</si>
  <si>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</si>
  <si>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</si>
  <si>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</si>
  <si>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</si>
  <si>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</si>
  <si>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</si>
  <si>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</si>
  <si>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</si>
  <si>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</si>
  <si>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</si>
  <si>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</si>
  <si>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</si>
  <si>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</si>
  <si>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</si>
  <si>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</si>
  <si>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</si>
  <si>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</si>
  <si>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</si>
  <si>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</si>
  <si>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</si>
  <si>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</si>
  <si>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</si>
  <si>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</si>
  <si>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</si>
  <si>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</si>
  <si>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</si>
  <si>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</si>
  <si>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</si>
  <si>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</si>
  <si>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</si>
  <si>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</si>
  <si>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</si>
  <si>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</si>
  <si>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</si>
  <si>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</si>
  <si>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</si>
  <si>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</si>
  <si>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</si>
  <si>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</si>
  <si>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</si>
  <si>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</si>
  <si>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</si>
  <si>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</si>
  <si>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</si>
  <si>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</si>
  <si>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</si>
  <si>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</si>
  <si>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</si>
  <si>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</si>
  <si>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</si>
  <si>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</si>
  <si>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</si>
  <si>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</si>
  <si>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</si>
  <si>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</si>
  <si>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</si>
  <si>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</si>
  <si>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</si>
  <si>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</si>
  <si>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</si>
  <si>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</si>
  <si>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</si>
  <si>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</si>
  <si>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</si>
  <si>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</si>
  <si>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</si>
  <si>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</si>
  <si>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</si>
  <si>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</si>
  <si>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</si>
  <si>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</si>
  <si>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</si>
  <si>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</si>
  <si>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</si>
  <si>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</si>
  <si>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</si>
  <si>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</si>
  <si>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</si>
  <si>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</si>
  <si>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</si>
  <si>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</si>
  <si>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</si>
  <si>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</si>
  <si>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</si>
  <si>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</si>
  <si>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</si>
  <si>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</si>
  <si>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</si>
  <si>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</si>
  <si>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</si>
  <si>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</si>
  <si>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</si>
  <si>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</si>
  <si>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</si>
  <si>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</si>
  <si>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</si>
  <si>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</si>
  <si>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</si>
  <si>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</si>
  <si>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</si>
  <si>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</si>
  <si>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</si>
  <si>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</si>
  <si>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</si>
  <si>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</si>
  <si>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</si>
  <si>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</si>
  <si>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</si>
  <si>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</si>
  <si>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</si>
  <si>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</si>
  <si>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</si>
  <si>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</si>
  <si>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</si>
  <si>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</si>
  <si>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</si>
  <si>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</si>
  <si>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</si>
  <si>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</si>
  <si>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</si>
  <si>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</si>
  <si>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</si>
  <si>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</si>
  <si>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</si>
  <si>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</si>
  <si>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</si>
  <si>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</si>
  <si>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</si>
  <si>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</si>
  <si>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</si>
  <si>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</si>
  <si>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</si>
  <si>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</si>
  <si>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</si>
  <si>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</si>
  <si>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</si>
  <si>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</si>
  <si>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</si>
  <si>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</si>
  <si>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</si>
  <si>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</si>
  <si>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</si>
  <si>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</si>
  <si>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</si>
  <si>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</si>
  <si>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</si>
  <si>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</si>
  <si>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</si>
  <si>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</si>
  <si>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</si>
  <si>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</si>
  <si>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</si>
  <si>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</si>
  <si>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</si>
  <si>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</si>
  <si>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</si>
  <si>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</si>
  <si>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</si>
  <si>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</si>
  <si>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</si>
  <si>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</si>
  <si>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</si>
  <si>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</si>
  <si>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</si>
  <si>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</si>
  <si>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</si>
  <si>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</si>
  <si>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</si>
  <si>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</si>
  <si>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</si>
  <si>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</si>
  <si>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</si>
  <si>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</si>
  <si>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</si>
  <si>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</si>
  <si>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</si>
  <si>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</si>
  <si>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</si>
  <si>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</si>
  <si>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</si>
  <si>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</si>
  <si>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</si>
  <si>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</si>
  <si>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</si>
  <si>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</si>
  <si>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</si>
  <si>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</si>
  <si>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</si>
  <si>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</si>
  <si>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</si>
  <si>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</si>
  <si>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</si>
  <si>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</si>
  <si>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</si>
  <si>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</si>
  <si>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</si>
  <si>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</si>
  <si>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</si>
  <si>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</si>
  <si>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</si>
  <si>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</si>
  <si>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</si>
  <si>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</si>
  <si>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</si>
  <si>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</si>
  <si>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</si>
  <si>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</si>
  <si>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</si>
  <si>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</si>
  <si>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</si>
  <si>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</si>
  <si>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</si>
  <si>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</si>
  <si>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</si>
  <si>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</si>
  <si>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</si>
  <si>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</si>
  <si>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</si>
  <si>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</si>
  <si>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</si>
  <si>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</si>
  <si>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</si>
  <si>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</si>
  <si>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</si>
  <si>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</si>
  <si>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</si>
  <si>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</si>
  <si>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</si>
  <si>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</si>
  <si>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</si>
  <si>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</si>
  <si>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</si>
  <si>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</si>
  <si>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</si>
  <si>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</si>
  <si>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</si>
  <si>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</si>
  <si>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</si>
  <si>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</si>
  <si>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</si>
  <si>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</si>
  <si>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</si>
  <si>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</si>
  <si>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</si>
  <si>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</si>
  <si>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</si>
  <si>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</si>
  <si>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</si>
  <si>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</si>
  <si>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</si>
  <si>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</si>
  <si>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</si>
  <si>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</si>
  <si>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</si>
  <si>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</si>
  <si>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</si>
  <si>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</si>
  <si>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</si>
  <si>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</si>
  <si>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</si>
  <si>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</si>
  <si>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</si>
  <si>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</si>
  <si>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</si>
  <si>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</si>
  <si>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</si>
  <si>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</si>
  <si>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</si>
  <si>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</si>
  <si>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</si>
  <si>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</si>
  <si>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</si>
  <si>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</si>
  <si>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</si>
  <si>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</si>
  <si>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</si>
  <si>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</si>
  <si>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</si>
  <si>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</si>
  <si>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</si>
  <si>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</si>
  <si>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</si>
  <si>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</si>
  <si>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</si>
  <si>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</si>
  <si>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</si>
  <si>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</si>
  <si>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</si>
  <si>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</si>
  <si>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</si>
  <si>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</si>
  <si>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</si>
  <si>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</si>
  <si>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</si>
  <si>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</si>
  <si>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</si>
  <si>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</si>
  <si>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</si>
  <si>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</si>
  <si>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</si>
  <si>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</si>
  <si>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</si>
  <si>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</si>
  <si>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</si>
  <si>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</si>
  <si>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</si>
  <si>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</si>
  <si>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</si>
  <si>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</si>
  <si>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</si>
  <si>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</si>
  <si>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</si>
  <si>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</si>
  <si>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</si>
  <si>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</si>
  <si>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</si>
  <si>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</si>
  <si>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</si>
  <si>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</si>
  <si>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</si>
  <si>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</si>
  <si>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</si>
  <si>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</si>
  <si>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</si>
  <si>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</si>
  <si>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</si>
  <si>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</si>
  <si>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</si>
  <si>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</si>
  <si>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</si>
  <si>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</si>
  <si>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</si>
  <si>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</si>
  <si>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</si>
  <si>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</si>
  <si>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</si>
  <si>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</si>
  <si>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</si>
  <si>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</si>
  <si>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</si>
  <si>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</si>
  <si>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</si>
  <si>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</si>
  <si>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</si>
  <si>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</si>
  <si>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</si>
  <si>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</si>
  <si>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</si>
  <si>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</si>
  <si>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</si>
  <si>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</si>
  <si>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</si>
  <si>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</si>
  <si>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</si>
  <si>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</si>
  <si>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</si>
  <si>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</si>
  <si>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</si>
  <si>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</si>
  <si>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</si>
  <si>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</si>
  <si>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</si>
  <si>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</si>
  <si>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</si>
  <si>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</si>
  <si>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</si>
  <si>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</si>
  <si>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</si>
  <si>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</si>
  <si>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</si>
  <si>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</si>
  <si>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</si>
  <si>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</si>
  <si>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</si>
  <si>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</si>
  <si>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</si>
  <si>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</si>
  <si>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</si>
  <si>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</si>
  <si>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</si>
  <si>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</si>
  <si>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</si>
  <si>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</si>
  <si>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</si>
  <si>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</si>
  <si>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</si>
  <si>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</si>
  <si>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</si>
  <si>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</si>
  <si>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</si>
  <si>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</si>
  <si>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</si>
  <si>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</si>
  <si>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</si>
  <si>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</si>
  <si>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</si>
  <si>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</si>
  <si>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</si>
  <si>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</si>
  <si>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</si>
  <si>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</si>
  <si>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</si>
  <si>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</si>
  <si>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</si>
  <si>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</si>
  <si>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</si>
  <si>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</si>
  <si>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</si>
  <si>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</si>
  <si>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</si>
  <si>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</si>
  <si>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</si>
  <si>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</si>
  <si>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</si>
  <si>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</si>
  <si>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</si>
  <si>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</si>
  <si>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</si>
  <si>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</si>
  <si>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</si>
  <si>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</si>
  <si>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</si>
  <si>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</si>
  <si>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</si>
  <si>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</si>
  <si>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</si>
  <si>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</si>
  <si>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</si>
  <si>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</si>
  <si>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</si>
  <si>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</si>
  <si>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</si>
  <si>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</si>
  <si>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</si>
  <si>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</si>
  <si>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</si>
  <si>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</si>
  <si>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</si>
  <si>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</si>
  <si>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</si>
  <si>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</si>
  <si>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</si>
  <si>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</si>
  <si>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</si>
  <si>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</si>
  <si>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</si>
  <si>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</si>
  <si>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</si>
  <si>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</si>
  <si>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</si>
  <si>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</si>
  <si>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</si>
  <si>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</si>
  <si>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</si>
  <si>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</si>
  <si>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</si>
  <si>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</si>
  <si>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</si>
  <si>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</si>
  <si>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</si>
  <si>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</si>
  <si>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</si>
  <si>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</si>
  <si>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</si>
  <si>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</si>
  <si>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</si>
  <si>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</si>
  <si>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</si>
  <si>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</si>
  <si>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</si>
  <si>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</si>
  <si>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</si>
  <si>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</si>
  <si>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</si>
  <si>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</si>
  <si>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</si>
  <si>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</si>
  <si>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</si>
  <si>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</si>
  <si>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</si>
  <si>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</si>
  <si>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</si>
  <si>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</si>
  <si>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</si>
  <si>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</si>
  <si>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</si>
  <si>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</si>
  <si>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</si>
  <si>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</si>
  <si>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</si>
  <si>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</si>
  <si>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</si>
  <si>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</si>
  <si>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</si>
  <si>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</si>
  <si>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</si>
  <si>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</si>
  <si>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</si>
  <si>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</si>
  <si>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</si>
  <si>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</si>
  <si>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</si>
  <si>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</si>
  <si>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</si>
  <si>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</si>
  <si>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</si>
  <si>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</si>
  <si>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</si>
  <si>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</si>
  <si>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</si>
  <si>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</si>
  <si>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</si>
  <si>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</si>
  <si>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</si>
  <si>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</si>
  <si>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</si>
  <si>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</si>
  <si>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</si>
  <si>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</si>
  <si>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</si>
  <si>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</si>
  <si>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</si>
  <si>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</si>
  <si>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</si>
  <si>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</si>
  <si>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</si>
  <si>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</si>
  <si>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</si>
  <si>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</si>
  <si>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</si>
  <si>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</si>
  <si>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</si>
  <si>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</si>
  <si>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</si>
  <si>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</si>
  <si>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</si>
  <si>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</si>
  <si>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</si>
  <si>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</si>
  <si>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</si>
  <si>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</si>
  <si>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</si>
  <si>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</si>
  <si>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</si>
  <si>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</si>
  <si>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</si>
  <si>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</si>
  <si>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</si>
  <si>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</si>
  <si>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</si>
  <si>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</si>
  <si>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</si>
  <si>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</si>
  <si>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</si>
  <si>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</si>
  <si>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</si>
  <si>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</si>
  <si>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</si>
  <si>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</si>
  <si>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</si>
  <si>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</si>
  <si>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</si>
  <si>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</si>
  <si>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</si>
  <si>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</si>
  <si>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</si>
  <si>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</si>
  <si>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</si>
  <si>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</si>
  <si>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</si>
  <si>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</si>
  <si>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</si>
  <si>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</si>
  <si>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</si>
  <si>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</si>
  <si>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</si>
  <si>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</si>
  <si>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</si>
  <si>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</si>
  <si>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</si>
  <si>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</si>
  <si>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</si>
  <si>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</si>
  <si>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</si>
  <si>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</si>
  <si>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</si>
  <si>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</si>
  <si>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</si>
  <si>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</si>
  <si>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</si>
  <si>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</si>
  <si>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</si>
  <si>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</si>
  <si>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</si>
  <si>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</si>
  <si>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</si>
  <si>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</si>
  <si>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</si>
  <si>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</si>
  <si>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</si>
  <si>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</si>
  <si>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</si>
  <si>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</si>
  <si>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</si>
  <si>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</si>
  <si>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</si>
  <si>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</si>
  <si>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</si>
  <si>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</si>
  <si>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</si>
  <si>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</si>
  <si>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</si>
  <si>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</si>
  <si>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</si>
  <si>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</si>
  <si>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</si>
  <si>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</si>
  <si>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</si>
  <si>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</si>
  <si>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</si>
  <si>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</si>
  <si>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</si>
  <si>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</si>
  <si>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</si>
  <si>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</si>
  <si>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</si>
  <si>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</si>
  <si>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</si>
  <si>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</si>
  <si>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</si>
  <si>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</si>
  <si>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</si>
  <si>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</si>
  <si>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</si>
  <si>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</si>
  <si>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</si>
  <si>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</si>
  <si>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</si>
  <si>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</si>
  <si>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</si>
  <si>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</si>
  <si>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</si>
  <si>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</si>
  <si>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</si>
  <si>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</si>
  <si>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</si>
  <si>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</si>
  <si>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</si>
  <si>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</si>
  <si>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</si>
  <si>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</si>
  <si>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</si>
  <si>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</si>
  <si>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</si>
  <si>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</si>
  <si>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</si>
  <si>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</si>
  <si>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</si>
  <si>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</si>
  <si>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</si>
  <si>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</si>
  <si>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</si>
  <si>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</si>
  <si>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</si>
  <si>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</si>
  <si>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</si>
  <si>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</si>
  <si>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</si>
  <si>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</si>
  <si>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</si>
  <si>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</si>
  <si>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</si>
  <si>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</si>
  <si>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</si>
  <si>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</si>
  <si>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</si>
  <si>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</si>
  <si>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</si>
  <si>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</si>
  <si>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</si>
  <si>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</si>
  <si>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</si>
  <si>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</si>
  <si>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</si>
  <si>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</si>
  <si>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</si>
  <si>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</si>
  <si>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</si>
  <si>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</si>
  <si>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</si>
  <si>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</si>
  <si>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</si>
  <si>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</si>
  <si>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</si>
  <si>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</si>
  <si>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</si>
  <si>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</si>
  <si>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</si>
  <si>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</si>
  <si>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</si>
  <si>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</si>
  <si>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</si>
  <si>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</si>
  <si>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</si>
  <si>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</si>
  <si>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</si>
  <si>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</si>
  <si>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</si>
  <si>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</si>
  <si>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</si>
  <si>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</si>
  <si>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</si>
  <si>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</si>
  <si>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</si>
  <si>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</si>
  <si>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</si>
  <si>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</si>
  <si>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</si>
  <si>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</si>
  <si>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</si>
  <si>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</si>
  <si>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</si>
  <si>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</si>
  <si>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</si>
  <si>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</si>
  <si>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</si>
  <si>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</si>
  <si>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</si>
  <si>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</si>
  <si>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</si>
  <si>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</si>
  <si>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</si>
  <si>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</si>
  <si>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</si>
  <si>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</si>
  <si>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</si>
  <si>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</si>
  <si>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</si>
  <si>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</si>
  <si>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</si>
  <si>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</si>
  <si>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</si>
  <si>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</si>
  <si>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</si>
  <si>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</si>
  <si>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</si>
  <si>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</si>
  <si>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</si>
  <si>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</si>
  <si>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</si>
  <si>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</si>
  <si>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</si>
  <si>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</si>
  <si>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</si>
  <si>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</si>
  <si>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</si>
  <si>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</si>
  <si>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</si>
  <si>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</si>
  <si>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</si>
  <si>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</si>
  <si>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</si>
  <si>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</si>
  <si>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</si>
  <si>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</si>
  <si>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</si>
  <si>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</si>
  <si>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</si>
  <si>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</si>
  <si>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</si>
  <si>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</si>
  <si>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</si>
  <si>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</si>
  <si>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</si>
  <si>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</si>
  <si>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</si>
  <si>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</si>
  <si>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</si>
  <si>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</si>
  <si>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</si>
  <si>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</si>
  <si>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</si>
  <si>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</si>
  <si>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</si>
  <si>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</si>
  <si>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</si>
  <si>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</si>
  <si>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</si>
  <si>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</si>
  <si>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</si>
  <si>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</si>
  <si>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</si>
  <si>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</si>
  <si>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</si>
  <si>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</si>
  <si>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</si>
  <si>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</si>
  <si>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</si>
  <si>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</si>
  <si>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</si>
  <si>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</si>
  <si>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</si>
  <si>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</si>
  <si>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</si>
  <si>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</si>
  <si>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</si>
  <si>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</si>
  <si>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</si>
  <si>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</si>
  <si>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</si>
  <si>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</si>
  <si>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</si>
  <si>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</si>
  <si>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</si>
  <si>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</si>
  <si>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</si>
  <si>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</si>
  <si>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</si>
  <si>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</si>
  <si>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</si>
  <si>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</si>
  <si>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</si>
  <si>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</si>
  <si>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</si>
  <si>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</si>
  <si>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</si>
  <si>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</si>
  <si>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</si>
  <si>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</si>
  <si>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</si>
  <si>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</si>
  <si>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</si>
  <si>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</si>
  <si>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</si>
  <si>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</si>
  <si>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</si>
  <si>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</si>
  <si>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</si>
  <si>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</si>
  <si>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</si>
  <si>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</si>
  <si>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</si>
  <si>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</si>
  <si>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</si>
  <si>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</si>
  <si>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</si>
  <si>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</si>
  <si>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</si>
  <si>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</si>
  <si>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</si>
  <si>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</si>
  <si>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</si>
  <si>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</si>
  <si>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</si>
  <si>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</si>
  <si>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</si>
  <si>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</si>
  <si>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</si>
  <si>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</si>
  <si>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</si>
  <si>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</si>
  <si>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</si>
  <si>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</si>
  <si>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</si>
  <si>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</si>
  <si>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</si>
  <si>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</si>
  <si>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</si>
  <si>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</si>
  <si>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</si>
  <si>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</si>
  <si>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</si>
  <si>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</si>
  <si>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</si>
  <si>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</si>
  <si>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</si>
  <si>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</si>
  <si>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</si>
  <si>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</si>
  <si>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</si>
  <si>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</si>
  <si>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</si>
  <si>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</si>
  <si>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</si>
  <si>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</si>
  <si>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</si>
  <si>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</si>
  <si>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</si>
  <si>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</si>
  <si>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</si>
  <si>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</si>
  <si>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</si>
  <si>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</si>
  <si>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</si>
  <si>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</si>
  <si>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</si>
  <si>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</si>
  <si>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</si>
  <si>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</si>
  <si>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</si>
  <si>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</si>
  <si>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</si>
  <si>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</si>
  <si>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</si>
  <si>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</si>
  <si>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</si>
  <si>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</si>
  <si>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</si>
  <si>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</si>
  <si>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</si>
  <si>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</si>
  <si>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</si>
  <si>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</si>
  <si>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</si>
  <si>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</si>
  <si>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</si>
  <si>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</si>
  <si>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</si>
  <si>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</si>
  <si>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</si>
  <si>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</si>
  <si>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</si>
  <si>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</si>
  <si>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</si>
  <si>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</si>
  <si>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</si>
  <si>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</si>
  <si>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</si>
  <si>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</si>
  <si>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</si>
  <si>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</si>
  <si>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</si>
  <si>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</si>
  <si>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</si>
  <si>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</si>
  <si>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</si>
  <si>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</si>
  <si>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</si>
  <si>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</si>
  <si>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</si>
  <si>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</si>
  <si>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</si>
  <si>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</si>
  <si>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</si>
  <si>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</si>
  <si>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</si>
  <si>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</si>
  <si>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</si>
  <si>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</si>
  <si>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</si>
  <si>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</si>
  <si>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</si>
  <si>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</si>
  <si>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</si>
  <si>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</si>
  <si>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</si>
  <si>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</si>
  <si>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</si>
  <si>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</si>
  <si>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</si>
  <si>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</si>
  <si>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</si>
  <si>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</si>
  <si>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</si>
  <si>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</si>
  <si>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</si>
  <si>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</si>
  <si>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</si>
  <si>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</si>
  <si>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</si>
  <si>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</si>
  <si>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</si>
  <si>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</si>
  <si>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</si>
  <si>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</si>
  <si>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</si>
  <si>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</si>
  <si>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</si>
  <si>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</si>
  <si>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</si>
  <si>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</si>
  <si>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</si>
  <si>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</si>
  <si>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</si>
  <si>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</si>
  <si>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</si>
  <si>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</si>
  <si>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</si>
  <si>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</si>
  <si>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</si>
  <si>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</si>
  <si>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</si>
  <si>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</si>
  <si>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</si>
  <si>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</si>
  <si>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</si>
  <si>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</si>
  <si>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</si>
  <si>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</si>
  <si>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</si>
  <si>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</si>
  <si>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</si>
  <si>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</si>
  <si>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</si>
  <si>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</si>
  <si>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</si>
  <si>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</si>
  <si>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</si>
  <si>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</si>
  <si>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</si>
  <si>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</si>
  <si>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</si>
  <si>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</si>
  <si>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</si>
  <si>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</si>
  <si>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</si>
  <si>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</si>
  <si>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</si>
  <si>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</si>
  <si>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</si>
  <si>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</si>
  <si>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</si>
  <si>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</si>
  <si>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</si>
  <si>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</si>
  <si>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</si>
  <si>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</si>
  <si>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</si>
  <si>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</si>
  <si>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</si>
  <si>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</si>
  <si>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</si>
  <si>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</si>
  <si>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</si>
  <si>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</si>
  <si>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</si>
  <si>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</si>
  <si>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</si>
  <si>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</si>
  <si>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</si>
  <si>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</si>
  <si>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</si>
  <si>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</si>
  <si>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</si>
  <si>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</si>
  <si>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</si>
  <si>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</si>
  <si>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</si>
  <si>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</si>
  <si>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</si>
  <si>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</si>
  <si>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</si>
  <si>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</si>
  <si>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</si>
  <si>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</si>
  <si>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</si>
  <si>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</si>
  <si>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</si>
  <si>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</si>
  <si>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</si>
  <si>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</si>
  <si>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</si>
  <si>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</si>
  <si>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</si>
  <si>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</si>
  <si>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</si>
  <si>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</si>
  <si>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</si>
  <si>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</si>
  <si>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</si>
  <si>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</si>
  <si>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</si>
  <si>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</si>
  <si>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</si>
  <si>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</si>
  <si>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</si>
  <si>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</si>
  <si>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</si>
  <si>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</si>
  <si>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</si>
  <si>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</si>
  <si>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</si>
  <si>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</si>
  <si>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</si>
  <si>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</si>
  <si>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</si>
  <si>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</si>
  <si>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</si>
  <si>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</si>
  <si>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</si>
  <si>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</si>
  <si>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</si>
  <si>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</si>
  <si>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</si>
  <si>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</si>
  <si>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</si>
  <si>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</si>
  <si>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</si>
  <si>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</si>
  <si>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</si>
  <si>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</si>
  <si>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</si>
  <si>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</si>
  <si>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</si>
  <si>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其他：</t>
  </si>
  <si>
    <t>企业</t>
  </si>
  <si>
    <t>商业</t>
  </si>
  <si>
    <t>挂牌起始价(万元)</t>
  </si>
  <si>
    <t>2019NJY-10</t>
  </si>
  <si>
    <t>自贸试验区万顷沙保税港加工制造业区块内，九涌东路以南、红莲路以北、万新大道以东、万环东路以西地块</t>
  </si>
  <si>
    <t>2019NJY-11</t>
  </si>
  <si>
    <t>自贸试验区万顷沙保税港加工制造业区块内，红莲路以南、十涌西路以北、万新大道以东、万环东路以西地块</t>
  </si>
  <si>
    <t>地号</t>
    <phoneticPr fontId="228" type="noConversion"/>
  </si>
  <si>
    <t>宗地位置</t>
    <phoneticPr fontId="228" type="noConversion"/>
  </si>
  <si>
    <t>容积率</t>
    <phoneticPr fontId="228" type="noConversion"/>
  </si>
  <si>
    <t>计容总建筑面积</t>
    <phoneticPr fontId="228"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</si>
  <si>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</si>
  <si>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</si>
  <si>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</si>
  <si>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</si>
  <si>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</si>
  <si>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</si>
  <si>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</si>
  <si>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</si>
  <si>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</si>
  <si>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</si>
  <si>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</si>
  <si>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</si>
  <si>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</si>
  <si>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</si>
  <si>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</si>
  <si>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</si>
  <si>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</si>
  <si>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</si>
  <si>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</si>
  <si>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推出价格</t>
    <phoneticPr fontId="228" type="noConversion"/>
  </si>
  <si>
    <t>出让条件</t>
    <phoneticPr fontId="228" type="noConversion"/>
  </si>
  <si>
    <t>配建面积</t>
    <phoneticPr fontId="228" type="noConversion"/>
  </si>
  <si>
    <t>南沙2019NJY-11地块</t>
  </si>
  <si>
    <t>广州市</t>
  </si>
  <si>
    <t>综合用地(含住宅)</t>
  </si>
  <si>
    <t>自贸试验区万顷沙保税港加工制造业区块内,红莲路以南、十涌西路以北、万新大道以东、万环东路以西地块</t>
  </si>
  <si>
    <t>挂牌</t>
  </si>
  <si>
    <t>地块一:二类居住用地(R2);地块二:商业用地(B1)、商务用地(B2)、行政办公用地(A1)、文化设施用地(A2)、公共交通场站用地(S41)、社会停车场用地(S42)</t>
  </si>
  <si>
    <t>地块一≤3.0;地块二≤2.5</t>
  </si>
  <si>
    <t/>
  </si>
  <si>
    <t>穗南开规划资源出告字〔2019〕19号</t>
  </si>
  <si>
    <t>居住用地*70*年,商业、旅游、娱乐用地40年,其他用地50年</t>
  </si>
  <si>
    <t>1星</t>
  </si>
  <si>
    <t>南沙2019NJY-10地块</t>
  </si>
  <si>
    <t>自贸试验区万顷沙保税港加工制造业区块内,九涌东路以南、红莲路以北、万新大道以东、万环东路以西地块</t>
  </si>
  <si>
    <t>地块一:二类居住用地(R2)、商业服务业设施用地(B);地块二:中小学用地(A33)</t>
  </si>
  <si>
    <t>地块一≤3.2</t>
  </si>
  <si>
    <t>穗南开规划资源出告字〔2019〕18号</t>
  </si>
  <si>
    <t>南沙2019NGY-7地块</t>
  </si>
  <si>
    <t>珠江工业园区块,灵新大道以东,南珠大道以西</t>
  </si>
  <si>
    <t>2019NGY-7</t>
  </si>
  <si>
    <t>新兴产业园综合用地</t>
  </si>
  <si>
    <t>≤3.0</t>
  </si>
  <si>
    <t>穗南开规划资源出告字[2019]16号</t>
  </si>
  <si>
    <t>3星</t>
  </si>
  <si>
    <t>竞买人须将集团公司总部注册/迁入至南沙，主要发展集设计、科研、试验、物资采控、财务共享结算、项目投资、管理等于一体的高端产业项目或高端装备制造业务；其中产业用途的建筑面积应为计容总建筑面积的60%；产业和办公用途的建筑面积应为计容总建筑面积的80%；住宅用途的建筑面积应为计容总建筑面积的20%。</t>
    <phoneticPr fontId="228" type="noConversion"/>
  </si>
  <si>
    <t>南沙2019NJY-8地块</t>
  </si>
  <si>
    <t>住宅用地</t>
  </si>
  <si>
    <t>南沙区横沥镇灵山岛尖C1-14-01、C1-13-03地块</t>
  </si>
  <si>
    <t>2019NJY-8</t>
  </si>
  <si>
    <t>C1-14-01地块为二类居住用地(R2)C1-13-03地块为商业设施用地(B1)</t>
  </si>
  <si>
    <t>c1-14-01地块≤2.5;c1-13-03地块≤1.5</t>
  </si>
  <si>
    <t>2019-07-29</t>
  </si>
  <si>
    <t>穗南开规划资源出告字〔2019〕14号</t>
  </si>
  <si>
    <t>广州同辉投资发展有限公司(绿城地产)</t>
  </si>
  <si>
    <t>竞买申请人须在南沙注册成立具有独立法人资格的项目公司，竞买申请人或其股东须拥有码头及物流仓储成功的开发经营经验，在南沙区内拥有自主经营的港口码头和保税物流仓库；竞得人须与广州市南沙区政府通力合作，利用本项目开展国际分拨中心和跨境电商物流运营业务，打造南沙国际优品分拨中心；开展与香港机场达成货运分拨的海空联运业务合作，发展海陆空多式联运的粤港跨境货栈和粤港跨境物流。</t>
    <phoneticPr fontId="228" type="noConversion"/>
  </si>
  <si>
    <t>南沙2019NJY-9地块</t>
  </si>
  <si>
    <t>南沙区横沥镇灵山岛尖C1-17-01、C1-17-02、C1-17-03、C1-16-03地块</t>
  </si>
  <si>
    <t>2019NJY-9</t>
  </si>
  <si>
    <t>C1-17-01地块为公园绿地(G1)C1-17-02为居住区服务设施用地(R22)C1-17-03地块为二类居住用地、商业用地、商务用地(R2/B1/B2)C1-16-03地块为商业用地(B1)</t>
  </si>
  <si>
    <t>c1-17-03地块≤*3.7;c1-16-03地块≤*1.5</t>
  </si>
  <si>
    <t>穗南开规划资源出告字〔2019〕15号</t>
  </si>
  <si>
    <t>佛山市美的房地产发展有限公司</t>
  </si>
  <si>
    <t>竞买条件：竞得人须在用地范围内配建4500平方米人才公寓（住宅）由南沙开发区管委会指定单位按3500元/平方米的价格回购 竞得条件：竞得人须在用地范围内配建4500平方米人才公寓（住宅）由南沙开发区管委会指定单位按3500元/平方米的价格回购/采用“限地价+竞自持（优先住宅）+摇号”方式，最高限制地价为123990万元；竞得人须采用装配式建筑的建造方式。</t>
    <phoneticPr fontId="228" type="noConversion"/>
  </si>
  <si>
    <t>南沙2019NJY-5地块</t>
  </si>
  <si>
    <t>南沙区横沥镇灵山岛尖C1-16-01地块</t>
  </si>
  <si>
    <t>2019NJY-5</t>
  </si>
  <si>
    <t>二类居住用地、商业用地、商务用地(R2/B1/B2)</t>
  </si>
  <si>
    <t>≤*3.5</t>
  </si>
  <si>
    <t>2019-06-05</t>
  </si>
  <si>
    <t>穗南开规划资源出告字[2019]9号</t>
  </si>
  <si>
    <t>广州诚茂房地产开发有限公司</t>
  </si>
  <si>
    <t>竞买申请人须在南沙注册成立独立法人公司，竞买申请人主要从事电力电子元器件制造、光电子器件及其他电子器件制造和电子、通信与自动控制技术研究、开发</t>
    <phoneticPr fontId="228" type="noConversion"/>
  </si>
  <si>
    <t>南沙2019NJY-4地块</t>
  </si>
  <si>
    <t>南沙区横沥镇灵山岛尖C1-11-10、C1-13-01(1)、C1-13-01(2)地块</t>
  </si>
  <si>
    <t>2019NJY-4</t>
  </si>
  <si>
    <t>C1-11-10地块为二类居住用地(R2),C1-13-01(1)地块为二类居住用地、商业用地(R2/B1),C1-13-01(2)地块为公共交通场站用地(S41)</t>
  </si>
  <si>
    <t>c1-11-10地块≤*2.5;c1-13-01(1)地块≤*1.8;c1-13-01(2)地块≤*0.6</t>
  </si>
  <si>
    <t>穗南开规划资源出告字[2019]8号</t>
  </si>
  <si>
    <t>广东佳兆业房地产开发有限公司</t>
  </si>
  <si>
    <t>2星</t>
  </si>
  <si>
    <t>采用“限地价+竞自持+摇号”方式，最高限制地价为148453万元；竞得人须在用地范围内配建8800平方米人才公寓（住宅）由南沙开发区管委会指定单位按3500元/平方米的价格回购；竞得人须采用装配式建筑的建造方式。</t>
    <phoneticPr fontId="228" type="noConversion"/>
  </si>
  <si>
    <t>南沙2019NJY-2地块</t>
  </si>
  <si>
    <t>南沙区黄阁镇东湾村,进港大道北侧</t>
  </si>
  <si>
    <t>2019NJY-2</t>
  </si>
  <si>
    <t>二类居住用地(R2)、中小学用地(A33)、商业服务业设施用地(B)</t>
  </si>
  <si>
    <t>地块一≤3.8;地块二≤1.8;地块三≤3.6;地块四≤4.3</t>
  </si>
  <si>
    <t>2019-02-28</t>
  </si>
  <si>
    <t>穗南国土出告字〔2019〕3号</t>
  </si>
  <si>
    <t>广州星月湾实业发展有限公司</t>
  </si>
  <si>
    <t>竞买申请人须在南沙设立项目公司，其主要经营范围为车辆工程的技术研究、开发，新能源车整车制造及零部件制造，汽车销售等；竞买申请人或其控股股东（或关联公司）近三年连续为《财富》杂志公布的世界500强企业。竞买人或其母公司及其关联公司须拥有自主创新的互联网智能汽车平台技术，并拥有不少于200项专利技术；竞买申请人或其股东的中国总部需在南沙，负责中国区域运营。</t>
    <phoneticPr fontId="228" type="noConversion"/>
  </si>
  <si>
    <t>南沙区黄阁镇2018NJY-15地块</t>
  </si>
  <si>
    <t>南邻京珠高速公路高架桥,北靠凤凰湖,西接大山乸,东临凤凰大道</t>
  </si>
  <si>
    <t>2018NJY-15</t>
  </si>
  <si>
    <t>二类居住用地(R2)、中小学用地(A33)、商业服务业设施用地(B)、城市道路用地(S1)、公园绿地(G1)</t>
  </si>
  <si>
    <t>地块e6-03容积率≤2.3;地块e6-05容积率≤2.9;地块e6-09容积率≤3.5;地块e6-16容积率≤0.4;地块e6-22容积率≤3.8;地块e6-24容积率≤4.83</t>
  </si>
  <si>
    <t>2018-12-24</t>
  </si>
  <si>
    <t>穗南国土出告字〔2018〕23号</t>
  </si>
  <si>
    <t>广州南沙中铁实业发展有限公司</t>
  </si>
  <si>
    <t>采取“限地价+竞配建+竞自持+摇号”的竞价方式，最高限制地价为762033万元，最高配建面积89100平方米；竞得人须在本次出让地块成交后30天内与黄阁镇坦尾村民委员会签订开发协议；</t>
    <phoneticPr fontId="228" type="noConversion"/>
  </si>
  <si>
    <t>南沙2018NJY-14地块</t>
  </si>
  <si>
    <t>珠江街南沙港快速北侧、四涌南侧、灵新大道西侧</t>
  </si>
  <si>
    <t>2018NJY-14</t>
  </si>
  <si>
    <t>二类居住用地(R2)、城市道路用地(S1)</t>
  </si>
  <si>
    <t>≤3.2</t>
  </si>
  <si>
    <t>2018-12-19</t>
  </si>
  <si>
    <t>穗南国土出告字〔2018〕22号</t>
  </si>
  <si>
    <t>中铁建南沙投资发展有限公司</t>
  </si>
  <si>
    <t>横沥镇灵山岛尖C1-22-01-2、C1-22-06地块</t>
  </si>
  <si>
    <t>2018NJY-12</t>
  </si>
  <si>
    <t>C1-22-01-2地块为商业兼容文化活动设施、通信及服务设施用地(B1/U15/A22/R22),C1-22-06地块为二类居住兼容商业用地(R2/B1)</t>
  </si>
  <si>
    <t>c1-22-01-2地块≤2.0;c1-22-06地块≤1.5</t>
  </si>
  <si>
    <t>2018-11-30</t>
  </si>
  <si>
    <t>穗南国土出告字〔2018〕19号</t>
  </si>
  <si>
    <t>广州南投房地产开发有限公司</t>
  </si>
  <si>
    <t>采用“限地价+竞自持+摇号”方式，最高限制地价82577万元；竞得人须在用地范围内配建15300平方米人才公寓（住宅）由南沙开发区管委会指定单位按3500元/平方米的价格回购；</t>
    <phoneticPr fontId="228" type="noConversion"/>
  </si>
  <si>
    <t>横沥镇灵山岛尖C1-26-02-1、C1-26-02-2、C1-26-05地块</t>
  </si>
  <si>
    <t>南沙新区明珠湾起步区</t>
  </si>
  <si>
    <t>2018NJY-11</t>
  </si>
  <si>
    <t>C1-26-02-1地块为二类居住用地兼容商业用地(R2/B1),C1-26-02-2地块为公共交通场站用地兼容商业用地(S41/B1),C1-26-05地块为二类居住用地(R2)</t>
  </si>
  <si>
    <t>c1-26-02-1地块≤1.5,c1-26-02-2地块≤0.6,c1-26-05地块≤2.0</t>
  </si>
  <si>
    <t>2018-11-09</t>
  </si>
  <si>
    <t>穗南国土出告字〔2018〕18号</t>
  </si>
  <si>
    <t>深圳市润投咨询有限公司</t>
  </si>
  <si>
    <t>采用“限地价+竞自持+摇号”方式，最高限价149074万元；竞得人须在用地范围内配建12150平方米人才公寓（住宅）由南沙开发区管委会指定单位按3500元/平方米的价格回购；竞得人须采用装配式建筑的建造方式。</t>
    <phoneticPr fontId="228" type="noConversion"/>
  </si>
  <si>
    <t>横沥镇灵山岛尖C1-23-03、C1-23-05、C1-23-06地块</t>
  </si>
  <si>
    <t>2018NJY-9</t>
  </si>
  <si>
    <t>C1-23-03地块为公园绿地(G1),C1-23-05地块为二类居住用地(R2),C1-23-06地块为服务设施用地(R22)</t>
  </si>
  <si>
    <t>c1-23-05地块≤2.5,c1-23-06地块≤0.8</t>
  </si>
  <si>
    <t>穗南国土出告字〔2018〕16号</t>
  </si>
  <si>
    <t>杭州昭廉投资有限公司(中交+绿城)</t>
  </si>
  <si>
    <t>采用“限地价+竞自持+摇号”方式，最高限价132167万元；竞得人须在用地范围内配建10350平方米人才公寓（住宅）由南沙开发区管委会指定单位按3500元/平方米的价格回购；竞得人须采用装配式建筑的建造方式。</t>
    <phoneticPr fontId="228" type="noConversion"/>
  </si>
  <si>
    <t>横沥镇灵山岛尖C1-27-01地块</t>
  </si>
  <si>
    <t>2018NJY-10</t>
  </si>
  <si>
    <t>二类居住用地(R2)</t>
  </si>
  <si>
    <t>≤2.4</t>
  </si>
  <si>
    <t>穗南国土出告字〔2018〕17号</t>
  </si>
  <si>
    <t>广州金科房地产开发有限公司</t>
  </si>
  <si>
    <t>采用“限地价+竞自持+摇号”方式，最高限价114956万元；竞得人须在用地范围内配建9000平方米人才公寓（住宅）由南沙开发区管委会指定单位按3500元/平方米的价格回购；竞得人须采用装配式建筑的建造方式。</t>
    <phoneticPr fontId="228" type="noConversion"/>
  </si>
  <si>
    <t>横沥镇灵山岛尖C1-22-05地块</t>
  </si>
  <si>
    <t>2018NJY-8</t>
  </si>
  <si>
    <t>二类居住用地兼容商业服务业设施用地(R2/B)</t>
    <phoneticPr fontId="228" type="noConversion"/>
  </si>
  <si>
    <t>≤4.5</t>
  </si>
  <si>
    <t>2018-10-10</t>
  </si>
  <si>
    <t>穗南国土出告字〔2018〕14号</t>
  </si>
  <si>
    <t>广州隽业二号房地产开发有限公司</t>
  </si>
  <si>
    <t>采用“限地价+竞自持+摇号”方式，最高限制地价为135080万元；竞得人须采用装配式建筑的建造方式；竞得人须在用地范围内配建14850平方米人才公寓（住宅）由南沙开发区管委会指定单位按3500元/平方米的价格回购</t>
    <phoneticPr fontId="228" type="noConversion"/>
  </si>
  <si>
    <t>广州市番禺区南沙经济技术开发区千山花苑五期建设用地</t>
  </si>
  <si>
    <t>南沙区黄山鲁森林公园</t>
  </si>
  <si>
    <t>拍卖</t>
  </si>
  <si>
    <t>番府国用(2002)字第13-002158、13-000140号</t>
  </si>
  <si>
    <t>商住(绿地)</t>
  </si>
  <si>
    <t>≤0.6</t>
  </si>
  <si>
    <t>T2018-88号</t>
  </si>
  <si>
    <t>至2070年7月11日</t>
  </si>
  <si>
    <t>2018NJY-6地块</t>
  </si>
  <si>
    <t>黄阁镇京珠高速以东、黄阁北路以南、庐前山南路以北</t>
  </si>
  <si>
    <t>2018NJY-6</t>
  </si>
  <si>
    <t>≤2.0</t>
  </si>
  <si>
    <t>2018-06-28</t>
  </si>
  <si>
    <t>穗南国土出告字〔2018〕12号</t>
  </si>
  <si>
    <t>采用“限地价+竞配建+竞自持+摇号”方式出让，最高限制地价为148248万元，最高配建面积22950平方米</t>
    <phoneticPr fontId="228" type="noConversion"/>
  </si>
  <si>
    <t>2018NJY-7地块</t>
  </si>
  <si>
    <t>万顷沙镇昔仓路以南、万泰路以东、十四涌以北</t>
  </si>
  <si>
    <t>2018NJY-7</t>
  </si>
  <si>
    <t>≤2.8</t>
  </si>
  <si>
    <t>穗南国土出告字〔2018〕13号</t>
  </si>
  <si>
    <t>深圳市深恒达投资发展有限公司</t>
  </si>
  <si>
    <t>采用“限地价+竞配建+竞自持年限+摇号”方式出让，最高限制地价为87797万元，最高配建面积62100平方米;该地块要求竞得人自持扣除配建人才公寓后的计容总建筑面积的100%，自取得房地产权登记后持有年限不低于10年，自持期间物业须整体确权（只办理一个不动产权证），不得销售，仅可用于租赁。</t>
    <phoneticPr fontId="228" type="noConversion"/>
  </si>
  <si>
    <t>东涌镇东涌村2017NJY-11地块</t>
  </si>
  <si>
    <t>东涌镇东涌村</t>
  </si>
  <si>
    <t>2017NJY-11</t>
  </si>
  <si>
    <t>2018-01-29</t>
  </si>
  <si>
    <t>穗南国土出告字〔2017〕17号</t>
  </si>
  <si>
    <t>中海地产集团有限公司</t>
  </si>
  <si>
    <t>横沥镇灵山岛尖C1-21-04、C1-21-05、C1-21-06地块</t>
  </si>
  <si>
    <t>2017NJY-12</t>
  </si>
  <si>
    <t>二类居住用地(R2)、商业服务业设施用地(B)、公园绿地(G1)、城市道路用地(S1)</t>
  </si>
  <si>
    <t>≤2.8-3.9</t>
  </si>
  <si>
    <t>穗南国土出告字〔2017〕18号</t>
  </si>
  <si>
    <t>广州隽业一号房地产开发有限公司</t>
  </si>
  <si>
    <t>2017NJY-9地块</t>
  </si>
  <si>
    <t>东涌镇东深村</t>
  </si>
  <si>
    <t>2017NJY-9</t>
  </si>
  <si>
    <t>≤2.2</t>
  </si>
  <si>
    <t>2017-10-30</t>
  </si>
  <si>
    <t>穗南国土出告字〔2017〕13号</t>
  </si>
  <si>
    <t>广东美的置业有限公司</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</si>
  <si>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</si>
  <si>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</si>
  <si>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</si>
  <si>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</si>
  <si>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</si>
  <si>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</si>
  <si>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</si>
  <si>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</si>
  <si>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</si>
  <si>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</si>
  <si>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</si>
  <si>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</si>
  <si>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</si>
  <si>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</si>
  <si>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</si>
  <si>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</si>
  <si>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</si>
  <si>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</si>
  <si>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</si>
  <si>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</si>
  <si>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</si>
  <si>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</si>
  <si>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</si>
  <si>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</si>
  <si>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</si>
  <si>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</si>
  <si>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</si>
  <si>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</si>
  <si>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</si>
  <si>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</si>
  <si>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</si>
  <si>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</si>
  <si>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</si>
  <si>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</si>
  <si>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2016-11-25</t>
  </si>
  <si>
    <t>穗南国土出告字〔2016〕第8号</t>
  </si>
  <si>
    <t>广州南方投资集团有限公司</t>
  </si>
  <si>
    <t>居住份额用地*70*年,商业、旅游、娱乐份额用地*40*年,其他用地*50*年</t>
  </si>
  <si>
    <t>4星</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</si>
  <si>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</si>
  <si>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</si>
  <si>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</si>
  <si>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</si>
  <si>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</si>
  <si>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</si>
  <si>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</si>
  <si>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</si>
  <si>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</si>
  <si>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</si>
  <si>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</si>
  <si>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</si>
  <si>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</si>
  <si>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</si>
  <si>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</si>
  <si>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</si>
  <si>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</si>
  <si>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穗南国土出告字【2016】第6号</t>
  </si>
  <si>
    <t>≤3.2</t>
    <phoneticPr fontId="228" type="noConversion"/>
  </si>
  <si>
    <t>≤3.0</t>
    <phoneticPr fontId="228" type="noConversion"/>
  </si>
  <si>
    <t>≤2.5</t>
    <phoneticPr fontId="228" type="noConversion"/>
  </si>
  <si>
    <t>特殊要求</t>
    <phoneticPr fontId="228" type="noConversion"/>
  </si>
  <si>
    <t>（1）竞得人须采用装配式建筑的建造方式。
（2）竞得人须在用地范围内配建23000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</si>
  <si>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（1）竞得人须采用装配式建筑的建造方式。
（2）竞得人须在用地范围内配建28000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</si>
  <si>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地上</t>
  </si>
  <si>
    <t>——</t>
    <phoneticPr fontId="228" type="noConversion"/>
  </si>
  <si>
    <t>住宅</t>
    <phoneticPr fontId="7" type="noConversion"/>
  </si>
  <si>
    <t>商业</t>
    <phoneticPr fontId="7" type="noConversion"/>
  </si>
  <si>
    <t>办公</t>
    <phoneticPr fontId="7" type="noConversion"/>
  </si>
  <si>
    <t>售价</t>
  </si>
  <si>
    <t>住宅</t>
    <phoneticPr fontId="21" type="noConversion"/>
  </si>
  <si>
    <t>60-70（含）</t>
  </si>
  <si>
    <t>正常</t>
  </si>
  <si>
    <t>比较法-住宅、综合</t>
  </si>
  <si>
    <t>剩余法-待开发</t>
  </si>
  <si>
    <t>项目局部</t>
  </si>
  <si>
    <t>土地</t>
  </si>
  <si>
    <t>小高层</t>
  </si>
  <si>
    <t>小高层</t>
    <phoneticPr fontId="21" type="noConversion"/>
  </si>
  <si>
    <t>高层</t>
  </si>
  <si>
    <t>高层</t>
    <phoneticPr fontId="21" type="noConversion"/>
  </si>
  <si>
    <t>折扣</t>
    <phoneticPr fontId="21" type="noConversion"/>
  </si>
  <si>
    <t>平层</t>
  </si>
  <si>
    <t>平层</t>
    <phoneticPr fontId="21" type="noConversion"/>
  </si>
  <si>
    <t>六通</t>
  </si>
  <si>
    <t>六通</t>
    <phoneticPr fontId="21" type="noConversion"/>
  </si>
  <si>
    <t>专业</t>
  </si>
  <si>
    <t>专业</t>
    <phoneticPr fontId="21" type="noConversion"/>
  </si>
  <si>
    <t>精装</t>
  </si>
  <si>
    <t>精装</t>
    <phoneticPr fontId="21" type="noConversion"/>
  </si>
  <si>
    <t>精装</t>
    <phoneticPr fontId="21" type="noConversion"/>
  </si>
  <si>
    <t>钢混</t>
  </si>
  <si>
    <t>钢混</t>
    <phoneticPr fontId="21" type="noConversion"/>
  </si>
  <si>
    <t>中档</t>
  </si>
  <si>
    <t>中档</t>
    <phoneticPr fontId="21" type="noConversion"/>
  </si>
  <si>
    <t>较好</t>
  </si>
  <si>
    <t>一般</t>
  </si>
  <si>
    <t>中抵挡</t>
  </si>
  <si>
    <t>中抵挡</t>
    <phoneticPr fontId="21" type="noConversion"/>
  </si>
  <si>
    <t>土地（套用方法）</t>
  </si>
  <si>
    <t>否</t>
  </si>
  <si>
    <t>按租金收入计税</t>
  </si>
  <si>
    <t>不动产收益法</t>
  </si>
  <si>
    <t>省会市名称</t>
  </si>
  <si>
    <t>建筑型式</t>
  </si>
  <si>
    <t>多层</t>
  </si>
  <si>
    <r>
      <rPr>
        <sz val="10"/>
        <rFont val="宋体"/>
        <family val="3"/>
        <charset val="134"/>
      </rPr>
      <t>广州</t>
    </r>
  </si>
  <si>
    <t>0</t>
  </si>
  <si>
    <t>2800</t>
  </si>
  <si>
    <t>城投·首筑花园</t>
    <phoneticPr fontId="3" type="noConversion"/>
  </si>
  <si>
    <t>凤凰大道领界西北侧</t>
    <phoneticPr fontId="3" type="noConversion"/>
  </si>
  <si>
    <t>珠江源昌花园</t>
    <phoneticPr fontId="3" type="noConversion"/>
  </si>
  <si>
    <t>区珠江街新广三路</t>
    <phoneticPr fontId="3" type="noConversion"/>
  </si>
  <si>
    <t>鸿成·珠江玥</t>
    <phoneticPr fontId="3" type="noConversion"/>
  </si>
  <si>
    <t>珠江街西新二路</t>
    <phoneticPr fontId="3" type="noConversion"/>
  </si>
  <si>
    <t>文化室</t>
    <phoneticPr fontId="228" type="noConversion"/>
  </si>
  <si>
    <t>幼儿园</t>
    <phoneticPr fontId="228" type="noConversion"/>
  </si>
  <si>
    <t>社区居委会</t>
    <phoneticPr fontId="228" type="noConversion"/>
  </si>
  <si>
    <t>托儿所</t>
    <phoneticPr fontId="228" type="noConversion"/>
  </si>
  <si>
    <t>老年人服务站点</t>
    <phoneticPr fontId="228" type="noConversion"/>
  </si>
  <si>
    <t>社区服务站</t>
    <phoneticPr fontId="228" type="noConversion"/>
  </si>
  <si>
    <t>物业管理（含业主委员会）</t>
    <phoneticPr fontId="228" type="noConversion"/>
  </si>
  <si>
    <t>社区日间照料中心</t>
    <phoneticPr fontId="228" type="noConversion"/>
  </si>
  <si>
    <t>垃圾收集站</t>
    <phoneticPr fontId="228" type="noConversion"/>
  </si>
  <si>
    <t>公共厕所</t>
    <phoneticPr fontId="228" type="noConversion"/>
  </si>
  <si>
    <t>肉菜市场</t>
    <phoneticPr fontId="228" type="noConversion"/>
  </si>
  <si>
    <t>派出所</t>
    <phoneticPr fontId="228" type="noConversion"/>
  </si>
  <si>
    <t>小学</t>
    <phoneticPr fontId="228" type="noConversion"/>
  </si>
  <si>
    <t>综合文化中心</t>
    <phoneticPr fontId="228" type="noConversion"/>
  </si>
  <si>
    <t>行政服务中心</t>
    <phoneticPr fontId="228" type="noConversion"/>
  </si>
  <si>
    <t>社区卫生服务站</t>
    <phoneticPr fontId="228" type="noConversion"/>
  </si>
  <si>
    <t>公共交通站场</t>
    <phoneticPr fontId="228" type="noConversion"/>
  </si>
  <si>
    <t>地块一</t>
    <phoneticPr fontId="228" type="noConversion"/>
  </si>
  <si>
    <t>地块二</t>
    <phoneticPr fontId="228" type="noConversion"/>
  </si>
  <si>
    <t>配套</t>
    <phoneticPr fontId="228" type="noConversion"/>
  </si>
  <si>
    <t>地块一（商业地块）</t>
    <phoneticPr fontId="228" type="noConversion"/>
  </si>
  <si>
    <t>土地用途</t>
    <phoneticPr fontId="228" type="noConversion"/>
  </si>
  <si>
    <t>用地面积</t>
    <phoneticPr fontId="228" type="noConversion"/>
  </si>
  <si>
    <t>地块一</t>
    <phoneticPr fontId="228" type="noConversion"/>
  </si>
  <si>
    <t>二类居住用地（R2）、商业服务业设施用地（B）</t>
    <phoneticPr fontId="228" type="noConversion"/>
  </si>
  <si>
    <t>地块二</t>
    <phoneticPr fontId="228" type="noConversion"/>
  </si>
  <si>
    <t>中小学用地（A33）</t>
    <phoneticPr fontId="228" type="noConversion"/>
  </si>
  <si>
    <t>二类居住用地（R2）</t>
    <phoneticPr fontId="228" type="noConversion"/>
  </si>
  <si>
    <t>商业用地（B1）、商务用地（B2）、行政办公用地（A1）、文化设施用地（A2）、公共交通场站用地（S41）、社会停车场用地（S42）</t>
    <phoneticPr fontId="228" type="noConversion"/>
  </si>
  <si>
    <t>住宅</t>
    <phoneticPr fontId="228" type="noConversion"/>
  </si>
  <si>
    <t>商业</t>
    <phoneticPr fontId="228" type="noConversion"/>
  </si>
  <si>
    <t>公共配套</t>
    <phoneticPr fontId="228" type="noConversion"/>
  </si>
  <si>
    <t>合计</t>
    <phoneticPr fontId="228" type="noConversion"/>
  </si>
  <si>
    <t>人才公寓</t>
    <phoneticPr fontId="228" type="noConversion"/>
  </si>
  <si>
    <t>其他省市请录依据文件名称：广州市人民政府关于印发广州市城镇土地使用税适用税额调整方案的通知 穗府规〔2017〕20号
https://www.tuliu.com/read-70843.html</t>
    <phoneticPr fontId="3" type="noConversion"/>
  </si>
  <si>
    <r>
      <t xml:space="preserve">http://www.gz.gov.cn/gzswjk/2.2.22/201902/f8387bd71b934cb7bad10118987b6b12.shtml
</t>
    </r>
    <r>
      <rPr>
        <sz val="11"/>
        <color indexed="8"/>
        <rFont val="宋体"/>
        <family val="3"/>
        <charset val="134"/>
      </rPr>
      <t>穗建规字〔</t>
    </r>
    <r>
      <rPr>
        <sz val="11"/>
        <color indexed="8"/>
        <rFont val="Arial"/>
        <family val="2"/>
      </rPr>
      <t>2019</t>
    </r>
    <r>
      <rPr>
        <sz val="11"/>
        <color indexed="8"/>
        <rFont val="宋体"/>
        <family val="3"/>
        <charset val="134"/>
      </rPr>
      <t>〕</t>
    </r>
    <r>
      <rPr>
        <sz val="11"/>
        <color indexed="8"/>
        <rFont val="Arial"/>
        <family val="2"/>
      </rPr>
      <t>3</t>
    </r>
    <r>
      <rPr>
        <sz val="11"/>
        <color indexed="8"/>
        <rFont val="宋体"/>
        <family val="3"/>
        <charset val="134"/>
      </rPr>
      <t>号
广州市住房和城乡建设局关于进一步加强城市基础设施配套费征收管理的通知</t>
    </r>
    <phoneticPr fontId="3" type="noConversion"/>
  </si>
  <si>
    <t>楼面地价</t>
  </si>
  <si>
    <t>采取“限地价＋竞自持＋摇号”方式，最高限制地价180699万元；竞得人须在用地范围内配建36000平方米拆迁安置房由广州南沙开发区土地开发中心按3500元/平方米的价格回购；竞得人须采用装配式建筑的建造方式。</t>
    <phoneticPr fontId="228" type="noConversion"/>
  </si>
  <si>
    <t>70\40</t>
    <phoneticPr fontId="26" type="noConversion"/>
  </si>
  <si>
    <t>较规则</t>
  </si>
  <si>
    <t>较规则</t>
    <phoneticPr fontId="26" type="noConversion"/>
  </si>
  <si>
    <t>较适宜</t>
  </si>
  <si>
    <t>较适宜</t>
    <phoneticPr fontId="26" type="noConversion"/>
  </si>
  <si>
    <t>六通一平</t>
  </si>
  <si>
    <t>六通一平</t>
    <phoneticPr fontId="26" type="noConversion"/>
  </si>
  <si>
    <t>较好</t>
    <phoneticPr fontId="26" type="noConversion"/>
  </si>
  <si>
    <t>次干道</t>
    <phoneticPr fontId="26" type="noConversion"/>
  </si>
  <si>
    <t>万新大道</t>
    <phoneticPr fontId="26" type="noConversion"/>
  </si>
  <si>
    <t>次干道</t>
  </si>
  <si>
    <t>较差</t>
  </si>
  <si>
    <t>地块一</t>
    <phoneticPr fontId="228" type="noConversion"/>
  </si>
  <si>
    <t>地块二</t>
    <phoneticPr fontId="228" type="noConversion"/>
  </si>
  <si>
    <t>二类居住用地（R2）</t>
  </si>
  <si>
    <t>住宅（人才公寓）</t>
  </si>
  <si>
    <t>住宅（人才公寓）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</si>
</sst>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9"/>
      <color theme="1"/>
      <name val="宋体"/>
      <family val="3"/>
      <charset val="134"/>
      <scheme val="minor"/>
    </font>
    <font>
      <sz val="8"/>
      <color theme="1"/>
      <name val="宋体"/>
      <family val="3"/>
      <charset val="134"/>
      <scheme val="minor"/>
    </font>
    <font>
      <sz val="8"/>
      <color rgb="FF020202"/>
      <name val="宋体"/>
      <family val="3"/>
      <charset val="134"/>
      <scheme val="minor"/>
    </font>
    <font>
      <b/>
      <sz val="8"/>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7"/>
        <bgColor indexed="64"/>
      </patternFill>
    </fill>
    <fill>
      <patternFill patternType="solid">
        <fgColor rgb="FF00B05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9" fontId="145" fillId="0" borderId="0" applyFont="0" applyFill="0" applyBorder="0" applyAlignment="0" applyProtection="0">
      <alignment vertical="center"/>
    </xf>
    <xf numFmtId="0" fontId="86" fillId="0" borderId="0">
      <alignment wrapText="1"/>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277" fillId="0" borderId="0" xfId="0" applyFont="1">
      <alignment vertical="center"/>
    </xf>
    <xf numFmtId="0" fontId="277" fillId="0" borderId="0" xfId="0" applyFont="1" applyAlignment="1">
      <alignment vertical="center" wrapText="1"/>
    </xf>
    <xf numFmtId="0" fontId="278" fillId="0" borderId="0" xfId="0" applyFont="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277" fillId="0" borderId="4" xfId="0" applyFont="1" applyBorder="1">
      <alignment vertical="center"/>
    </xf>
    <xf numFmtId="0" fontId="277" fillId="0" borderId="14" xfId="0" applyFont="1" applyBorder="1" applyAlignment="1">
      <alignment vertical="center" wrapText="1"/>
    </xf>
    <xf numFmtId="0" fontId="277" fillId="0" borderId="14" xfId="0" applyFont="1" applyBorder="1">
      <alignment vertical="center"/>
    </xf>
    <xf numFmtId="0" fontId="277" fillId="0" borderId="32" xfId="0" applyFont="1" applyBorder="1" applyAlignment="1">
      <alignment vertical="center" wrapText="1"/>
    </xf>
    <xf numFmtId="0" fontId="277" fillId="0" borderId="13" xfId="0" applyFont="1" applyBorder="1" applyAlignment="1">
      <alignment vertical="center" wrapText="1"/>
    </xf>
    <xf numFmtId="0" fontId="277" fillId="0" borderId="0" xfId="0" applyFont="1" applyBorder="1" applyAlignment="1">
      <alignment vertical="center" wrapText="1"/>
    </xf>
    <xf numFmtId="0" fontId="277" fillId="0" borderId="0" xfId="0" applyFont="1" applyBorder="1">
      <alignment vertical="center"/>
    </xf>
    <xf numFmtId="0" fontId="277" fillId="0" borderId="18" xfId="0" applyFont="1" applyBorder="1" applyAlignment="1">
      <alignment vertical="center" wrapText="1"/>
    </xf>
    <xf numFmtId="0" fontId="277" fillId="0" borderId="17" xfId="0" applyFont="1" applyBorder="1" applyAlignment="1">
      <alignment vertical="center" wrapText="1"/>
    </xf>
    <xf numFmtId="0" fontId="277" fillId="0" borderId="19" xfId="0" applyFont="1" applyBorder="1" applyAlignment="1">
      <alignment vertical="center" wrapText="1"/>
    </xf>
    <xf numFmtId="0" fontId="277" fillId="0" borderId="19" xfId="0" applyFont="1" applyBorder="1">
      <alignment vertical="center"/>
    </xf>
    <xf numFmtId="0" fontId="277" fillId="0" borderId="20" xfId="0" applyFont="1" applyBorder="1" applyAlignment="1">
      <alignment vertical="center" wrapText="1"/>
    </xf>
    <xf numFmtId="0" fontId="277" fillId="0" borderId="10" xfId="0" applyFont="1" applyBorder="1">
      <alignment vertical="center"/>
    </xf>
    <xf numFmtId="0" fontId="277" fillId="0" borderId="3" xfId="0" applyFont="1" applyBorder="1">
      <alignment vertical="center"/>
    </xf>
    <xf numFmtId="0" fontId="277" fillId="0" borderId="21" xfId="0" applyFont="1" applyBorder="1">
      <alignment vertical="center"/>
    </xf>
    <xf numFmtId="0" fontId="276" fillId="0" borderId="0" xfId="0" applyFont="1" applyAlignment="1">
      <alignment horizontal="left" vertical="center" wrapText="1"/>
    </xf>
    <xf numFmtId="0" fontId="276" fillId="19" borderId="0" xfId="0" applyFont="1" applyFill="1" applyAlignment="1">
      <alignment horizontal="left" vertical="center" wrapText="1"/>
    </xf>
    <xf numFmtId="9" fontId="276" fillId="19" borderId="0" xfId="18" applyFont="1" applyFill="1" applyAlignment="1">
      <alignment horizontal="left" vertical="center" wrapText="1"/>
    </xf>
    <xf numFmtId="0" fontId="276" fillId="18" borderId="0" xfId="0" applyFont="1" applyFill="1" applyAlignment="1">
      <alignment horizontal="left" vertical="center" wrapText="1"/>
    </xf>
    <xf numFmtId="0" fontId="276" fillId="0" borderId="0" xfId="0" applyFont="1" applyAlignment="1">
      <alignment horizontal="left" vertical="center"/>
    </xf>
    <xf numFmtId="9" fontId="276" fillId="0" borderId="0" xfId="18" applyFont="1" applyAlignment="1">
      <alignment horizontal="left" vertical="center" wrapText="1"/>
    </xf>
    <xf numFmtId="9" fontId="276" fillId="18" borderId="0" xfId="18" applyFont="1" applyFill="1" applyAlignment="1">
      <alignment horizontal="left" vertical="center" wrapText="1"/>
    </xf>
    <xf numFmtId="0" fontId="276" fillId="20" borderId="0" xfId="0" applyFont="1" applyFill="1" applyAlignment="1">
      <alignment horizontal="left" vertical="center" wrapText="1"/>
    </xf>
    <xf numFmtId="9" fontId="276" fillId="20" borderId="0" xfId="18" applyFont="1" applyFill="1" applyAlignment="1">
      <alignment horizontal="left" vertical="center" wrapText="1"/>
    </xf>
    <xf numFmtId="0" fontId="276" fillId="0" borderId="0" xfId="0" applyFont="1" applyFill="1" applyAlignment="1">
      <alignment horizontal="left" vertical="center" wrapText="1"/>
    </xf>
    <xf numFmtId="9" fontId="276" fillId="0" borderId="0" xfId="18" applyFont="1" applyFill="1" applyAlignment="1">
      <alignment horizontal="left" vertical="center" wrapText="1"/>
    </xf>
    <xf numFmtId="177" fontId="71" fillId="0" borderId="2" xfId="0" applyNumberFormat="1" applyFont="1" applyFill="1" applyBorder="1" applyAlignment="1" applyProtection="1">
      <alignment horizontal="center" vertical="center" wrapText="1"/>
      <protection locked="0"/>
    </xf>
    <xf numFmtId="10" fontId="277" fillId="0" borderId="0" xfId="0" applyNumberFormat="1" applyFont="1">
      <alignment vertical="center"/>
    </xf>
    <xf numFmtId="0" fontId="277" fillId="0" borderId="13" xfId="0" applyFont="1" applyBorder="1">
      <alignment vertical="center"/>
    </xf>
    <xf numFmtId="0" fontId="277" fillId="0" borderId="18" xfId="0" applyFont="1" applyBorder="1">
      <alignment vertical="center"/>
    </xf>
    <xf numFmtId="0" fontId="277" fillId="0" borderId="17" xfId="0" applyFont="1" applyBorder="1">
      <alignment vertical="center"/>
    </xf>
    <xf numFmtId="0" fontId="277" fillId="0" borderId="4" xfId="0" applyFont="1" applyBorder="1" applyAlignment="1">
      <alignment vertical="center" wrapText="1"/>
    </xf>
    <xf numFmtId="49" fontId="144" fillId="0" borderId="18" xfId="0" applyNumberFormat="1" applyFont="1" applyFill="1" applyBorder="1" applyAlignment="1" applyProtection="1">
      <alignment horizontal="center" vertical="center" wrapText="1"/>
      <protection locked="0"/>
    </xf>
    <xf numFmtId="0" fontId="279" fillId="0" borderId="18" xfId="0" applyFont="1" applyBorder="1" applyAlignment="1">
      <alignment vertical="center" wrapText="1"/>
    </xf>
    <xf numFmtId="0" fontId="52" fillId="0" borderId="50"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31">
    <cellStyle name="百分比 2" xfId="11"/>
    <cellStyle name="百分比 3" xfId="18"/>
    <cellStyle name="常规" xfId="0" builtinId="0"/>
    <cellStyle name="常规 10" xfId="19"/>
    <cellStyle name="常规 11" xfId="3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已访问的超链接" xfId="17"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485775</xdr:colOff>
      <xdr:row>37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600575" cy="6448425"/>
        </a:xfrm>
        <a:prstGeom prst="rect">
          <a:avLst/>
        </a:prstGeom>
      </xdr:spPr>
    </xdr:pic>
    <xdr:clientData/>
  </xdr:twoCellAnchor>
  <xdr:twoCellAnchor editAs="oneCell">
    <xdr:from>
      <xdr:col>6</xdr:col>
      <xdr:colOff>550050</xdr:colOff>
      <xdr:row>0</xdr:row>
      <xdr:rowOff>0</xdr:rowOff>
    </xdr:from>
    <xdr:to>
      <xdr:col>16</xdr:col>
      <xdr:colOff>226200</xdr:colOff>
      <xdr:row>34</xdr:row>
      <xdr:rowOff>76200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64850" y="0"/>
          <a:ext cx="6534150" cy="590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0</xdr:colOff>
      <xdr:row>36</xdr:row>
      <xdr:rowOff>0</xdr:rowOff>
    </xdr:from>
    <xdr:to>
      <xdr:col>39</xdr:col>
      <xdr:colOff>322610</xdr:colOff>
      <xdr:row>83</xdr:row>
      <xdr:rowOff>122971</xdr:rowOff>
    </xdr:to>
    <xdr:pic>
      <xdr:nvPicPr>
        <xdr:cNvPr id="5" name="图片 4"/>
        <xdr:cNvPicPr>
          <a:picLocks noChangeAspect="1"/>
        </xdr:cNvPicPr>
      </xdr:nvPicPr>
      <xdr:blipFill>
        <a:blip xmlns:r="http://schemas.openxmlformats.org/officeDocument/2006/relationships" r:embed="rId1"/>
        <a:stretch>
          <a:fillRect/>
        </a:stretch>
      </xdr:blipFill>
      <xdr:spPr>
        <a:xfrm>
          <a:off x="30810200" y="11722100"/>
          <a:ext cx="9746010" cy="7396896"/>
        </a:xfrm>
        <a:prstGeom prst="rect">
          <a:avLst/>
        </a:prstGeom>
      </xdr:spPr>
    </xdr:pic>
    <xdr:clientData/>
  </xdr:twoCellAnchor>
  <xdr:twoCellAnchor editAs="oneCell">
    <xdr:from>
      <xdr:col>0</xdr:col>
      <xdr:colOff>0</xdr:colOff>
      <xdr:row>136</xdr:row>
      <xdr:rowOff>0</xdr:rowOff>
    </xdr:from>
    <xdr:to>
      <xdr:col>10</xdr:col>
      <xdr:colOff>380016</xdr:colOff>
      <xdr:row>183</xdr:row>
      <xdr:rowOff>65828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8232100"/>
          <a:ext cx="7841266" cy="73397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ver/Downloads/&#27979;&#31639;&#34920;-&#21335;&#27801;-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1335;&#27801;10%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21335;&#27801;11%23&#22320;&#22359;&#201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2"/>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人才公寓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Q6">
            <v>0.1</v>
          </cell>
        </row>
        <row r="7">
          <cell r="Q7">
            <v>0.03</v>
          </cell>
        </row>
        <row r="8">
          <cell r="W8">
            <v>0.1</v>
          </cell>
          <cell r="Y8">
            <v>1</v>
          </cell>
          <cell r="AK8">
            <v>1.4999999999999999E-2</v>
          </cell>
          <cell r="AL8">
            <v>1.5E-3</v>
          </cell>
          <cell r="AM8">
            <v>0.01</v>
          </cell>
        </row>
        <row r="14">
          <cell r="L14">
            <v>2500</v>
          </cell>
        </row>
        <row r="20">
          <cell r="B20">
            <v>2</v>
          </cell>
        </row>
        <row r="37">
          <cell r="B37">
            <v>0.02</v>
          </cell>
        </row>
        <row r="38">
          <cell r="B38">
            <v>0.01</v>
          </cell>
        </row>
      </sheetData>
      <sheetData sheetId="15"/>
      <sheetData sheetId="16"/>
      <sheetData sheetId="17"/>
      <sheetData sheetId="18"/>
      <sheetData sheetId="19">
        <row r="7">
          <cell r="E7" t="str">
            <v>横沥镇灵山岛尖C1-26-02-1、C1-26-02-2、C1-26-05地块</v>
          </cell>
          <cell r="G7" t="str">
            <v>横沥镇灵山岛尖C1-23-03、C1-23-05、C1-23-06地块</v>
          </cell>
          <cell r="I7" t="str">
            <v>横沥镇灵山岛尖C1-27-01地块</v>
          </cell>
        </row>
        <row r="8">
          <cell r="E8" t="str">
            <v>2018NJY-11</v>
          </cell>
          <cell r="G8" t="str">
            <v>2018NJY-9</v>
          </cell>
          <cell r="I8" t="str">
            <v>2018NJY-10</v>
          </cell>
        </row>
        <row r="9">
          <cell r="E9" t="str">
            <v>2018-11-09</v>
          </cell>
          <cell r="G9" t="str">
            <v>2018-11-09</v>
          </cell>
          <cell r="I9" t="str">
            <v>2018-11-09</v>
          </cell>
        </row>
        <row r="13">
          <cell r="E13">
            <v>1.73</v>
          </cell>
          <cell r="G13">
            <v>2.29</v>
          </cell>
          <cell r="I13">
            <v>2.4</v>
          </cell>
          <cell r="K13">
            <v>2</v>
          </cell>
        </row>
        <row r="17">
          <cell r="K17">
            <v>3</v>
          </cell>
        </row>
        <row r="19">
          <cell r="K19">
            <v>2</v>
          </cell>
        </row>
        <row r="23">
          <cell r="K23">
            <v>3</v>
          </cell>
        </row>
        <row r="25">
          <cell r="K25">
            <v>5</v>
          </cell>
        </row>
        <row r="27">
          <cell r="K27">
            <v>3</v>
          </cell>
        </row>
        <row r="29">
          <cell r="K29">
            <v>3</v>
          </cell>
        </row>
        <row r="31">
          <cell r="K31">
            <v>2</v>
          </cell>
        </row>
        <row r="34">
          <cell r="K34">
            <v>2</v>
          </cell>
        </row>
        <row r="40">
          <cell r="E40">
            <v>60556</v>
          </cell>
          <cell r="G40">
            <v>40274</v>
          </cell>
          <cell r="I40">
            <v>32353</v>
          </cell>
        </row>
        <row r="48">
          <cell r="E48">
            <v>11611</v>
          </cell>
          <cell r="G48">
            <v>10741</v>
          </cell>
          <cell r="I48">
            <v>12141</v>
          </cell>
        </row>
        <row r="74">
          <cell r="C74">
            <v>1</v>
          </cell>
        </row>
        <row r="82">
          <cell r="C82">
            <v>1</v>
          </cell>
          <cell r="D82">
            <v>2</v>
          </cell>
          <cell r="E82">
            <v>3</v>
          </cell>
        </row>
        <row r="84">
          <cell r="C84" t="str">
            <v>0-10%（含）</v>
          </cell>
          <cell r="D84" t="str">
            <v>10%-30%（含）</v>
          </cell>
        </row>
        <row r="85">
          <cell r="C85">
            <v>100</v>
          </cell>
          <cell r="D85">
            <v>100</v>
          </cell>
        </row>
      </sheetData>
      <sheetData sheetId="20"/>
      <sheetData sheetId="21"/>
      <sheetData sheetId="22">
        <row r="8">
          <cell r="C8">
            <v>23945</v>
          </cell>
          <cell r="E8">
            <v>20170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土地案例（商业）"/>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48128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t="str">
        <f>'预评函-封皮'!B40</f>
        <v>中诚信托有限责任公司</v>
      </c>
    </row>
    <row r="4" spans="1:55" s="2833" customFormat="1">
      <c r="A4" s="2831" t="s">
        <v>2661</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96343平方米。根据《建设工程规划许可证》[]、《出让合同》[]，估价对象规划建筑面积为289029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2019年8月12日（评估专业人员勘察现场之日）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根据《国有土地使用证》[]，估价对象（分摊）出让国有建设用地使用权面积为96343平方米。根据《建设工程规划许可证》[]、《出让合同》[]，估价对象规划建筑面积为289029平方米。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估价期日：2019年8月12日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96343</v>
      </c>
    </row>
    <row r="44" spans="1:2">
      <c r="A44" s="2831" t="s">
        <v>2739</v>
      </c>
      <c r="B44" s="2832" t="str">
        <f>'预评函-2'!O3</f>
        <v>规划建筑面积/㎡</v>
      </c>
    </row>
    <row r="45" spans="1:2">
      <c r="A45" s="2831" t="s">
        <v>2721</v>
      </c>
      <c r="B45" s="2832">
        <f>'预评函-2'!O5</f>
        <v>289029</v>
      </c>
    </row>
    <row r="46" spans="1:2">
      <c r="A46" s="2831" t="s">
        <v>2722</v>
      </c>
      <c r="B46" s="2832">
        <f ca="1">'预评函-2'!P5</f>
        <v>36455</v>
      </c>
    </row>
    <row r="47" spans="1:2">
      <c r="A47" s="2831" t="s">
        <v>2723</v>
      </c>
      <c r="B47" s="2832">
        <f ca="1">'预评函-2'!Q5</f>
        <v>12152</v>
      </c>
    </row>
    <row r="48" spans="1:2">
      <c r="A48" s="2831" t="s">
        <v>2724</v>
      </c>
      <c r="B48" s="2832">
        <f ca="1">'预评函-2'!R5</f>
        <v>351215</v>
      </c>
    </row>
    <row r="49" spans="1:2">
      <c r="A49" s="2831" t="s">
        <v>2740</v>
      </c>
      <c r="B49" s="2832" t="str">
        <f>'预评函-2'!A6</f>
        <v>抵押价格</v>
      </c>
    </row>
    <row r="50" spans="1:2">
      <c r="A50" s="2831" t="s">
        <v>2725</v>
      </c>
      <c r="B50" s="2832">
        <f ca="1">'预评函-2'!R6</f>
        <v>351215</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王鹏</v>
      </c>
    </row>
    <row r="70" spans="1:2">
      <c r="A70" s="2831" t="s">
        <v>2689</v>
      </c>
      <c r="B70" s="2838">
        <f ca="1">'预评函-3'!B20</f>
        <v>2002110030</v>
      </c>
    </row>
    <row r="71" spans="1:2">
      <c r="A71" s="2831" t="s">
        <v>2690</v>
      </c>
      <c r="B71" s="2832" t="str">
        <f>'预评函-3'!A21</f>
        <v>郑燚</v>
      </c>
    </row>
    <row r="72" spans="1:2" s="2846" customFormat="1" ht="15" thickBot="1">
      <c r="A72" s="2853" t="s">
        <v>2690</v>
      </c>
      <c r="B72" s="2859">
        <f ca="1">'预评函-3'!B21</f>
        <v>2014110011</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J27" sqref="J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75" t="str">
        <f>IF(B10="北京市","北京市",C10)&amp;F10&amp;B16&amp;"国有建设用地使用权"&amp;B9&amp;"预评估"</f>
        <v>出让国有建设用地使用权抵押价格预评估</v>
      </c>
      <c r="C1" s="3276"/>
      <c r="D1" s="3276"/>
      <c r="E1" s="3276"/>
      <c r="F1" s="3276"/>
      <c r="G1" s="3276"/>
      <c r="H1" s="3276"/>
      <c r="I1" s="3277"/>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43689</v>
      </c>
      <c r="C3" s="1645" t="s">
        <v>1995</v>
      </c>
      <c r="D3" s="1644">
        <f>B3</f>
        <v>43689</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2996</v>
      </c>
      <c r="C4" s="1828">
        <f ca="1">SUMIF(土地估价师,B4,估价师及机构信息!E3:E24)</f>
        <v>2002110030</v>
      </c>
      <c r="D4" s="1825" t="s">
        <v>2997</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中诚信托有限责任公司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2998</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f>C11</f>
        <v>0</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281" t="s">
        <v>1944</v>
      </c>
      <c r="E8" s="1826" t="s">
        <v>2999</v>
      </c>
      <c r="F8" s="1654"/>
      <c r="G8" s="1642"/>
      <c r="H8" s="1642"/>
      <c r="I8" s="1689"/>
      <c r="J8" s="1676"/>
      <c r="K8" s="1756"/>
      <c r="L8" s="1705"/>
      <c r="M8" s="1705"/>
      <c r="N8" s="1676"/>
      <c r="O8" s="1677"/>
      <c r="P8" s="1676"/>
      <c r="Q8" s="1676"/>
      <c r="R8" s="1676"/>
      <c r="S8" s="1676"/>
      <c r="T8" s="1676"/>
      <c r="U8" s="1676"/>
    </row>
    <row r="9" spans="1:21" ht="15" thickBot="1">
      <c r="A9" s="1655" t="s">
        <v>1943</v>
      </c>
      <c r="B9" s="1656" t="s">
        <v>2999</v>
      </c>
      <c r="C9" s="1657"/>
      <c r="D9" s="3282"/>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3000</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3001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78"/>
      <c r="C12" s="3279"/>
      <c r="D12" s="3280"/>
      <c r="E12" s="1681" t="s">
        <v>2061</v>
      </c>
      <c r="F12" s="3296" t="s">
        <v>2888</v>
      </c>
      <c r="G12" s="3297"/>
      <c r="H12" s="3297"/>
      <c r="I12" s="3298"/>
      <c r="J12" s="1676"/>
      <c r="K12" s="1756"/>
      <c r="L12" s="1705"/>
      <c r="M12" s="1705"/>
      <c r="N12" s="1676"/>
      <c r="O12" s="1677"/>
      <c r="P12" s="1676"/>
      <c r="Q12" s="1676"/>
      <c r="R12" s="1676"/>
      <c r="S12" s="1676"/>
      <c r="T12" s="1676"/>
      <c r="U12" s="1676"/>
    </row>
    <row r="13" spans="1:21">
      <c r="A13" s="1669" t="s">
        <v>2059</v>
      </c>
      <c r="B13" s="3278"/>
      <c r="C13" s="3279"/>
      <c r="D13" s="3280"/>
      <c r="E13" s="1681" t="s">
        <v>2061</v>
      </c>
      <c r="F13" s="3296" t="s">
        <v>2889</v>
      </c>
      <c r="G13" s="3297"/>
      <c r="H13" s="3297"/>
      <c r="I13" s="3298"/>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2988</v>
      </c>
      <c r="C16" s="1681" t="s">
        <v>1948</v>
      </c>
      <c r="D16" s="2608" t="s">
        <v>1949</v>
      </c>
      <c r="E16" s="1704" t="s">
        <v>3002</v>
      </c>
      <c r="F16" s="1704" t="s">
        <v>1677</v>
      </c>
      <c r="G16" s="1704"/>
      <c r="H16" s="1704"/>
      <c r="I16" s="1668" t="s">
        <v>1954</v>
      </c>
      <c r="J16" s="1676"/>
      <c r="K16" s="2418" t="str">
        <f>IF(D17="","",D16&amp;TEXT(D17,"yyyy年m月d日;;"))</f>
        <v>住宅2089年8月11日</v>
      </c>
      <c r="L16" s="1681" t="str">
        <f>IF(OR(K16="",M16=""),"","、")</f>
        <v>、</v>
      </c>
      <c r="M16" s="2418" t="str">
        <f>IF(E17="","",E16&amp;TEXT(E17,"yyyy年m月d日;;"))</f>
        <v>商业2059年8月11日</v>
      </c>
      <c r="N16" s="1681" t="str">
        <f>IF(OR(M16="",O16=""),"","、")</f>
        <v>、</v>
      </c>
      <c r="O16" s="2418" t="str">
        <f>IF(F17="","",F16&amp;TEXT(F17,"yyyy年m月d日;;"))</f>
        <v>办公2069年8月11日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69256</v>
      </c>
      <c r="E17" s="1682">
        <v>58298</v>
      </c>
      <c r="F17" s="1682">
        <v>61951</v>
      </c>
      <c r="G17" s="1682"/>
      <c r="H17" s="1682"/>
      <c r="I17" s="1682"/>
      <c r="J17" s="1676"/>
      <c r="K17" s="2417" t="str">
        <f>CONCATENATE(K16,L16,M16,N16,O16,P16,Q16,R16,S16,T16,,U16)</f>
        <v>住宅2089年8月11日、商业2059年8月11日、办公2069年8月11日</v>
      </c>
      <c r="L17" s="1705"/>
      <c r="M17" s="1705"/>
      <c r="N17" s="1676"/>
      <c r="O17" s="1677"/>
      <c r="P17" s="1676"/>
      <c r="Q17" s="1676"/>
      <c r="R17" s="1676"/>
      <c r="S17" s="1676"/>
      <c r="T17" s="1676"/>
      <c r="U17" s="1676"/>
    </row>
    <row r="18" spans="1:21">
      <c r="A18" s="1745"/>
      <c r="B18" s="1664"/>
      <c r="C18" s="1665" t="s">
        <v>1956</v>
      </c>
      <c r="D18" s="1666">
        <v>70</v>
      </c>
      <c r="E18" s="1666">
        <v>40</v>
      </c>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f>IF(B16="出让",IF(F17="","",ROUNDDOWN(MIN((F17-$D$3)/365,F18),2)),F18)</f>
        <v>50</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93"/>
      <c r="E20" s="3294"/>
      <c r="F20" s="3294"/>
      <c r="G20" s="3294"/>
      <c r="H20" s="3294"/>
      <c r="I20" s="3295"/>
      <c r="J20" s="1676"/>
      <c r="K20" s="1756"/>
      <c r="L20" s="1705"/>
      <c r="M20" s="1705"/>
      <c r="N20" s="1676"/>
      <c r="O20" s="1677"/>
      <c r="P20" s="1676"/>
      <c r="Q20" s="1676"/>
      <c r="R20" s="1676"/>
      <c r="S20" s="1676"/>
      <c r="T20" s="1676"/>
      <c r="U20" s="1676"/>
    </row>
    <row r="21" spans="1:21">
      <c r="A21" s="1745" t="s">
        <v>1958</v>
      </c>
      <c r="B21" s="1746" t="s">
        <v>1959</v>
      </c>
      <c r="C21" s="1741">
        <f>'数据-汇总表'!E3</f>
        <v>289029</v>
      </c>
      <c r="D21" s="1742" t="s">
        <v>1960</v>
      </c>
      <c r="E21" s="3283" t="s">
        <v>1998</v>
      </c>
      <c r="F21" s="3284"/>
      <c r="G21" s="3284"/>
      <c r="H21" s="3284"/>
      <c r="I21" s="3285"/>
      <c r="J21" s="1676"/>
      <c r="K21" s="1756"/>
      <c r="L21" s="1705"/>
      <c r="M21" s="1705"/>
      <c r="N21" s="1676"/>
      <c r="O21" s="1677"/>
      <c r="P21" s="1676"/>
      <c r="Q21" s="1676"/>
      <c r="R21" s="1676"/>
      <c r="S21" s="1676"/>
      <c r="T21" s="1676"/>
      <c r="U21" s="1676"/>
    </row>
    <row r="22" spans="1:21">
      <c r="A22" s="3095" t="s">
        <v>952</v>
      </c>
      <c r="B22" s="1643" t="s">
        <v>1961</v>
      </c>
      <c r="C22" s="1668">
        <f>'数据-汇总表'!D3</f>
        <v>96343</v>
      </c>
      <c r="D22" s="1669" t="s">
        <v>1960</v>
      </c>
      <c r="E22" s="3283" t="s">
        <v>2890</v>
      </c>
      <c r="F22" s="3284"/>
      <c r="G22" s="3284"/>
      <c r="H22" s="3284"/>
      <c r="I22" s="3285"/>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86" t="s">
        <v>1966</v>
      </c>
      <c r="C24" s="3287"/>
      <c r="D24" s="3288" t="s">
        <v>1967</v>
      </c>
      <c r="E24" s="3289"/>
      <c r="F24" s="1690" t="s">
        <v>1968</v>
      </c>
      <c r="G24" s="1676"/>
      <c r="H24" s="1676"/>
      <c r="I24" s="1689"/>
      <c r="J24" s="1676"/>
      <c r="K24" s="327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7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7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60" t="s">
        <v>2001</v>
      </c>
      <c r="B31" s="1746" t="s">
        <v>2002</v>
      </c>
      <c r="C31" s="3299"/>
      <c r="D31" s="3300"/>
      <c r="E31" s="1676"/>
      <c r="F31" s="1676"/>
      <c r="G31" s="1676"/>
      <c r="H31" s="1676"/>
      <c r="I31" s="1689"/>
      <c r="J31" s="1676"/>
      <c r="K31" s="2420"/>
      <c r="L31" s="1676"/>
      <c r="M31" s="1676"/>
      <c r="N31" s="1676"/>
      <c r="O31" s="1676"/>
      <c r="P31" s="1676"/>
      <c r="Q31" s="1676"/>
      <c r="R31" s="1676"/>
      <c r="S31" s="1676"/>
      <c r="T31" s="1676"/>
      <c r="U31" s="1676"/>
    </row>
    <row r="32" spans="1:21">
      <c r="A32" s="326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1"/>
      <c r="B34" s="1643" t="s">
        <v>2005</v>
      </c>
      <c r="C34" s="3262"/>
      <c r="D34" s="3263"/>
      <c r="E34" s="1676"/>
      <c r="F34" s="1676"/>
      <c r="G34" s="1676"/>
      <c r="H34" s="1676"/>
      <c r="I34" s="1689"/>
      <c r="J34" s="1676"/>
      <c r="K34" s="2420"/>
      <c r="L34" s="1676"/>
      <c r="M34" s="1676"/>
      <c r="N34" s="1676"/>
      <c r="O34" s="1676"/>
      <c r="P34" s="1676"/>
      <c r="Q34" s="1676"/>
      <c r="R34" s="1676"/>
      <c r="S34" s="1676"/>
      <c r="T34" s="1676"/>
      <c r="U34" s="1676"/>
    </row>
    <row r="35" spans="1:21">
      <c r="A35" s="3264" t="s">
        <v>847</v>
      </c>
      <c r="B35" s="1704"/>
      <c r="C35" s="1758" t="str">
        <f>IF(B35="场地平整","——","具体情况：")</f>
        <v>具体情况：</v>
      </c>
      <c r="D35" s="3266"/>
      <c r="E35" s="3267"/>
      <c r="F35" s="3267"/>
      <c r="G35" s="3267"/>
      <c r="H35" s="3267"/>
      <c r="I35" s="3268"/>
      <c r="J35" s="1676"/>
      <c r="K35" s="1757"/>
      <c r="L35" s="1705"/>
      <c r="M35" s="1705"/>
      <c r="N35" s="1676"/>
      <c r="O35" s="1677"/>
      <c r="P35" s="1676"/>
      <c r="Q35" s="1676"/>
      <c r="R35" s="1676"/>
      <c r="S35" s="1676"/>
      <c r="T35" s="1676"/>
      <c r="U35" s="1676"/>
    </row>
    <row r="36" spans="1:21">
      <c r="A36" s="3260"/>
      <c r="B36" s="3269" t="s">
        <v>2054</v>
      </c>
      <c r="C36" s="3270"/>
      <c r="D36" s="1774"/>
      <c r="E36" s="3271"/>
      <c r="F36" s="3271"/>
      <c r="G36" s="1669" t="str">
        <f>IF(B35="场地未平整","估价结果处理","")</f>
        <v/>
      </c>
      <c r="H36" s="3272"/>
      <c r="I36" s="3272"/>
      <c r="J36" s="1676"/>
      <c r="K36" s="1757"/>
      <c r="L36" s="1705"/>
      <c r="M36" s="1705"/>
      <c r="N36" s="1676"/>
      <c r="O36" s="1677"/>
      <c r="P36" s="1676"/>
      <c r="Q36" s="1676"/>
      <c r="R36" s="1676"/>
      <c r="S36" s="1676"/>
      <c r="T36" s="1676"/>
      <c r="U36" s="1676"/>
    </row>
    <row r="37" spans="1:21" ht="28.5">
      <c r="A37" s="3260"/>
      <c r="B37" s="329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0"/>
      <c r="B38" s="3291"/>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261"/>
      <c r="B39" s="329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73" t="s">
        <v>1985</v>
      </c>
      <c r="T40" s="1713" t="str">
        <f>NUMBERSTRING(7-K40,1)&amp;"通"</f>
        <v>七通</v>
      </c>
      <c r="U40" s="1676"/>
    </row>
    <row r="41" spans="1:21">
      <c r="A41" s="1645"/>
      <c r="B41" s="3265" t="s">
        <v>1721</v>
      </c>
      <c r="C41" s="3265"/>
      <c r="D41" s="3265"/>
      <c r="E41" s="326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hidden="1" customWidth="1"/>
    <col min="18" max="18" width="9.125" style="15" hidden="1" customWidth="1"/>
    <col min="19" max="28" width="10.875" style="15" hidden="1"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面积表!F6</f>
        <v>96343</v>
      </c>
      <c r="B3" s="22">
        <f>IF(C3="否",G5-AT5,G5)</f>
        <v>289029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289029</v>
      </c>
      <c r="H5" s="27">
        <f t="shared" ref="H5:AT5" si="0">SUM(H13:H641)</f>
        <v>286779</v>
      </c>
      <c r="I5" s="27">
        <f t="shared" si="0"/>
        <v>258779</v>
      </c>
      <c r="J5" s="27">
        <f t="shared" si="0"/>
        <v>0</v>
      </c>
      <c r="K5" s="27">
        <f t="shared" si="0"/>
        <v>28000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2250</v>
      </c>
      <c r="AD5" s="27">
        <f t="shared" si="0"/>
        <v>2250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289029</v>
      </c>
      <c r="BA5" s="29">
        <f t="shared" si="1"/>
        <v>286779</v>
      </c>
      <c r="BB5" s="29">
        <f t="shared" si="1"/>
        <v>258779</v>
      </c>
      <c r="BC5" s="29">
        <f t="shared" si="1"/>
        <v>28000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2250</v>
      </c>
      <c r="BM5" s="29">
        <f t="shared" si="1"/>
        <v>2250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v>
      </c>
      <c r="F6" s="27" t="s">
        <v>1</v>
      </c>
      <c r="G6" s="27" t="s">
        <v>2</v>
      </c>
      <c r="H6" s="33">
        <f>SUMIF(I$12:AB$12,"总值",I6:AB6)</f>
        <v>95593</v>
      </c>
      <c r="I6" s="27">
        <f t="shared" ref="I6:AB6" si="2">ROUND($A$3*I5/$B$3,2)</f>
        <v>86259.67</v>
      </c>
      <c r="J6" s="27">
        <f t="shared" si="2"/>
        <v>0</v>
      </c>
      <c r="K6" s="27">
        <f t="shared" si="2"/>
        <v>9333.33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750</v>
      </c>
      <c r="AD6" s="27">
        <f t="shared" ref="AD6:AS6" si="3">ROUND($A$3*AD5/$B$3,2)</f>
        <v>750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v>
      </c>
      <c r="AZ6" s="27" t="s">
        <v>3</v>
      </c>
      <c r="BA6" s="27">
        <f>ROUND($AY$6*BA5/$AZ$5,2)</f>
        <v>95593</v>
      </c>
      <c r="BB6" s="27">
        <f>ROUND($AY$6*BB5/$AZ$5,2)</f>
        <v>86259.67</v>
      </c>
      <c r="BC6" s="27">
        <f t="shared" ref="BC6:BH6" si="4">ROUND($AY$6*BC5/$AZ$5,2)</f>
        <v>9333.33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750</v>
      </c>
      <c r="BM6" s="27">
        <f t="shared" si="5"/>
        <v>750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3263</v>
      </c>
      <c r="J9" s="51"/>
      <c r="K9" s="2969" t="s">
        <v>3263</v>
      </c>
      <c r="L9" s="51"/>
      <c r="M9" s="2969" t="s">
        <v>3263</v>
      </c>
      <c r="N9" s="51"/>
      <c r="O9" s="59" t="s">
        <v>3263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923</v>
      </c>
      <c r="L10" s="51"/>
      <c r="M10" s="2971" t="s">
        <v>3002</v>
      </c>
      <c r="N10" s="51"/>
      <c r="O10" s="66" t="s">
        <v>1677</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96343</v>
      </c>
      <c r="F13" s="81"/>
      <c r="G13" s="82">
        <f t="shared" ref="G13:G20" si="7">H13+AC13+AT13</f>
        <v>289029</v>
      </c>
      <c r="H13" s="33">
        <f t="shared" ref="H13:H20" si="8">SUMIF(I$12:AB$12,"总值",I13:AB13)</f>
        <v>286779</v>
      </c>
      <c r="I13" s="2968">
        <f>面积表!D41</f>
        <v>258779</v>
      </c>
      <c r="J13" s="2968"/>
      <c r="K13" s="2968">
        <f>面积表!D42</f>
        <v>28000</v>
      </c>
      <c r="L13" s="2968"/>
      <c r="M13" s="2968">
        <f>面积表!D43</f>
        <v>0</v>
      </c>
      <c r="N13" s="83"/>
      <c r="O13" s="83"/>
      <c r="P13" s="83"/>
      <c r="Q13" s="83"/>
      <c r="R13" s="83"/>
      <c r="S13" s="83"/>
      <c r="T13" s="83"/>
      <c r="U13" s="83"/>
      <c r="V13" s="83"/>
      <c r="W13" s="83"/>
      <c r="X13" s="83"/>
      <c r="Y13" s="83"/>
      <c r="Z13" s="83"/>
      <c r="AA13" s="83"/>
      <c r="AB13" s="83"/>
      <c r="AC13" s="27">
        <f t="shared" ref="AC13:AC20" si="9">SUMIF(AD$12:AS$12,"总值",AD13:AS13)</f>
        <v>2250</v>
      </c>
      <c r="AD13" s="2972">
        <f>面积表!D44</f>
        <v>2250</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96343</v>
      </c>
      <c r="AZ13" s="27">
        <f t="shared" ref="AZ13:AZ20" si="12">BA13+BL13</f>
        <v>289029</v>
      </c>
      <c r="BA13" s="27">
        <f t="shared" ref="BA13:BA20" si="13">SUM(BB13:BK13)</f>
        <v>286779</v>
      </c>
      <c r="BB13" s="27">
        <f t="shared" ref="BB13:BB20" si="14">IF($D13="是",I13-J13,0)</f>
        <v>258779</v>
      </c>
      <c r="BC13" s="27">
        <f t="shared" ref="BC13:BC20" si="15">IF($D13="是",K13-L13,0)</f>
        <v>28000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2250</v>
      </c>
      <c r="BM13" s="27">
        <f t="shared" ref="BM13:BM20" si="25">IF($D13="是",AD13-AE13,0)</f>
        <v>2250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50"/>
  <sheetViews>
    <sheetView topLeftCell="A13" zoomScaleNormal="100" workbookViewId="0">
      <selection activeCell="H29" sqref="H29:H33"/>
    </sheetView>
  </sheetViews>
  <sheetFormatPr defaultColWidth="11" defaultRowHeight="10.5"/>
  <cols>
    <col min="1" max="1" width="1.875" style="3190" customWidth="1"/>
    <col min="2" max="2" width="9.75" style="3190" customWidth="1"/>
    <col min="3" max="3" width="18" style="3191" customWidth="1"/>
    <col min="4" max="4" width="13.625" style="3191" customWidth="1"/>
    <col min="5" max="5" width="20.5" style="3191" customWidth="1"/>
    <col min="6" max="6" width="9.625" style="3191" customWidth="1"/>
    <col min="7" max="7" width="8.5" style="3191" customWidth="1"/>
    <col min="8" max="8" width="11.625" style="3191" customWidth="1"/>
    <col min="9" max="9" width="12.875" style="3191" customWidth="1"/>
    <col min="10" max="10" width="86.625" style="3191" customWidth="1"/>
    <col min="11" max="16384" width="11" style="3190"/>
  </cols>
  <sheetData>
    <row r="1" spans="2:11" ht="9.9499999999999993" customHeight="1"/>
    <row r="2" spans="2:11" ht="26.1" customHeight="1">
      <c r="B2" s="3190" t="s">
        <v>3008</v>
      </c>
      <c r="C2" s="3191" t="s">
        <v>3009</v>
      </c>
      <c r="E2" s="3191" t="s">
        <v>3335</v>
      </c>
      <c r="F2" s="3191" t="s">
        <v>3336</v>
      </c>
      <c r="G2" s="3191" t="s">
        <v>3010</v>
      </c>
      <c r="H2" s="3191" t="s">
        <v>3011</v>
      </c>
      <c r="I2" s="3191" t="s">
        <v>3003</v>
      </c>
      <c r="J2" s="3191" t="s">
        <v>3260</v>
      </c>
    </row>
    <row r="3" spans="2:11" ht="58.5" customHeight="1">
      <c r="B3" s="3190" t="s">
        <v>3004</v>
      </c>
      <c r="C3" s="3191" t="s">
        <v>3005</v>
      </c>
      <c r="D3" s="3191" t="s">
        <v>3337</v>
      </c>
      <c r="E3" s="3191" t="s">
        <v>3338</v>
      </c>
      <c r="F3" s="3191">
        <v>83500</v>
      </c>
      <c r="G3" s="3191" t="s">
        <v>3257</v>
      </c>
      <c r="H3" s="3191">
        <v>267200</v>
      </c>
      <c r="I3" s="3191">
        <v>242340</v>
      </c>
      <c r="J3" s="3191" t="s">
        <v>3261</v>
      </c>
      <c r="K3" s="3223">
        <f>23000/(H3+H4)</f>
        <v>8.3137538405928066E-2</v>
      </c>
    </row>
    <row r="4" spans="2:11" ht="58.5" customHeight="1">
      <c r="D4" s="3191" t="s">
        <v>3339</v>
      </c>
      <c r="E4" s="3191" t="s">
        <v>3340</v>
      </c>
      <c r="F4" s="3191">
        <v>24300</v>
      </c>
      <c r="G4" s="3191" t="s">
        <v>3264</v>
      </c>
      <c r="H4" s="3191">
        <v>9450</v>
      </c>
    </row>
    <row r="5" spans="2:11" ht="36.950000000000003" customHeight="1">
      <c r="F5" s="3191">
        <f>F3+F4</f>
        <v>107800</v>
      </c>
    </row>
    <row r="6" spans="2:11" ht="58.5" customHeight="1">
      <c r="B6" s="3190" t="s">
        <v>3006</v>
      </c>
      <c r="C6" s="3191" t="s">
        <v>3007</v>
      </c>
      <c r="D6" s="3191" t="s">
        <v>3337</v>
      </c>
      <c r="E6" s="3191" t="s">
        <v>3341</v>
      </c>
      <c r="F6" s="3191">
        <v>96343</v>
      </c>
      <c r="G6" s="3191" t="s">
        <v>3258</v>
      </c>
      <c r="H6" s="3191">
        <v>365357</v>
      </c>
      <c r="I6" s="3191">
        <v>330650</v>
      </c>
      <c r="J6" s="3191" t="s">
        <v>3262</v>
      </c>
      <c r="K6" s="3223">
        <f>28000/(H6+H7)</f>
        <v>7.6637371119206696E-2</v>
      </c>
    </row>
    <row r="7" spans="2:11" ht="58.5" customHeight="1">
      <c r="D7" s="3191" t="s">
        <v>3339</v>
      </c>
      <c r="E7" s="3191" t="s">
        <v>3342</v>
      </c>
      <c r="F7" s="3191">
        <v>30531</v>
      </c>
      <c r="G7" s="3191" t="s">
        <v>3259</v>
      </c>
      <c r="K7" s="3192"/>
    </row>
    <row r="8" spans="2:11" ht="36.950000000000003" customHeight="1">
      <c r="F8" s="3191">
        <f>F6+F7</f>
        <v>126874</v>
      </c>
    </row>
    <row r="10" spans="2:11">
      <c r="B10" s="3208" t="s">
        <v>3333</v>
      </c>
      <c r="C10" s="3196" t="s">
        <v>3004</v>
      </c>
      <c r="D10" s="3197" t="s">
        <v>3331</v>
      </c>
      <c r="E10" s="3197" t="s">
        <v>3315</v>
      </c>
      <c r="F10" s="3197"/>
      <c r="G10" s="3197"/>
      <c r="H10" s="3199">
        <v>5400</v>
      </c>
    </row>
    <row r="11" spans="2:11">
      <c r="B11" s="3209"/>
      <c r="C11" s="3200"/>
      <c r="D11" s="3201"/>
      <c r="E11" s="3201" t="s">
        <v>3317</v>
      </c>
      <c r="F11" s="3201"/>
      <c r="G11" s="3201"/>
      <c r="H11" s="3203">
        <v>800</v>
      </c>
    </row>
    <row r="12" spans="2:11">
      <c r="B12" s="3209"/>
      <c r="C12" s="3200"/>
      <c r="D12" s="3201"/>
      <c r="E12" s="3201" t="s">
        <v>3316</v>
      </c>
      <c r="F12" s="3201"/>
      <c r="G12" s="3201"/>
      <c r="H12" s="3203">
        <v>200</v>
      </c>
    </row>
    <row r="13" spans="2:11">
      <c r="B13" s="3209"/>
      <c r="C13" s="3200"/>
      <c r="D13" s="3201"/>
      <c r="E13" s="3201" t="s">
        <v>3319</v>
      </c>
      <c r="F13" s="3201"/>
      <c r="G13" s="3201"/>
      <c r="H13" s="3203">
        <v>100</v>
      </c>
    </row>
    <row r="14" spans="2:11">
      <c r="B14" s="3209"/>
      <c r="C14" s="3200"/>
      <c r="D14" s="3201"/>
      <c r="E14" s="3201" t="s">
        <v>3318</v>
      </c>
      <c r="F14" s="3201"/>
      <c r="G14" s="3201"/>
      <c r="H14" s="3203">
        <v>100</v>
      </c>
    </row>
    <row r="15" spans="2:11">
      <c r="B15" s="3209"/>
      <c r="C15" s="3200"/>
      <c r="D15" s="3201"/>
      <c r="E15" s="3201" t="s">
        <v>3314</v>
      </c>
      <c r="F15" s="3201"/>
      <c r="G15" s="3201"/>
      <c r="H15" s="3203">
        <v>200</v>
      </c>
    </row>
    <row r="16" spans="2:11">
      <c r="B16" s="3209"/>
      <c r="C16" s="3200"/>
      <c r="D16" s="3201"/>
      <c r="E16" s="3201" t="s">
        <v>3320</v>
      </c>
      <c r="F16" s="3201"/>
      <c r="G16" s="3201"/>
      <c r="H16" s="3203">
        <v>50</v>
      </c>
    </row>
    <row r="17" spans="2:8">
      <c r="B17" s="3209"/>
      <c r="C17" s="3200"/>
      <c r="D17" s="3201"/>
      <c r="E17" s="3201" t="s">
        <v>3322</v>
      </c>
      <c r="F17" s="3201"/>
      <c r="G17" s="3201"/>
      <c r="H17" s="3203">
        <v>300</v>
      </c>
    </row>
    <row r="18" spans="2:8">
      <c r="B18" s="3209"/>
      <c r="C18" s="3200"/>
      <c r="D18" s="3201"/>
      <c r="E18" s="3201" t="s">
        <v>3323</v>
      </c>
      <c r="F18" s="3201"/>
      <c r="G18" s="3201"/>
      <c r="H18" s="3203">
        <f>100*2</f>
        <v>200</v>
      </c>
    </row>
    <row r="19" spans="2:8">
      <c r="B19" s="3209"/>
      <c r="C19" s="3200"/>
      <c r="D19" s="3201" t="s">
        <v>3334</v>
      </c>
      <c r="E19" s="3201" t="s">
        <v>3324</v>
      </c>
      <c r="F19" s="3202"/>
      <c r="G19" s="3201"/>
      <c r="H19" s="3203">
        <v>1500</v>
      </c>
    </row>
    <row r="20" spans="2:8">
      <c r="B20" s="3209"/>
      <c r="C20" s="3204"/>
      <c r="D20" s="3205" t="s">
        <v>3332</v>
      </c>
      <c r="E20" s="3205" t="s">
        <v>3326</v>
      </c>
      <c r="F20" s="3206"/>
      <c r="G20" s="3205"/>
      <c r="H20" s="3207">
        <v>9450</v>
      </c>
    </row>
    <row r="21" spans="2:8">
      <c r="B21" s="3209"/>
      <c r="C21" s="3196" t="s">
        <v>3006</v>
      </c>
      <c r="D21" s="3197" t="s">
        <v>3331</v>
      </c>
      <c r="E21" s="3197" t="s">
        <v>3314</v>
      </c>
      <c r="F21" s="3198"/>
      <c r="G21" s="3197"/>
      <c r="H21" s="3199">
        <v>200</v>
      </c>
    </row>
    <row r="22" spans="2:8">
      <c r="B22" s="3209"/>
      <c r="C22" s="3200"/>
      <c r="D22" s="3201"/>
      <c r="E22" s="3201" t="s">
        <v>3316</v>
      </c>
      <c r="F22" s="3202"/>
      <c r="G22" s="3201"/>
      <c r="H22" s="3203">
        <v>200</v>
      </c>
    </row>
    <row r="23" spans="2:8">
      <c r="B23" s="3209"/>
      <c r="C23" s="3200"/>
      <c r="D23" s="3201"/>
      <c r="E23" s="3201" t="s">
        <v>3318</v>
      </c>
      <c r="F23" s="3201"/>
      <c r="G23" s="3201"/>
      <c r="H23" s="3203">
        <v>100</v>
      </c>
    </row>
    <row r="24" spans="2:8">
      <c r="B24" s="3209"/>
      <c r="C24" s="3200"/>
      <c r="D24" s="3201"/>
      <c r="E24" s="3201" t="s">
        <v>3319</v>
      </c>
      <c r="F24" s="3201"/>
      <c r="G24" s="3201"/>
      <c r="H24" s="3203">
        <v>100</v>
      </c>
    </row>
    <row r="25" spans="2:8">
      <c r="B25" s="3209"/>
      <c r="C25" s="3200"/>
      <c r="D25" s="3201"/>
      <c r="E25" s="3201" t="s">
        <v>3320</v>
      </c>
      <c r="F25" s="3201"/>
      <c r="G25" s="3201"/>
      <c r="H25" s="3203">
        <v>50</v>
      </c>
    </row>
    <row r="26" spans="2:8">
      <c r="B26" s="3209"/>
      <c r="C26" s="3200"/>
      <c r="D26" s="3201"/>
      <c r="E26" s="3201" t="s">
        <v>3321</v>
      </c>
      <c r="F26" s="3201"/>
      <c r="G26" s="3201"/>
      <c r="H26" s="3229">
        <f>800</f>
        <v>800</v>
      </c>
    </row>
    <row r="27" spans="2:8">
      <c r="B27" s="3209"/>
      <c r="C27" s="3200"/>
      <c r="D27" s="3201"/>
      <c r="E27" s="3201" t="s">
        <v>3322</v>
      </c>
      <c r="F27" s="3201"/>
      <c r="G27" s="3201"/>
      <c r="H27" s="3203">
        <f>300*2</f>
        <v>600</v>
      </c>
    </row>
    <row r="28" spans="2:8">
      <c r="B28" s="3209"/>
      <c r="C28" s="3200"/>
      <c r="D28" s="3201"/>
      <c r="E28" s="3201" t="s">
        <v>3323</v>
      </c>
      <c r="F28" s="3201"/>
      <c r="G28" s="3201"/>
      <c r="H28" s="3203">
        <f>100*2</f>
        <v>200</v>
      </c>
    </row>
    <row r="29" spans="2:8">
      <c r="B29" s="3209"/>
      <c r="C29" s="3200"/>
      <c r="D29" s="3201" t="s">
        <v>3332</v>
      </c>
      <c r="E29" s="3201" t="s">
        <v>3325</v>
      </c>
      <c r="F29" s="3202"/>
      <c r="G29" s="3201"/>
      <c r="H29" s="3203">
        <v>3000</v>
      </c>
    </row>
    <row r="30" spans="2:8">
      <c r="B30" s="3209"/>
      <c r="C30" s="3200"/>
      <c r="D30" s="3201"/>
      <c r="E30" s="3201" t="s">
        <v>3327</v>
      </c>
      <c r="F30" s="3202"/>
      <c r="G30" s="3201"/>
      <c r="H30" s="3203">
        <v>7200</v>
      </c>
    </row>
    <row r="31" spans="2:8">
      <c r="B31" s="3209"/>
      <c r="C31" s="3200"/>
      <c r="D31" s="3201"/>
      <c r="E31" s="3201" t="s">
        <v>3328</v>
      </c>
      <c r="F31" s="3202"/>
      <c r="G31" s="3201"/>
      <c r="H31" s="3203">
        <v>2500</v>
      </c>
    </row>
    <row r="32" spans="2:8">
      <c r="B32" s="3209"/>
      <c r="C32" s="3200"/>
      <c r="D32" s="3201"/>
      <c r="E32" s="3201" t="s">
        <v>3329</v>
      </c>
      <c r="F32" s="3202"/>
      <c r="G32" s="3201"/>
      <c r="H32" s="3203">
        <v>300</v>
      </c>
    </row>
    <row r="33" spans="2:8">
      <c r="B33" s="3210"/>
      <c r="C33" s="3204"/>
      <c r="D33" s="3205"/>
      <c r="E33" s="3205" t="s">
        <v>3330</v>
      </c>
      <c r="F33" s="3206"/>
      <c r="G33" s="3205"/>
      <c r="H33" s="3207">
        <v>2250</v>
      </c>
    </row>
    <row r="36" spans="2:8">
      <c r="B36" s="3196" t="s">
        <v>3004</v>
      </c>
      <c r="C36" s="3227" t="s">
        <v>3343</v>
      </c>
      <c r="D36" s="3199">
        <f>H3-SUM(H10:H18)-30029-D37</f>
        <v>206821</v>
      </c>
    </row>
    <row r="37" spans="2:8">
      <c r="B37" s="3224"/>
      <c r="C37" s="3224" t="s">
        <v>3347</v>
      </c>
      <c r="D37" s="3225">
        <v>23000</v>
      </c>
    </row>
    <row r="38" spans="2:8">
      <c r="B38" s="3224"/>
      <c r="C38" s="3200" t="s">
        <v>3344</v>
      </c>
      <c r="D38" s="3203">
        <f>30029-H19</f>
        <v>28529</v>
      </c>
    </row>
    <row r="39" spans="2:8">
      <c r="B39" s="3224"/>
      <c r="C39" s="3200" t="s">
        <v>3345</v>
      </c>
      <c r="D39" s="3203">
        <f>SUM(H10:H20)</f>
        <v>18300</v>
      </c>
    </row>
    <row r="40" spans="2:8">
      <c r="B40" s="3226"/>
      <c r="C40" s="3204" t="s">
        <v>3346</v>
      </c>
      <c r="D40" s="3207">
        <f>SUM(D36:D39)</f>
        <v>276650</v>
      </c>
    </row>
    <row r="41" spans="2:8">
      <c r="B41" s="3196" t="s">
        <v>3006</v>
      </c>
      <c r="C41" s="3227" t="s">
        <v>3343</v>
      </c>
      <c r="D41" s="3199">
        <f>F6*3-D42-D44</f>
        <v>258779</v>
      </c>
    </row>
    <row r="42" spans="2:8">
      <c r="B42" s="3224" t="s">
        <v>3364</v>
      </c>
      <c r="C42" s="3224" t="s">
        <v>3347</v>
      </c>
      <c r="D42" s="3203">
        <v>28000</v>
      </c>
    </row>
    <row r="43" spans="2:8">
      <c r="B43" s="3224"/>
      <c r="C43" s="3200" t="s">
        <v>3344</v>
      </c>
      <c r="D43" s="3203">
        <v>0</v>
      </c>
    </row>
    <row r="44" spans="2:8">
      <c r="B44" s="3224"/>
      <c r="C44" s="3200" t="s">
        <v>3345</v>
      </c>
      <c r="D44" s="3203">
        <f>SUM(H21:H28)</f>
        <v>2250</v>
      </c>
    </row>
    <row r="45" spans="2:8">
      <c r="B45" s="3226"/>
      <c r="C45" s="3204" t="s">
        <v>3346</v>
      </c>
      <c r="D45" s="3207">
        <f>SUM(D41:D44)</f>
        <v>289029</v>
      </c>
    </row>
    <row r="46" spans="2:8">
      <c r="B46" s="3208" t="s">
        <v>3365</v>
      </c>
      <c r="C46" s="3227" t="s">
        <v>3343</v>
      </c>
      <c r="D46" s="3199">
        <v>0</v>
      </c>
    </row>
    <row r="47" spans="2:8">
      <c r="B47" s="3209"/>
      <c r="C47" s="3224" t="s">
        <v>3347</v>
      </c>
      <c r="D47" s="3203">
        <v>0</v>
      </c>
    </row>
    <row r="48" spans="2:8">
      <c r="B48" s="3209"/>
      <c r="C48" s="3200" t="s">
        <v>3344</v>
      </c>
      <c r="D48" s="3203">
        <f>F7*2.5-D49</f>
        <v>61077.5</v>
      </c>
    </row>
    <row r="49" spans="2:4">
      <c r="B49" s="3209"/>
      <c r="C49" s="3200" t="s">
        <v>3345</v>
      </c>
      <c r="D49" s="3203">
        <f>SUM(H29:H33)</f>
        <v>15250</v>
      </c>
    </row>
    <row r="50" spans="2:4">
      <c r="B50" s="3210"/>
      <c r="C50" s="3204" t="s">
        <v>3346</v>
      </c>
      <c r="D50" s="3207">
        <f>SUM(D46:D49)</f>
        <v>76327.5</v>
      </c>
    </row>
  </sheetData>
  <phoneticPr fontId="228"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43"/>
  <sheetViews>
    <sheetView zoomScale="90" zoomScaleNormal="90" zoomScaleSheetLayoutView="90" zoomScalePageLayoutView="90" workbookViewId="0">
      <selection activeCell="C20" sqref="C20"/>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12" t="s">
        <v>203</v>
      </c>
      <c r="B2" s="3312"/>
      <c r="C2" s="3312"/>
      <c r="D2" s="1958" t="s">
        <v>204</v>
      </c>
      <c r="E2" s="106" t="s">
        <v>205</v>
      </c>
      <c r="F2" s="1967"/>
      <c r="G2" s="1194"/>
      <c r="H2" s="1195"/>
      <c r="I2" s="1196" t="s">
        <v>857</v>
      </c>
      <c r="J2" s="1967"/>
      <c r="K2" s="1967"/>
      <c r="L2" s="1967"/>
    </row>
    <row r="3" spans="1:16" ht="15.75" thickBot="1">
      <c r="A3" s="3313" t="s">
        <v>206</v>
      </c>
      <c r="B3" s="3313"/>
      <c r="C3" s="3313"/>
      <c r="D3" s="107">
        <f>'数据-基础表'!AY6</f>
        <v>96343</v>
      </c>
      <c r="E3" s="107">
        <f>'数据-基础表'!AZ5</f>
        <v>289029</v>
      </c>
      <c r="F3" s="1967"/>
      <c r="G3" s="280" t="s">
        <v>858</v>
      </c>
      <c r="H3" s="275" t="s">
        <v>859</v>
      </c>
      <c r="I3" s="1959">
        <f>ROUND('数据-基础表'!B3/'数据-基础表'!A3,2)</f>
        <v>3</v>
      </c>
      <c r="J3" s="1967"/>
      <c r="K3" s="1967"/>
      <c r="L3" s="1967"/>
    </row>
    <row r="4" spans="1:16" ht="15">
      <c r="A4" s="3314"/>
      <c r="B4" s="3315"/>
      <c r="C4" s="3316"/>
      <c r="D4" s="108" t="s">
        <v>204</v>
      </c>
      <c r="E4" s="109" t="s">
        <v>205</v>
      </c>
      <c r="F4" s="1967"/>
      <c r="G4" s="1197"/>
      <c r="H4" s="275" t="s">
        <v>860</v>
      </c>
      <c r="I4" s="1959">
        <f>ROUND(SUMIF('数据-基础表'!I9:AS9,"地上",'数据-基础表'!I5:AS5)/'数据-基础表'!A3,2)</f>
        <v>3</v>
      </c>
      <c r="J4" s="1967"/>
      <c r="K4" s="1967"/>
      <c r="L4" s="1967"/>
    </row>
    <row r="5" spans="1:16">
      <c r="A5" s="110" t="s">
        <v>207</v>
      </c>
      <c r="B5" s="3317" t="s">
        <v>230</v>
      </c>
      <c r="C5" s="3317"/>
      <c r="D5" s="111">
        <f>ROUND($D$3*E5/$E$3,2)</f>
        <v>95593</v>
      </c>
      <c r="E5" s="112">
        <f>SUMIF('数据-基础表'!$11:$11,"住宅",'数据-基础表'!$5:$5)</f>
        <v>286779</v>
      </c>
      <c r="F5" s="1967"/>
      <c r="G5" s="280" t="s">
        <v>861</v>
      </c>
      <c r="H5" s="275" t="s">
        <v>859</v>
      </c>
      <c r="I5" s="1959">
        <f>ROUND(E31/D31,2)</f>
        <v>3</v>
      </c>
      <c r="J5" s="1967"/>
      <c r="K5" s="1967"/>
      <c r="L5" s="1967"/>
    </row>
    <row r="6" spans="1:16" ht="15" thickBot="1">
      <c r="A6" s="113"/>
      <c r="B6" s="3317" t="s">
        <v>208</v>
      </c>
      <c r="C6" s="3317"/>
      <c r="D6" s="111">
        <f>ROUND($D$3*E6/$E$3,2)</f>
        <v>750</v>
      </c>
      <c r="E6" s="112">
        <f>E3-E5</f>
        <v>2250</v>
      </c>
      <c r="F6" s="1967"/>
      <c r="G6" s="1197"/>
      <c r="H6" s="275" t="s">
        <v>860</v>
      </c>
      <c r="I6" s="1959">
        <f>ROUND(F31/D31,2)</f>
        <v>3</v>
      </c>
      <c r="J6" s="1967"/>
      <c r="K6" s="1967"/>
      <c r="L6" s="1967"/>
    </row>
    <row r="7" spans="1:16" ht="15">
      <c r="A7" s="3309"/>
      <c r="B7" s="3310"/>
      <c r="C7" s="3311"/>
      <c r="D7" s="108" t="s">
        <v>204</v>
      </c>
      <c r="E7" s="114" t="s">
        <v>231</v>
      </c>
      <c r="F7" s="1967"/>
      <c r="G7" s="1152" t="s">
        <v>1645</v>
      </c>
      <c r="H7" s="1153"/>
      <c r="I7" s="1829"/>
      <c r="J7" s="1967"/>
      <c r="K7" s="1967"/>
      <c r="L7" s="1967"/>
    </row>
    <row r="8" spans="1:16">
      <c r="A8" s="110" t="s">
        <v>209</v>
      </c>
      <c r="B8" s="115" t="s">
        <v>210</v>
      </c>
      <c r="C8" s="111" t="s">
        <v>211</v>
      </c>
      <c r="D8" s="111">
        <f t="shared" ref="D8:D15" si="0">ROUND($D$3*E8/$E$3,2)</f>
        <v>95593</v>
      </c>
      <c r="E8" s="116">
        <f>SUMIF('数据-基础表'!BB10:BK10,"地上",'数据-基础表'!BB5:BK5)</f>
        <v>286779</v>
      </c>
      <c r="F8" s="1967"/>
      <c r="G8" s="1969"/>
      <c r="H8" s="1969"/>
      <c r="I8" s="1967"/>
      <c r="J8" s="1967"/>
      <c r="K8" s="1967"/>
      <c r="L8" s="1967"/>
    </row>
    <row r="9" spans="1:16">
      <c r="A9" s="117"/>
      <c r="B9" s="118"/>
      <c r="C9" s="111" t="s">
        <v>212</v>
      </c>
      <c r="D9" s="111">
        <f t="shared" si="0"/>
        <v>750</v>
      </c>
      <c r="E9" s="119">
        <f>'数据-基础表'!AD13</f>
        <v>2250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v>
      </c>
      <c r="E16" s="120">
        <f>SUM(E8:E15)</f>
        <v>289029</v>
      </c>
      <c r="F16" s="1967"/>
      <c r="G16" s="1969"/>
      <c r="H16" s="968" t="s">
        <v>219</v>
      </c>
      <c r="I16" s="969"/>
      <c r="J16" s="1967"/>
      <c r="K16" s="3303" t="s">
        <v>2566</v>
      </c>
      <c r="L16" s="3304"/>
      <c r="M16" s="3304"/>
      <c r="N16" s="3304"/>
      <c r="O16" s="3304"/>
      <c r="P16" s="3305"/>
    </row>
    <row r="17" spans="1:19" ht="15">
      <c r="A17" s="121" t="s">
        <v>216</v>
      </c>
      <c r="B17" s="122" t="s">
        <v>217</v>
      </c>
      <c r="C17" s="2281" t="s">
        <v>2313</v>
      </c>
      <c r="D17" s="108" t="s">
        <v>204</v>
      </c>
      <c r="E17" s="124" t="s">
        <v>205</v>
      </c>
      <c r="F17" s="125"/>
      <c r="G17" s="1361"/>
      <c r="H17" s="970" t="s">
        <v>218</v>
      </c>
      <c r="I17" s="971" t="s">
        <v>2312</v>
      </c>
      <c r="J17" s="1967"/>
      <c r="K17" s="3306" t="s">
        <v>2567</v>
      </c>
      <c r="L17" s="3307"/>
      <c r="M17" s="3308"/>
      <c r="N17" s="3306" t="s">
        <v>2568</v>
      </c>
      <c r="O17" s="3307"/>
      <c r="P17" s="3308"/>
      <c r="R17" s="2282" t="s">
        <v>2311</v>
      </c>
      <c r="S17" s="144"/>
    </row>
    <row r="18" spans="1:19" ht="15">
      <c r="A18" s="117"/>
      <c r="B18" s="128"/>
      <c r="C18" s="129"/>
      <c r="D18" s="2604"/>
      <c r="E18" s="130" t="s">
        <v>220</v>
      </c>
      <c r="F18" s="131" t="s">
        <v>221</v>
      </c>
      <c r="G18" s="1362" t="s">
        <v>222</v>
      </c>
      <c r="H18" s="972" t="s">
        <v>223</v>
      </c>
      <c r="I18" s="973"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5" t="s">
        <v>3265</v>
      </c>
      <c r="D19" s="111">
        <f t="shared" ref="D19:D26" si="1">ROUND($D$3*E19/$E$3,2)</f>
        <v>86259.67</v>
      </c>
      <c r="E19" s="134">
        <f t="shared" ref="E19:E26" si="2">SUM(F19:G19)</f>
        <v>258779</v>
      </c>
      <c r="F19" s="135">
        <f>'数据-基础表'!I13</f>
        <v>258779</v>
      </c>
      <c r="G19" s="1363"/>
      <c r="H19" s="974">
        <f>ROUND($D$3*I19/$E$3,2)</f>
        <v>676.77</v>
      </c>
      <c r="I19" s="116">
        <f>IF($I$17="自定义",P19,M19)</f>
        <v>2030.32</v>
      </c>
      <c r="J19" s="1967"/>
      <c r="K19" s="2570">
        <f t="shared" ref="K19:K26" si="3">ROUND(E$28*E19/E$27,2)</f>
        <v>0</v>
      </c>
      <c r="L19" s="275">
        <f t="shared" ref="L19:L26" si="4">ROUND(IF(COUNTIF(C19,"*住宅*")&gt;0,E$29*E19/E$32,0),2)</f>
        <v>2030.32</v>
      </c>
      <c r="M19" s="2571">
        <f>K19+L19</f>
        <v>2030.32</v>
      </c>
      <c r="N19" s="2572"/>
      <c r="O19" s="2573"/>
      <c r="P19" s="2574">
        <f>N19+O19</f>
        <v>0</v>
      </c>
      <c r="R19" s="275">
        <f t="shared" ref="R19:S26" si="5">D19+H19</f>
        <v>86936.44</v>
      </c>
      <c r="S19" s="2284">
        <f t="shared" si="5"/>
        <v>260809.32</v>
      </c>
    </row>
    <row r="20" spans="1:19">
      <c r="A20" s="138"/>
      <c r="B20" s="115" t="s">
        <v>226</v>
      </c>
      <c r="C20" s="2975" t="s">
        <v>3368</v>
      </c>
      <c r="D20" s="111">
        <f t="shared" si="1"/>
        <v>9333.33</v>
      </c>
      <c r="E20" s="134">
        <f t="shared" si="2"/>
        <v>28000</v>
      </c>
      <c r="F20" s="135">
        <f>'数据-基础表'!K13</f>
        <v>28000</v>
      </c>
      <c r="G20" s="1363"/>
      <c r="H20" s="974">
        <f t="shared" ref="H20:H26" si="6">ROUND($D$3*I20/$E$3,2)</f>
        <v>73.23</v>
      </c>
      <c r="I20" s="116">
        <f t="shared" ref="I20:I26" si="7">IF($I$17="自定义",P20,M20)</f>
        <v>219.68</v>
      </c>
      <c r="J20" s="1967"/>
      <c r="K20" s="2570">
        <f t="shared" si="3"/>
        <v>0</v>
      </c>
      <c r="L20" s="275">
        <f t="shared" si="4"/>
        <v>219.68</v>
      </c>
      <c r="M20" s="2571">
        <f t="shared" ref="M20:M26" si="8">K20+L20</f>
        <v>219.68</v>
      </c>
      <c r="N20" s="2572"/>
      <c r="O20" s="2573"/>
      <c r="P20" s="2574">
        <f t="shared" ref="P20:P26" si="9">N20+O20</f>
        <v>0</v>
      </c>
      <c r="R20" s="275">
        <f t="shared" si="5"/>
        <v>9406.56</v>
      </c>
      <c r="S20" s="2284">
        <f t="shared" si="5"/>
        <v>28219.68</v>
      </c>
    </row>
    <row r="21" spans="1:19">
      <c r="A21" s="138"/>
      <c r="B21" s="115" t="s">
        <v>226</v>
      </c>
      <c r="C21" s="2975" t="s">
        <v>3266</v>
      </c>
      <c r="D21" s="111">
        <f t="shared" si="1"/>
        <v>0</v>
      </c>
      <c r="E21" s="134">
        <f t="shared" si="2"/>
        <v>0</v>
      </c>
      <c r="F21" s="135">
        <f>'数据-基础表'!M13</f>
        <v>0</v>
      </c>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3183" t="s">
        <v>3267</v>
      </c>
      <c r="D22" s="111">
        <f t="shared" si="1"/>
        <v>0</v>
      </c>
      <c r="E22" s="134">
        <f t="shared" si="2"/>
        <v>0</v>
      </c>
      <c r="F22" s="140">
        <f>'数据-基础表'!O13</f>
        <v>0</v>
      </c>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95593</v>
      </c>
      <c r="E27" s="143">
        <f>IF(SUM(E19:E26)='数据-基础表'!BA5,SUM(E19:E26),IF(F27="地上面积有误","面积有误","地下面积有误"))</f>
        <v>286779</v>
      </c>
      <c r="F27" s="134">
        <f>IF(SUM(F19:F26)=E8,SUM(F19:F26),"地上面积有误")</f>
        <v>286779</v>
      </c>
      <c r="G27" s="112">
        <f>SUM(G19:G26)</f>
        <v>0</v>
      </c>
      <c r="H27" s="975">
        <f>SUM(H19:H26)</f>
        <v>750</v>
      </c>
      <c r="I27" s="976">
        <f>SUM(I19:I26)</f>
        <v>2250</v>
      </c>
      <c r="J27" s="1967"/>
      <c r="K27" s="2579">
        <f>SUM(K19:K26)</f>
        <v>0</v>
      </c>
      <c r="L27" s="2580">
        <f>SUM(L19:L26)</f>
        <v>2250</v>
      </c>
      <c r="M27" s="2581">
        <f>SUM(M19:M26)</f>
        <v>2250</v>
      </c>
      <c r="N27" s="2579">
        <f t="shared" ref="N27:O27" si="10">SUM(N19:N26)</f>
        <v>0</v>
      </c>
      <c r="O27" s="2580">
        <f t="shared" si="10"/>
        <v>0</v>
      </c>
      <c r="P27" s="2582">
        <f>SUM(P19:P26)</f>
        <v>0</v>
      </c>
      <c r="R27" s="2288">
        <f>IF(SUM(R19:R26)=$D$3,SUM(R19:R26),SUM(R19:R26)&amp;"误差"&amp;ROUND(SUM(R19:R26)-$D$3,2))</f>
        <v>96343</v>
      </c>
      <c r="S27" s="275">
        <f>IF(SUM(S19:S26)=$E$3,SUM(S19:S26),SUM(S19:S26)&amp;"误差"&amp;ROUND(SUM(S19:S26)-E3,2))</f>
        <v>289029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750</v>
      </c>
      <c r="E29" s="134">
        <f>SUM(F29:G29)</f>
        <v>2250</v>
      </c>
      <c r="F29" s="144">
        <f>'数据-基础表'!BM5+'数据-基础表'!BO5</f>
        <v>2250</v>
      </c>
      <c r="G29" s="146">
        <f>'数据-基础表'!BN5+'数据-基础表'!BP5</f>
        <v>0</v>
      </c>
      <c r="H29" s="1967"/>
      <c r="I29" s="1967"/>
      <c r="J29" s="1967"/>
      <c r="K29" s="1967"/>
      <c r="L29" s="1967"/>
    </row>
    <row r="30" spans="1:19">
      <c r="A30" s="138"/>
      <c r="B30" s="111"/>
      <c r="C30" s="147" t="s">
        <v>215</v>
      </c>
      <c r="D30" s="134">
        <f>SUM(D28:D29)</f>
        <v>750</v>
      </c>
      <c r="E30" s="134">
        <f>SUM(E28:E29)</f>
        <v>2250</v>
      </c>
      <c r="F30" s="134">
        <f>SUM(F28:F29)</f>
        <v>2250</v>
      </c>
      <c r="G30" s="112">
        <f>SUM(G28:G29)</f>
        <v>0</v>
      </c>
      <c r="H30" s="1967"/>
      <c r="I30" s="1967"/>
      <c r="J30" s="1967"/>
      <c r="K30" s="1967"/>
      <c r="L30" s="1967"/>
    </row>
    <row r="31" spans="1:19" ht="32.25" customHeight="1" thickBot="1">
      <c r="A31" s="1365"/>
      <c r="B31" s="1366" t="s">
        <v>229</v>
      </c>
      <c r="C31" s="2313" t="s">
        <v>2322</v>
      </c>
      <c r="D31" s="1367">
        <f>D27+D30</f>
        <v>96343</v>
      </c>
      <c r="E31" s="1367">
        <f>E27+E30</f>
        <v>289029</v>
      </c>
      <c r="F31" s="1368">
        <f>F27+F30</f>
        <v>289029</v>
      </c>
      <c r="G31" s="1369">
        <f>G27+G30</f>
        <v>0</v>
      </c>
      <c r="H31" s="1967"/>
      <c r="I31" s="1967"/>
      <c r="J31" s="1967"/>
      <c r="K31" s="1967"/>
      <c r="L31" s="1967"/>
    </row>
    <row r="32" spans="1:19">
      <c r="A32" s="1967"/>
      <c r="B32" s="2325" t="s">
        <v>2321</v>
      </c>
      <c r="C32" s="2609"/>
      <c r="D32" s="1197"/>
      <c r="E32" s="1197">
        <f>SUMIF(C19:C26,"*住宅*",E19:E26)</f>
        <v>286779</v>
      </c>
      <c r="F32" s="1197"/>
      <c r="G32" s="1197"/>
    </row>
    <row r="33" spans="4:6">
      <c r="D33" s="1971"/>
    </row>
    <row r="34" spans="4:6">
      <c r="F34" s="3231"/>
    </row>
    <row r="35" spans="4:6">
      <c r="F35" s="3231">
        <f>F20/F31</f>
        <v>9.6876092018447976E-2</v>
      </c>
    </row>
    <row r="36" spans="4:6">
      <c r="F36" s="3231">
        <f>F19/F31</f>
        <v>0.89533922201578386</v>
      </c>
    </row>
    <row r="37" spans="4:6">
      <c r="F37" s="3231"/>
    </row>
    <row r="38" spans="4:6">
      <c r="F38" s="3231"/>
    </row>
    <row r="39" spans="4:6">
      <c r="F39" s="3231"/>
    </row>
    <row r="40" spans="4:6">
      <c r="F40" s="3231"/>
    </row>
    <row r="41" spans="4:6">
      <c r="F41" s="3231"/>
    </row>
    <row r="42" spans="4:6">
      <c r="F42" s="3231"/>
    </row>
    <row r="43" spans="4:6">
      <c r="F43" s="323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K29" sqref="K29"/>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hidden="1" customWidth="1"/>
    <col min="31" max="31" width="6.5" style="1199" customWidth="1"/>
    <col min="32" max="34" width="7.125" style="1199" customWidth="1"/>
    <col min="35" max="39" width="8" style="1199" customWidth="1"/>
    <col min="40" max="41" width="13.875" style="1981"/>
    <col min="42" max="42" width="0" style="1981" hidden="1" customWidth="1"/>
    <col min="43" max="83" width="13.875" style="1981"/>
    <col min="84" max="16384" width="13.8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43689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69256</v>
      </c>
      <c r="F6" s="174">
        <f>SUMIF(项目基本情况!D$15:I$15,C6,项目基本情况!D$19:I$19)</f>
        <v>70</v>
      </c>
      <c r="G6" s="175">
        <f>IF(ISERROR(ROUND(POWER(1+H6,D6-F6)*(POWER(1+H6,F6)-1)/(POWER(1+H6,D6)-1),3)),0,ROUND(POWER(1+H6,D6-F6)*(POWER(1+H6,F6)-1)/(POWER(1+H6,D6)-1),3))</f>
        <v>1</v>
      </c>
      <c r="H6" s="2976">
        <v>4.4999999999999998E-2</v>
      </c>
      <c r="I6" s="2976">
        <v>0.05</v>
      </c>
      <c r="J6" s="176"/>
      <c r="K6" s="179">
        <f>SUMIF('数据-汇总表'!C$19:C$33,'数据-取费表'!A6,'数据-汇总表'!E$19:E$33)</f>
        <v>258779</v>
      </c>
      <c r="L6" s="2977">
        <v>3200</v>
      </c>
      <c r="M6" s="177">
        <f t="shared" ref="M6:M14" si="0">ROUND(K6*L6/10000,0)</f>
        <v>82809</v>
      </c>
      <c r="N6" s="2978">
        <v>0</v>
      </c>
      <c r="O6" s="177">
        <f>IF($N$5="成新度","——",ROUND(M6*N6,0))</f>
        <v>0</v>
      </c>
      <c r="P6" s="178">
        <f>IF($N$5="成新度","——",M6-O6)</f>
        <v>82809</v>
      </c>
      <c r="Q6" s="2979">
        <f>'[2]数据-取费表'!$Q$6</f>
        <v>0.1</v>
      </c>
      <c r="R6" s="179">
        <f>SUMIF('数据-汇总表'!C$19:C$33,A6,'数据-汇总表'!R$19:R$33)</f>
        <v>86936.44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住宅（人才公寓）</v>
      </c>
      <c r="B7" s="2320" t="str">
        <f t="shared" ref="B7:B13" si="1">IF(A7=0,"","经营性")</f>
        <v>经营性</v>
      </c>
      <c r="C7" s="173" t="s">
        <v>923</v>
      </c>
      <c r="D7" s="2291">
        <f>SUMIF(项目基本情况!D$15:I$15,C7,项目基本情况!D$18:I$18)</f>
        <v>70</v>
      </c>
      <c r="E7" s="2292">
        <f>IF(B7="","",SUMIF(项目基本情况!D$15:I$15,C7,项目基本情况!D$17:I$17))</f>
        <v>69256</v>
      </c>
      <c r="F7" s="174">
        <f>SUMIF(项目基本情况!D$15:I$15,C7,项目基本情况!D$19:I$19)</f>
        <v>70</v>
      </c>
      <c r="G7" s="175">
        <f t="shared" ref="G7:G11" si="2">IF(ISERROR(ROUND(POWER(1+H7,D7-F7)*(POWER(1+H7,F7)-1)/(POWER(1+H7,D7)-1),3)),0,ROUND(POWER(1+H7,D7-F7)*(POWER(1+H7,F7)-1)/(POWER(1+H7,D7)-1),3))</f>
        <v>1</v>
      </c>
      <c r="H7" s="2976">
        <v>4.4999999999999998E-2</v>
      </c>
      <c r="I7" s="2976">
        <v>0.05</v>
      </c>
      <c r="J7" s="176"/>
      <c r="K7" s="179">
        <f>SUMIF('数据-汇总表'!C$19:C$33,'数据-取费表'!A7,'数据-汇总表'!E$19:E$33)</f>
        <v>28000</v>
      </c>
      <c r="L7" s="2977">
        <v>3200</v>
      </c>
      <c r="M7" s="177">
        <f t="shared" si="0"/>
        <v>8960</v>
      </c>
      <c r="N7" s="2978">
        <v>0</v>
      </c>
      <c r="O7" s="177">
        <f t="shared" ref="O7:O14" si="3">IF($N$5="成新度","——",ROUND(M7*N7,0))</f>
        <v>0</v>
      </c>
      <c r="P7" s="178">
        <f t="shared" ref="P7:P14" si="4">IF($N$5="成新度","——",M7-O7)</f>
        <v>8960</v>
      </c>
      <c r="Q7" s="2979">
        <f>'[2]数据-取费表'!$Q$7</f>
        <v>0.03</v>
      </c>
      <c r="R7" s="179">
        <f>SUMIF('数据-汇总表'!C$19:C$33,A7,'数据-汇总表'!R$19:R$33)</f>
        <v>9406.56</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0.95399999999999996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3002</v>
      </c>
      <c r="D8" s="2291">
        <f>SUMIF(项目基本情况!D$15:I$15,C8,项目基本情况!D$18:I$18)</f>
        <v>40</v>
      </c>
      <c r="E8" s="2292">
        <f>IF(B8="","",SUMIF(项目基本情况!D$15:I$15,C8,项目基本情况!D$17:I$17))</f>
        <v>58298</v>
      </c>
      <c r="F8" s="174">
        <f>SUMIF(项目基本情况!D$15:I$15,C8,项目基本情况!D$19:I$19)</f>
        <v>40</v>
      </c>
      <c r="G8" s="175">
        <f t="shared" si="2"/>
        <v>0</v>
      </c>
      <c r="H8" s="2976"/>
      <c r="I8" s="2976"/>
      <c r="J8" s="176"/>
      <c r="K8" s="179">
        <f>SUMIF('数据-汇总表'!C$19:C$33,'数据-取费表'!A8,'数据-汇总表'!E$19:E$33)</f>
        <v>0</v>
      </c>
      <c r="L8" s="2977"/>
      <c r="M8" s="177">
        <f>ROUND(K8*L8/10000,0)</f>
        <v>0</v>
      </c>
      <c r="N8" s="2978">
        <v>0</v>
      </c>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v>3.5</v>
      </c>
      <c r="V8" s="181">
        <v>0.03</v>
      </c>
      <c r="W8" s="181">
        <f>'[2]数据-取费表'!$W$8</f>
        <v>0.1</v>
      </c>
      <c r="X8" s="2304"/>
      <c r="Y8" s="182">
        <f>'[2]数据-取费表'!$Y$8</f>
        <v>1</v>
      </c>
      <c r="Z8" s="183"/>
      <c r="AA8" s="176"/>
      <c r="AB8" s="176"/>
      <c r="AC8" s="2307"/>
      <c r="AD8" s="184"/>
      <c r="AE8" s="972">
        <f t="shared" ca="1" si="6"/>
        <v>38</v>
      </c>
      <c r="AF8" s="141"/>
      <c r="AG8" s="1209">
        <f t="shared" si="7"/>
        <v>0</v>
      </c>
      <c r="AH8" s="141"/>
      <c r="AI8" s="187">
        <v>365</v>
      </c>
      <c r="AJ8" s="188"/>
      <c r="AK8" s="189">
        <f>'[2]数据-取费表'!$AK$8</f>
        <v>1.4999999999999999E-2</v>
      </c>
      <c r="AL8" s="190">
        <f>'[2]数据-取费表'!$AL$8</f>
        <v>1.5E-3</v>
      </c>
      <c r="AM8" s="2352">
        <f>'[2]数据-取费表'!$AM$8</f>
        <v>0.01</v>
      </c>
      <c r="AN8" s="2354" t="s">
        <v>3301</v>
      </c>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办公</v>
      </c>
      <c r="B9" s="2320" t="str">
        <f t="shared" si="1"/>
        <v>经营性</v>
      </c>
      <c r="C9" s="173" t="s">
        <v>1677</v>
      </c>
      <c r="D9" s="2291">
        <f>SUMIF(项目基本情况!D$15:I$15,C9,项目基本情况!D$18:I$18)</f>
        <v>50</v>
      </c>
      <c r="E9" s="2292">
        <f>IF(B9="","",SUMIF(项目基本情况!D$15:I$15,C9,项目基本情况!D$17:I$17))</f>
        <v>61951</v>
      </c>
      <c r="F9" s="174">
        <f>SUMIF(项目基本情况!D$15:I$15,C9,项目基本情况!D$19:I$19)</f>
        <v>50</v>
      </c>
      <c r="G9" s="175">
        <f t="shared" si="2"/>
        <v>0</v>
      </c>
      <c r="H9" s="176"/>
      <c r="I9" s="176"/>
      <c r="J9" s="176"/>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f>'[2]数据-取费表'!$L$14</f>
        <v>2500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2250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289029</v>
      </c>
      <c r="L16" s="206">
        <f>ROUND(M16*10000/SUM(K6:K14),0)</f>
        <v>3200</v>
      </c>
      <c r="M16" s="206">
        <f>SUM(M6:M14)</f>
        <v>91769</v>
      </c>
      <c r="N16" s="207">
        <f>ROUND(SUMPRODUCT(M6:M14,N6:N14)/M16,3)</f>
        <v>0</v>
      </c>
      <c r="O16" s="206">
        <f>SUM(O6:O14)</f>
        <v>0</v>
      </c>
      <c r="P16" s="206">
        <f>SUM(P6:P14)</f>
        <v>91769</v>
      </c>
      <c r="Q16" s="208">
        <f>ROUND(SUMPRODUCT(Q6:Q13,K6:K13)/SUMPRODUCT((Q6:Q13&gt;0)*(K6:K13)),2)</f>
        <v>0.09</v>
      </c>
      <c r="R16" s="2294">
        <f>SUM(R6:R13)</f>
        <v>96343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0.95399999999999996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318" t="s">
        <v>3302</v>
      </c>
      <c r="L18" s="3318" t="s">
        <v>3303</v>
      </c>
      <c r="M18" s="3318"/>
      <c r="N18" s="3318"/>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318"/>
      <c r="L19" s="3193" t="s">
        <v>3304</v>
      </c>
      <c r="M19" s="3193" t="s">
        <v>3276</v>
      </c>
      <c r="N19" s="3193" t="s">
        <v>3278</v>
      </c>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f>'[2]数据-取费表'!$B$20</f>
        <v>2</v>
      </c>
      <c r="C20" s="2326" t="s">
        <v>2335</v>
      </c>
      <c r="D20" s="1976"/>
      <c r="E20" s="1975"/>
      <c r="F20" s="1975"/>
      <c r="G20" s="1975"/>
      <c r="H20" s="1975"/>
      <c r="I20" s="1975"/>
      <c r="J20" s="1975"/>
      <c r="K20" s="3194" t="s">
        <v>3305</v>
      </c>
      <c r="L20" s="3195" t="s">
        <v>3306</v>
      </c>
      <c r="M20" s="3195" t="s">
        <v>3306</v>
      </c>
      <c r="N20" s="3195" t="s">
        <v>3307</v>
      </c>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2338</v>
      </c>
      <c r="B27" s="227">
        <f>3260*5%</f>
        <v>163</v>
      </c>
      <c r="C27" s="2329" t="s">
        <v>2342</v>
      </c>
      <c r="D27" s="1979" t="s">
        <v>3349</v>
      </c>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9">
        <f>3260*5%</f>
        <v>163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0.04</v>
      </c>
      <c r="C34" s="2327" t="s">
        <v>2893</v>
      </c>
      <c r="D34" s="1976" t="s">
        <v>871</v>
      </c>
      <c r="E34" s="1972"/>
      <c r="F34" s="1975"/>
      <c r="G34" s="1975">
        <f ca="1">'剩余法-待开发'!C15</f>
        <v>3671</v>
      </c>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f>'[2]数据-取费表'!$B$37</f>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f>'[2]数据-取费表'!$B$38</f>
        <v>0.01</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6" t="s">
        <v>2903</v>
      </c>
      <c r="D53" s="3027" t="s">
        <v>3348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v>3</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19" t="s">
        <v>1663</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2546</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2547</v>
      </c>
      <c r="G6" s="3033" t="s">
        <v>2914</v>
      </c>
      <c r="H6" s="1991"/>
      <c r="I6" s="1991"/>
      <c r="J6" s="1991"/>
      <c r="K6" s="1991"/>
      <c r="L6" s="1991"/>
      <c r="M6" s="1991"/>
      <c r="N6" s="1991"/>
      <c r="O6" s="1991"/>
      <c r="P6" s="1991"/>
      <c r="Q6" s="1991"/>
      <c r="R6" s="1991"/>
    </row>
    <row r="7" spans="1:18" ht="41.25" thickBot="1">
      <c r="A7" s="1225"/>
      <c r="B7" s="1227" t="s">
        <v>2546</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2547</v>
      </c>
      <c r="C8" s="3033" t="s">
        <v>2914</v>
      </c>
      <c r="D8" s="1993"/>
      <c r="E8" s="1993"/>
      <c r="F8" s="1538"/>
      <c r="G8" s="1538"/>
      <c r="H8" s="1991"/>
      <c r="I8" s="1991"/>
      <c r="J8" s="1991"/>
      <c r="K8" s="1991"/>
      <c r="L8" s="1991"/>
      <c r="M8" s="1991"/>
      <c r="N8" s="1991"/>
      <c r="O8" s="1991"/>
      <c r="P8" s="1991"/>
      <c r="Q8" s="1991"/>
      <c r="R8" s="1991"/>
    </row>
    <row r="9" spans="1:18" ht="40.5">
      <c r="A9" s="1225"/>
      <c r="B9" s="1227"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2546</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2547</v>
      </c>
      <c r="G20" s="1005" t="str">
        <f>G6</f>
        <v>估价对象所在区域基础设施水平</v>
      </c>
    </row>
    <row r="21" spans="1:7" ht="27">
      <c r="A21" s="2551"/>
      <c r="B21" s="1227" t="s">
        <v>2546</v>
      </c>
      <c r="C21" s="1005" t="str">
        <f>C7</f>
        <v>估价对象所在区域公共配套设施齐备情况</v>
      </c>
      <c r="D21" s="1992"/>
      <c r="E21" s="2548"/>
      <c r="F21" s="1243" t="s">
        <v>1661</v>
      </c>
      <c r="G21" s="3037"/>
    </row>
    <row r="22" spans="1:7" ht="27">
      <c r="A22" s="2551"/>
      <c r="B22" s="1227" t="s">
        <v>2547</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2995" t="s">
        <v>2843</v>
      </c>
      <c r="B1" s="2995">
        <f>SUM(B14:B23)</f>
        <v>289029</v>
      </c>
      <c r="C1" s="2996"/>
      <c r="D1" s="2996"/>
      <c r="E1" s="2996"/>
      <c r="F1" s="2996"/>
    </row>
    <row r="2" spans="1:9" ht="16.5">
      <c r="A2" s="2995" t="s">
        <v>2844</v>
      </c>
      <c r="B2" s="2995">
        <f>SUM(C14:C23)</f>
        <v>96343</v>
      </c>
      <c r="C2" s="2996"/>
      <c r="D2" s="2996"/>
      <c r="E2" s="2996"/>
      <c r="F2" s="2996"/>
    </row>
    <row r="3" spans="1:9" ht="16.5">
      <c r="A3" s="2995" t="s">
        <v>2845</v>
      </c>
      <c r="B3" s="2997">
        <f>项目基本情况!D3</f>
        <v>43689</v>
      </c>
      <c r="C3" s="2996"/>
      <c r="D3" s="2996"/>
      <c r="E3" s="2996"/>
      <c r="F3" s="2996"/>
    </row>
    <row r="4" spans="1:9" ht="33">
      <c r="A4" s="2995" t="s">
        <v>2846</v>
      </c>
      <c r="B4" s="2995" t="s">
        <v>2847</v>
      </c>
      <c r="C4" s="2995" t="s">
        <v>2848</v>
      </c>
      <c r="D4" s="2995" t="s">
        <v>2849</v>
      </c>
      <c r="E4" s="2996"/>
      <c r="F4" s="2996"/>
    </row>
    <row r="5" spans="1:9" ht="16.5">
      <c r="A5" s="2995" t="s">
        <v>2850</v>
      </c>
      <c r="B5" s="2995">
        <f ca="1">SUM(D14:D23)</f>
        <v>351215</v>
      </c>
      <c r="C5" s="2995">
        <f ca="1">ROUND(B5*10000/$B$1,0)</f>
        <v>12152</v>
      </c>
      <c r="D5" s="2995">
        <f ca="1">ROUND(B5*10000/$B$2,0)</f>
        <v>36455</v>
      </c>
      <c r="E5" s="2996"/>
      <c r="F5" s="2996"/>
    </row>
    <row r="6" spans="1:9" ht="16.5">
      <c r="A6" s="2995" t="s">
        <v>2851</v>
      </c>
      <c r="B6" s="2995">
        <f ca="1">SUM(G14:G23)</f>
        <v>351215</v>
      </c>
      <c r="C6" s="2995">
        <f t="shared" ref="C6:C8" ca="1" si="0">ROUND(B6*10000/$B$1,0)</f>
        <v>12152</v>
      </c>
      <c r="D6" s="2995">
        <f t="shared" ref="D6:D8" ca="1" si="1">ROUND(B6*10000/$B$2,0)</f>
        <v>36455</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289029</v>
      </c>
      <c r="C14" s="2999">
        <f>结果表!K38</f>
        <v>96343</v>
      </c>
      <c r="D14" s="2999">
        <f ca="1">结果表!C42</f>
        <v>351215</v>
      </c>
      <c r="E14" s="2999">
        <f ca="1">ROUND(D14*10000/B14,0)</f>
        <v>12152</v>
      </c>
      <c r="F14" s="2999">
        <f ca="1">ROUND(D14*10000/C14,0)</f>
        <v>36455</v>
      </c>
      <c r="G14" s="2999">
        <f ca="1">结果表!C44</f>
        <v>351215</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J36" sqref="H3:J36"/>
    </sheetView>
  </sheetViews>
  <sheetFormatPr defaultRowHeight="13.5"/>
  <sheetData/>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zoomScaleSheetLayoutView="100" workbookViewId="0">
      <selection activeCell="G26" sqref="G26"/>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59" t="s">
        <v>2055</v>
      </c>
      <c r="B1" s="1760"/>
      <c r="C1" s="1788" t="s">
        <v>2056</v>
      </c>
      <c r="D1" s="1789" t="s">
        <v>3274</v>
      </c>
      <c r="E1" s="1788" t="s">
        <v>2057</v>
      </c>
      <c r="F1" s="1790" t="s">
        <v>3275</v>
      </c>
      <c r="G1" s="311"/>
      <c r="H1" s="311"/>
      <c r="I1" s="311"/>
      <c r="J1" s="2012"/>
      <c r="K1" s="2012"/>
      <c r="L1" s="2012"/>
      <c r="M1" s="2012"/>
      <c r="N1" s="2012"/>
      <c r="O1" s="2012"/>
      <c r="P1" s="2012"/>
      <c r="Q1" s="2012"/>
      <c r="R1" s="2012"/>
      <c r="S1" s="2012"/>
      <c r="T1" s="2012"/>
      <c r="U1" s="2012"/>
      <c r="V1" s="2012"/>
    </row>
    <row r="2" spans="1:22" ht="21.75" customHeight="1" thickBot="1">
      <c r="A2" s="3357" t="str">
        <f>项目基本情况!K2</f>
        <v>出让国有建设用地使用权</v>
      </c>
      <c r="B2" s="3358"/>
      <c r="C2" s="3359"/>
      <c r="D2" s="3359"/>
      <c r="E2" s="3359"/>
      <c r="F2" s="3359"/>
      <c r="G2" s="3358"/>
      <c r="H2" s="3358"/>
      <c r="I2" s="3360"/>
      <c r="J2" s="2013"/>
      <c r="K2" s="2012"/>
      <c r="L2" s="2012"/>
      <c r="M2" s="2012"/>
      <c r="N2" s="2012"/>
      <c r="O2" s="2012"/>
      <c r="P2" s="2012"/>
      <c r="Q2" s="2012"/>
      <c r="R2" s="2012"/>
      <c r="S2" s="2012"/>
      <c r="T2" s="2012"/>
      <c r="U2" s="2012"/>
      <c r="V2" s="2012"/>
    </row>
    <row r="3" spans="1:22" ht="14.25">
      <c r="A3" s="3350" t="s">
        <v>298</v>
      </c>
      <c r="B3" s="3351"/>
      <c r="C3" s="3351"/>
      <c r="D3" s="3351"/>
      <c r="E3" s="3351"/>
      <c r="F3" s="3351"/>
      <c r="G3" s="3351"/>
      <c r="H3" s="3351"/>
      <c r="I3" s="3351"/>
      <c r="J3" s="2013"/>
      <c r="K3" s="2012"/>
      <c r="L3" s="2012"/>
      <c r="M3" s="2012"/>
      <c r="N3" s="2012"/>
      <c r="O3" s="2012"/>
      <c r="P3" s="2012"/>
      <c r="Q3" s="2012"/>
      <c r="R3" s="2012"/>
      <c r="S3" s="2012"/>
      <c r="T3" s="2012"/>
      <c r="U3" s="2012"/>
      <c r="V3" s="2012"/>
    </row>
    <row r="4" spans="1:22" ht="14.25">
      <c r="A4" s="258" t="s">
        <v>299</v>
      </c>
      <c r="B4" s="259" t="s">
        <v>300</v>
      </c>
      <c r="C4" s="260" t="s">
        <v>3272</v>
      </c>
      <c r="D4" s="260" t="s">
        <v>3273</v>
      </c>
      <c r="E4" s="3322" t="s">
        <v>301</v>
      </c>
      <c r="F4" s="3323"/>
      <c r="G4" s="3323"/>
      <c r="H4" s="3323"/>
      <c r="I4" s="335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1" t="s">
        <v>302</v>
      </c>
      <c r="B5" s="3347">
        <v>25</v>
      </c>
      <c r="C5" s="3345"/>
      <c r="D5" s="3349"/>
      <c r="E5" s="261" t="s">
        <v>303</v>
      </c>
      <c r="F5" s="262"/>
      <c r="G5" s="262"/>
      <c r="H5" s="262"/>
      <c r="I5" s="263"/>
      <c r="J5" s="2013"/>
      <c r="K5" s="2012"/>
      <c r="L5" s="2012"/>
      <c r="M5" s="2012"/>
      <c r="N5" s="2012"/>
      <c r="O5" s="2012"/>
      <c r="P5" s="2012"/>
      <c r="Q5" s="2012"/>
      <c r="R5" s="2012"/>
      <c r="S5" s="2012"/>
      <c r="T5" s="2012"/>
      <c r="U5" s="2012"/>
      <c r="V5" s="2012"/>
    </row>
    <row r="6" spans="1:22" ht="14.25">
      <c r="A6" s="3321"/>
      <c r="B6" s="3347"/>
      <c r="C6" s="3348"/>
      <c r="D6" s="3349"/>
      <c r="E6" s="261" t="s">
        <v>304</v>
      </c>
      <c r="F6" s="262"/>
      <c r="G6" s="262"/>
      <c r="H6" s="262"/>
      <c r="I6" s="263"/>
      <c r="J6" s="2013"/>
      <c r="K6" s="2012"/>
      <c r="L6" s="2012"/>
      <c r="M6" s="2012"/>
      <c r="N6" s="2012"/>
      <c r="O6" s="2012"/>
      <c r="P6" s="2012"/>
      <c r="Q6" s="2012"/>
      <c r="R6" s="2012"/>
      <c r="S6" s="2012"/>
      <c r="T6" s="2012"/>
      <c r="U6" s="2012"/>
      <c r="V6" s="2012"/>
    </row>
    <row r="7" spans="1:22" ht="14.25">
      <c r="A7" s="3321"/>
      <c r="B7" s="3347"/>
      <c r="C7" s="3346"/>
      <c r="D7" s="3349"/>
      <c r="E7" s="261" t="s">
        <v>305</v>
      </c>
      <c r="F7" s="262"/>
      <c r="G7" s="262"/>
      <c r="H7" s="262"/>
      <c r="I7" s="263"/>
      <c r="J7" s="2013"/>
      <c r="K7" s="2012"/>
      <c r="L7" s="2012"/>
      <c r="M7" s="2012"/>
      <c r="N7" s="2012"/>
      <c r="O7" s="2012"/>
      <c r="P7" s="2012"/>
      <c r="Q7" s="2012"/>
      <c r="R7" s="2012"/>
      <c r="S7" s="2012"/>
      <c r="T7" s="2012"/>
      <c r="U7" s="2012"/>
      <c r="V7" s="2012"/>
    </row>
    <row r="8" spans="1:22" ht="14.25">
      <c r="A8" s="3321" t="s">
        <v>306</v>
      </c>
      <c r="B8" s="3347">
        <v>15</v>
      </c>
      <c r="C8" s="3345"/>
      <c r="D8" s="3349"/>
      <c r="E8" s="261" t="s">
        <v>307</v>
      </c>
      <c r="F8" s="262"/>
      <c r="G8" s="262"/>
      <c r="H8" s="262"/>
      <c r="I8" s="263"/>
      <c r="J8" s="2013"/>
      <c r="K8" s="2012"/>
      <c r="L8" s="2012"/>
      <c r="M8" s="2012"/>
      <c r="N8" s="2012"/>
      <c r="O8" s="2012"/>
      <c r="P8" s="2012"/>
      <c r="Q8" s="2012"/>
      <c r="R8" s="2012"/>
      <c r="S8" s="2012"/>
      <c r="T8" s="2012"/>
      <c r="U8" s="2012"/>
      <c r="V8" s="2012"/>
    </row>
    <row r="9" spans="1:22" ht="14.25">
      <c r="A9" s="3321"/>
      <c r="B9" s="3347"/>
      <c r="C9" s="3346"/>
      <c r="D9" s="3349"/>
      <c r="E9" s="261" t="s">
        <v>308</v>
      </c>
      <c r="F9" s="262"/>
      <c r="G9" s="262"/>
      <c r="H9" s="262"/>
      <c r="I9" s="263"/>
      <c r="J9" s="2013"/>
      <c r="K9" s="2012"/>
      <c r="L9" s="2012"/>
      <c r="M9" s="2012"/>
      <c r="N9" s="2012"/>
      <c r="O9" s="2012"/>
      <c r="P9" s="2012"/>
      <c r="Q9" s="2012"/>
      <c r="R9" s="2012"/>
      <c r="S9" s="2012"/>
      <c r="T9" s="2012"/>
      <c r="U9" s="2012"/>
      <c r="V9" s="2012"/>
    </row>
    <row r="10" spans="1:22" ht="14.25">
      <c r="A10" s="3321" t="s">
        <v>309</v>
      </c>
      <c r="B10" s="3347">
        <v>15</v>
      </c>
      <c r="C10" s="3345"/>
      <c r="D10" s="3349"/>
      <c r="E10" s="261" t="s">
        <v>310</v>
      </c>
      <c r="F10" s="262"/>
      <c r="G10" s="262"/>
      <c r="H10" s="262"/>
      <c r="I10" s="263"/>
      <c r="J10" s="2013"/>
      <c r="K10" s="2012"/>
      <c r="L10" s="2012"/>
      <c r="M10" s="2012"/>
      <c r="N10" s="2012"/>
      <c r="O10" s="2012"/>
      <c r="P10" s="2012"/>
      <c r="Q10" s="2012"/>
      <c r="R10" s="2012"/>
      <c r="S10" s="2012"/>
      <c r="T10" s="2012"/>
      <c r="U10" s="2012"/>
      <c r="V10" s="2012"/>
    </row>
    <row r="11" spans="1:22" ht="14.25">
      <c r="A11" s="3321"/>
      <c r="B11" s="3347"/>
      <c r="C11" s="3346"/>
      <c r="D11" s="3349"/>
      <c r="E11" s="261" t="s">
        <v>311</v>
      </c>
      <c r="F11" s="262"/>
      <c r="G11" s="262"/>
      <c r="H11" s="262"/>
      <c r="I11" s="263"/>
      <c r="J11" s="2013"/>
      <c r="K11" s="2012"/>
      <c r="L11" s="2012"/>
      <c r="M11" s="2012"/>
      <c r="N11" s="2012"/>
      <c r="O11" s="2012"/>
      <c r="P11" s="2012"/>
      <c r="Q11" s="2012"/>
      <c r="R11" s="2012"/>
      <c r="S11" s="2012"/>
      <c r="T11" s="2012"/>
      <c r="U11" s="2012"/>
      <c r="V11" s="2012"/>
    </row>
    <row r="12" spans="1:22" ht="14.25">
      <c r="A12" s="3321" t="s">
        <v>312</v>
      </c>
      <c r="B12" s="3347">
        <v>15</v>
      </c>
      <c r="C12" s="3345"/>
      <c r="D12" s="3349"/>
      <c r="E12" s="261" t="s">
        <v>313</v>
      </c>
      <c r="F12" s="262"/>
      <c r="G12" s="262"/>
      <c r="H12" s="262"/>
      <c r="I12" s="263"/>
      <c r="J12" s="2013"/>
      <c r="K12" s="2012"/>
      <c r="L12" s="2012"/>
      <c r="M12" s="2012"/>
      <c r="N12" s="2012"/>
      <c r="O12" s="2012"/>
      <c r="P12" s="2012"/>
      <c r="Q12" s="2012"/>
      <c r="R12" s="2012"/>
      <c r="S12" s="2012"/>
      <c r="T12" s="2012"/>
      <c r="U12" s="2012"/>
      <c r="V12" s="2012"/>
    </row>
    <row r="13" spans="1:22" ht="14.25">
      <c r="A13" s="3321"/>
      <c r="B13" s="3347"/>
      <c r="C13" s="3346"/>
      <c r="D13" s="3349"/>
      <c r="E13" s="261" t="s">
        <v>314</v>
      </c>
      <c r="F13" s="262"/>
      <c r="G13" s="262"/>
      <c r="H13" s="262"/>
      <c r="I13" s="263"/>
      <c r="J13" s="2013"/>
      <c r="K13" s="2012"/>
      <c r="L13" s="2012"/>
      <c r="M13" s="2012"/>
      <c r="N13" s="2012"/>
      <c r="O13" s="2012"/>
      <c r="P13" s="2012"/>
      <c r="Q13" s="2012"/>
      <c r="R13" s="2012"/>
      <c r="S13" s="2012"/>
      <c r="T13" s="2012"/>
      <c r="U13" s="2012"/>
      <c r="V13" s="2012"/>
    </row>
    <row r="14" spans="1:22" ht="14.25">
      <c r="A14" s="3321" t="s">
        <v>315</v>
      </c>
      <c r="B14" s="3347">
        <v>30</v>
      </c>
      <c r="C14" s="3345">
        <v>5</v>
      </c>
      <c r="D14" s="3349">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21"/>
      <c r="B15" s="3347"/>
      <c r="C15" s="3348"/>
      <c r="D15" s="3349"/>
      <c r="E15" s="261" t="s">
        <v>317</v>
      </c>
      <c r="F15" s="262"/>
      <c r="G15" s="262"/>
      <c r="H15" s="262"/>
      <c r="I15" s="263"/>
      <c r="J15" s="2013"/>
      <c r="K15" s="2012"/>
      <c r="L15" s="2012"/>
      <c r="M15" s="2012"/>
      <c r="N15" s="2012"/>
      <c r="O15" s="2012"/>
      <c r="P15" s="2012"/>
      <c r="Q15" s="2012"/>
      <c r="R15" s="2012"/>
      <c r="S15" s="2012"/>
      <c r="T15" s="2012"/>
      <c r="U15" s="2012"/>
      <c r="V15" s="2012"/>
    </row>
    <row r="16" spans="1:22" ht="14.25">
      <c r="A16" s="3321"/>
      <c r="B16" s="3347"/>
      <c r="C16" s="3346"/>
      <c r="D16" s="3349"/>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325071</v>
      </c>
      <c r="D19" s="271">
        <f ca="1">SUMIF(INDIRECT("'"&amp;D4&amp;"'"&amp;"!A:A"),结果表!B19,INDIRECT("'"&amp;D4&amp;"'"&amp;"!B:B"))</f>
        <v>377358</v>
      </c>
      <c r="E19" s="268" t="s">
        <v>323</v>
      </c>
      <c r="F19" s="269" t="s">
        <v>322</v>
      </c>
      <c r="G19" s="272">
        <f ca="1">ROUND(C19*$C$18+D19*$D$18,0)</f>
        <v>351215</v>
      </c>
      <c r="H19" s="273" t="s">
        <v>324</v>
      </c>
      <c r="I19" s="311"/>
      <c r="J19" s="2012"/>
      <c r="K19" s="2012">
        <f ca="1">(G19+[3]结果表!$G$19)*0.8/10000</f>
        <v>31.947440000000004</v>
      </c>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11247</v>
      </c>
      <c r="D20" s="277">
        <f ca="1">SUMIF(INDIRECT("'"&amp;D4&amp;"'"&amp;"!A:A"),结果表!B20,INDIRECT("'"&amp;D4&amp;"'"&amp;"!B:B"))</f>
        <v>13056</v>
      </c>
      <c r="E20" s="274"/>
      <c r="F20" s="275" t="s">
        <v>325</v>
      </c>
      <c r="G20" s="278">
        <f ca="1">ROUND(C20*$C$18+D20*$D$18,0)</f>
        <v>12152</v>
      </c>
      <c r="H20" s="279" t="s">
        <v>326</v>
      </c>
      <c r="I20" s="311"/>
      <c r="J20" s="2012"/>
      <c r="K20" s="2012">
        <v>31.8</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33741</v>
      </c>
      <c r="D21" s="151">
        <f ca="1">SUMIF(INDIRECT("'"&amp;D4&amp;"'"&amp;"!A:A"),结果表!B21,INDIRECT("'"&amp;D4&amp;"'"&amp;"!B:B"))</f>
        <v>39168</v>
      </c>
      <c r="E21" s="274"/>
      <c r="F21" s="280" t="s">
        <v>327</v>
      </c>
      <c r="G21" s="282">
        <f ca="1">ROUND(C21*$C$18+D21*$D$18,0)</f>
        <v>36455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0.16084793783511908</v>
      </c>
      <c r="E22" s="284"/>
      <c r="F22" s="285"/>
      <c r="G22" s="286">
        <f ca="1">ROUND(G19/('数据-汇总表'!D3/666.67),0)</f>
        <v>2430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28"/>
      <c r="B25" s="1317" t="s">
        <v>331</v>
      </c>
      <c r="C25" s="290">
        <f>IF(B30=0,0,C30)</f>
        <v>0</v>
      </c>
      <c r="D25" s="291"/>
      <c r="E25" s="311"/>
      <c r="F25" s="311"/>
      <c r="G25" s="311"/>
      <c r="H25" s="311"/>
      <c r="I25" s="311"/>
      <c r="J25" s="2012"/>
      <c r="K25" s="1251" t="str">
        <f ca="1">项目基本情况!B16&amp;"国有建设用地使用权价格："&amp;O38&amp;"万元"</f>
        <v>出让国有建设用地使用权价格：351215万元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大写金额：人民币叁拾伍亿壹仟贰佰壹拾伍万元整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单位面积地价：36455元/平方米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楼面地价：12152元/平方米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抵押价格：351215万元</v>
      </c>
      <c r="L29" s="1248"/>
      <c r="M29" s="1248"/>
      <c r="N29" s="1248"/>
      <c r="O29" s="1247"/>
      <c r="P29" s="2012"/>
      <c r="V29" s="2012"/>
    </row>
    <row r="30" spans="1:26" ht="18.75" thickBot="1">
      <c r="A30" s="3080" t="s">
        <v>336</v>
      </c>
      <c r="B30" s="309"/>
      <c r="C30" s="309"/>
      <c r="D30" s="310"/>
      <c r="E30" s="3081" t="s">
        <v>2966</v>
      </c>
      <c r="F30" s="311"/>
      <c r="G30" s="311"/>
      <c r="H30" s="311"/>
      <c r="I30" s="311"/>
      <c r="J30" s="2012"/>
      <c r="K30" s="1254" t="str">
        <f ca="1">IF(K29="——","——","大写金额：人民币"&amp;NUMBERSTRING(INT(O39*10000),2)&amp;"元整")</f>
        <v>大写金额：人民币叁拾伍亿壹仟贰佰壹拾伍万元整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351215</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12152</v>
      </c>
      <c r="D33" s="1380" t="s">
        <v>1691</v>
      </c>
      <c r="E33" s="3327"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1" t="s">
        <v>1692</v>
      </c>
      <c r="C34" s="264">
        <f ca="1">ROUND(C32*10000/'数据-汇总表'!D3,0)</f>
        <v>36455</v>
      </c>
      <c r="D34" s="1382" t="s">
        <v>1691</v>
      </c>
      <c r="E34" s="3368"/>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2430</v>
      </c>
      <c r="D35" s="1385" t="s">
        <v>1693</v>
      </c>
      <c r="E35" s="3369"/>
      <c r="F35" s="301" t="s">
        <v>342</v>
      </c>
      <c r="G35" s="982"/>
      <c r="H35" s="981" t="s">
        <v>343</v>
      </c>
      <c r="I35" s="311"/>
      <c r="J35" s="2012"/>
      <c r="K35" s="3342" t="s">
        <v>350</v>
      </c>
      <c r="L35" s="3342" t="s">
        <v>351</v>
      </c>
      <c r="M35" s="1260" t="s">
        <v>352</v>
      </c>
      <c r="N35" s="3342" t="s">
        <v>353</v>
      </c>
      <c r="O35" s="3342" t="s">
        <v>354</v>
      </c>
      <c r="P35" s="2012"/>
      <c r="V35" s="2012"/>
    </row>
    <row r="36" spans="1:26" ht="16.5" customHeight="1">
      <c r="A36" s="303" t="s">
        <v>344</v>
      </c>
      <c r="B36" s="304" t="s">
        <v>333</v>
      </c>
      <c r="C36" s="305" t="s">
        <v>345</v>
      </c>
      <c r="D36" s="305" t="s">
        <v>346</v>
      </c>
      <c r="E36" s="306" t="s">
        <v>347</v>
      </c>
      <c r="F36" s="311"/>
      <c r="G36" s="311"/>
      <c r="H36" s="311"/>
      <c r="I36" s="311"/>
      <c r="J36" s="2014"/>
      <c r="K36" s="3343"/>
      <c r="L36" s="3343"/>
      <c r="M36" s="1262" t="s">
        <v>355</v>
      </c>
      <c r="N36" s="3343"/>
      <c r="O36" s="3343"/>
      <c r="P36" s="2012"/>
      <c r="V36" s="2012"/>
    </row>
    <row r="37" spans="1:26" ht="16.5" customHeight="1" thickBot="1">
      <c r="A37" s="1256" t="s">
        <v>348</v>
      </c>
      <c r="B37" s="307"/>
      <c r="C37" s="294"/>
      <c r="D37" s="294"/>
      <c r="E37" s="295"/>
      <c r="F37" s="311"/>
      <c r="G37" s="311"/>
      <c r="H37" s="311"/>
      <c r="I37" s="311"/>
      <c r="J37" s="2014"/>
      <c r="K37" s="3344"/>
      <c r="L37" s="3344"/>
      <c r="M37" s="1263"/>
      <c r="N37" s="3344"/>
      <c r="O37" s="3344"/>
      <c r="P37" s="2012"/>
      <c r="V37" s="2012"/>
    </row>
    <row r="38" spans="1:26" ht="16.5" customHeight="1" thickBot="1">
      <c r="A38" s="1256" t="s">
        <v>349</v>
      </c>
      <c r="B38" s="307"/>
      <c r="C38" s="294"/>
      <c r="D38" s="294"/>
      <c r="E38" s="295"/>
      <c r="F38" s="311"/>
      <c r="G38" s="311"/>
      <c r="H38" s="311"/>
      <c r="I38" s="311"/>
      <c r="J38" s="2014"/>
      <c r="K38" s="1264">
        <f>'数据-汇总表'!D3</f>
        <v>96343</v>
      </c>
      <c r="L38" s="1265">
        <f>'数据-汇总表'!E3</f>
        <v>289029</v>
      </c>
      <c r="M38" s="1265">
        <f ca="1">C34</f>
        <v>36455</v>
      </c>
      <c r="N38" s="1265">
        <f ca="1">C33</f>
        <v>12152</v>
      </c>
      <c r="O38" s="1266">
        <f ca="1">C32</f>
        <v>351215</v>
      </c>
      <c r="P38" s="2012"/>
      <c r="V38" s="2012"/>
    </row>
    <row r="39" spans="1:26" ht="16.5" customHeight="1" thickBot="1">
      <c r="A39" s="1261"/>
      <c r="B39" s="308"/>
      <c r="C39" s="309"/>
      <c r="D39" s="309"/>
      <c r="E39" s="310"/>
      <c r="F39" s="311"/>
      <c r="G39" s="311"/>
      <c r="H39" s="311"/>
      <c r="I39" s="311"/>
      <c r="J39" s="2014"/>
      <c r="K39" s="3387" t="str">
        <f>MID(A44,3,LEN(A44)-2)</f>
        <v>抵押价格</v>
      </c>
      <c r="L39" s="3388"/>
      <c r="M39" s="3388"/>
      <c r="N39" s="3389"/>
      <c r="O39" s="1387">
        <f ca="1">C44</f>
        <v>351215</v>
      </c>
      <c r="P39" s="2012"/>
      <c r="V39" s="2012"/>
    </row>
    <row r="40" spans="1:26" ht="19.5" thickBot="1">
      <c r="A40" s="104" t="s">
        <v>873</v>
      </c>
      <c r="B40" s="311"/>
      <c r="C40" s="311"/>
      <c r="D40" s="311"/>
      <c r="E40" s="311"/>
      <c r="F40" s="311"/>
      <c r="G40" s="311"/>
      <c r="H40" s="311"/>
      <c r="I40" s="311"/>
      <c r="J40" s="2014"/>
      <c r="K40" s="3387" t="str">
        <f t="shared" ref="K40:K41" si="0">MID(A45,3,LEN(A45)-2)</f>
        <v/>
      </c>
      <c r="L40" s="3388"/>
      <c r="M40" s="3388"/>
      <c r="N40" s="3389"/>
      <c r="O40" s="1387" t="str">
        <f>C45</f>
        <v>——</v>
      </c>
      <c r="P40" s="2012"/>
      <c r="V40" s="2012"/>
    </row>
    <row r="41" spans="1:26" ht="16.5" thickBot="1">
      <c r="A41" s="312" t="s">
        <v>356</v>
      </c>
      <c r="B41" s="313"/>
      <c r="C41" s="314" t="s">
        <v>357</v>
      </c>
      <c r="D41" s="315" t="s">
        <v>358</v>
      </c>
      <c r="E41" s="315" t="s">
        <v>359</v>
      </c>
      <c r="F41" s="316" t="s">
        <v>360</v>
      </c>
      <c r="G41" s="311"/>
      <c r="H41" s="311"/>
      <c r="I41" s="311"/>
      <c r="J41" s="2014"/>
      <c r="K41" s="3387" t="str">
        <f t="shared" si="0"/>
        <v/>
      </c>
      <c r="L41" s="3388"/>
      <c r="M41" s="3388"/>
      <c r="N41" s="3389"/>
      <c r="O41" s="1387" t="str">
        <f>C46</f>
        <v>——</v>
      </c>
      <c r="P41" s="2012"/>
      <c r="V41" s="2012"/>
    </row>
    <row r="42" spans="1:26" ht="29.25">
      <c r="A42" s="3329" t="s">
        <v>2067</v>
      </c>
      <c r="B42" s="3330"/>
      <c r="C42" s="264">
        <f ca="1">C32</f>
        <v>351215</v>
      </c>
      <c r="D42" s="317">
        <f ca="1">C33</f>
        <v>12152</v>
      </c>
      <c r="E42" s="317">
        <f ca="1">C34</f>
        <v>36455</v>
      </c>
      <c r="F42" s="318">
        <f ca="1">C35</f>
        <v>2430</v>
      </c>
      <c r="G42" s="311"/>
      <c r="H42" s="311"/>
      <c r="I42" s="319"/>
      <c r="J42" s="2014"/>
      <c r="K42" s="1267" t="s">
        <v>361</v>
      </c>
      <c r="L42" s="2031" t="s">
        <v>362</v>
      </c>
      <c r="M42" s="1268" t="s">
        <v>363</v>
      </c>
      <c r="N42" s="2032" t="s">
        <v>364</v>
      </c>
      <c r="O42" s="2033" t="s">
        <v>365</v>
      </c>
      <c r="P42" s="2012"/>
      <c r="V42" s="2012"/>
    </row>
    <row r="43" spans="1:26" ht="30">
      <c r="A43" s="3340" t="s">
        <v>2729</v>
      </c>
      <c r="B43" s="3341"/>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325071</v>
      </c>
      <c r="M43" s="1271">
        <f>C18</f>
        <v>0.5</v>
      </c>
      <c r="N43" s="1272">
        <f ca="1">IF(N42="测算结果/万元",G19,G20)</f>
        <v>351215</v>
      </c>
      <c r="O43" s="1273">
        <f ca="1">IF(O42="最终结果/万元",C32,C33)</f>
        <v>351215</v>
      </c>
      <c r="P43" s="2012"/>
      <c r="V43" s="2012"/>
    </row>
    <row r="44" spans="1:26" ht="30.75" thickBot="1">
      <c r="A44" s="3329" t="str">
        <f>IF(OR(项目基本情况!E8="抵押价格",项目基本情况!E8="已注销及未注销"),"3.抵押价格","——")</f>
        <v>3.抵押价格</v>
      </c>
      <c r="B44" s="3330"/>
      <c r="C44" s="264">
        <f ca="1">IF(A44="——","——",C42-C43)</f>
        <v>351215</v>
      </c>
      <c r="D44" s="317">
        <f ca="1">ROUND(C44*10000/'数据-汇总表'!E3,0)</f>
        <v>12152</v>
      </c>
      <c r="E44" s="317">
        <f ca="1">ROUND(C44*10000/'数据-汇总表'!D3,0)</f>
        <v>36455</v>
      </c>
      <c r="F44" s="318">
        <f ca="1">ROUND(C44/('数据-汇总表'!D3/666.67),0)</f>
        <v>2430</v>
      </c>
      <c r="G44" s="311"/>
      <c r="H44" s="311"/>
      <c r="I44" s="319"/>
      <c r="J44" s="2014"/>
      <c r="K44" s="1274" t="str">
        <f>D4</f>
        <v>剩余法-待开发</v>
      </c>
      <c r="L44" s="1275">
        <f ca="1">IF(L42="估价结果/万元",D19,D20)</f>
        <v>377358</v>
      </c>
      <c r="M44" s="1276">
        <f>D18</f>
        <v>0.5</v>
      </c>
      <c r="N44" s="1277"/>
      <c r="O44" s="1278"/>
      <c r="P44" s="2012"/>
      <c r="V44" s="2012"/>
    </row>
    <row r="45" spans="1:26" ht="15">
      <c r="A45" s="3335" t="str">
        <f>IF(项目基本情况!E8="已注销及未注销","4.抵押担保权已注销时的抵押价格",IF(项目基本情况!E8="已注销","3.抵押担保权已注销时的抵押价格","——"))</f>
        <v>——</v>
      </c>
      <c r="B45" s="333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31" t="str">
        <f>IF(项目基本情况!E9="抵押净值",IF(A45="——","4.抵押净值","5.抵押净值"),"——")</f>
        <v>——</v>
      </c>
      <c r="B46" s="333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76" t="s">
        <v>374</v>
      </c>
      <c r="B63" s="3377"/>
      <c r="C63" s="3378"/>
      <c r="D63" s="341">
        <f ca="1">ROUND(C42*F63,0)</f>
        <v>351215</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37" t="s">
        <v>378</v>
      </c>
      <c r="B64" s="3338"/>
      <c r="C64" s="3338"/>
      <c r="D64" s="3338"/>
      <c r="E64" s="3338"/>
      <c r="F64" s="3338"/>
      <c r="G64" s="3339"/>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33" t="s">
        <v>386</v>
      </c>
      <c r="B66" s="3334"/>
      <c r="C66" s="3334"/>
      <c r="D66" s="261">
        <f ca="1">IF(H66="情况1",0,IF(H66="情况2",D70,IF(H66="情况3",D71,IF(H66="情况4",D72))))</f>
        <v>18731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91" t="s">
        <v>385</v>
      </c>
      <c r="M66" s="3392"/>
      <c r="N66" s="2421"/>
      <c r="O66" s="2422"/>
      <c r="P66" s="2423"/>
      <c r="Q66" s="2012"/>
      <c r="R66" s="2012"/>
      <c r="S66" s="2012"/>
      <c r="T66" s="2012"/>
      <c r="U66" s="2012"/>
      <c r="V66" s="2012"/>
    </row>
    <row r="67" spans="1:22" ht="25.5" customHeight="1">
      <c r="A67" s="352" t="s">
        <v>390</v>
      </c>
      <c r="B67" s="3324" t="s">
        <v>391</v>
      </c>
      <c r="C67" s="3324"/>
      <c r="D67" s="353">
        <v>0</v>
      </c>
      <c r="E67" s="41" t="s">
        <v>392</v>
      </c>
      <c r="F67" s="62" t="s">
        <v>21</v>
      </c>
      <c r="G67" s="3379"/>
      <c r="H67" s="311"/>
      <c r="I67" s="1288"/>
      <c r="J67" s="2019"/>
      <c r="K67" s="1960">
        <v>2</v>
      </c>
      <c r="L67" s="3390" t="s">
        <v>389</v>
      </c>
      <c r="M67" s="3390"/>
      <c r="N67" s="1321">
        <f>'数据-取费表'!B2</f>
        <v>43689</v>
      </c>
      <c r="O67" s="1321"/>
      <c r="P67" s="1321"/>
      <c r="Q67" s="2012"/>
      <c r="R67" s="2012"/>
      <c r="S67" s="2012"/>
      <c r="T67" s="2012"/>
      <c r="U67" s="2012"/>
      <c r="V67" s="2012"/>
    </row>
    <row r="68" spans="1:22" ht="25.5" customHeight="1">
      <c r="A68" s="354"/>
      <c r="B68" s="3324" t="s">
        <v>394</v>
      </c>
      <c r="C68" s="3324"/>
      <c r="D68" s="355"/>
      <c r="E68" s="77"/>
      <c r="F68" s="356"/>
      <c r="G68" s="3380"/>
      <c r="H68" s="311"/>
      <c r="I68" s="1288"/>
      <c r="J68" s="2019"/>
      <c r="K68" s="1960">
        <v>3</v>
      </c>
      <c r="L68" s="3390" t="s">
        <v>393</v>
      </c>
      <c r="M68" s="3390"/>
      <c r="N68" s="1289">
        <f ca="1">C42</f>
        <v>351215</v>
      </c>
      <c r="O68" s="1289"/>
      <c r="P68" s="1289"/>
      <c r="Q68" s="2012"/>
      <c r="R68" s="2012"/>
      <c r="S68" s="2012"/>
      <c r="T68" s="2012"/>
      <c r="U68" s="2012"/>
      <c r="V68" s="2012"/>
    </row>
    <row r="69" spans="1:22" ht="12" customHeight="1">
      <c r="A69" s="357"/>
      <c r="B69" s="3324" t="s">
        <v>395</v>
      </c>
      <c r="C69" s="3324"/>
      <c r="D69" s="358"/>
      <c r="E69" s="73"/>
      <c r="F69" s="356"/>
      <c r="G69" s="3381"/>
      <c r="H69" s="311"/>
      <c r="I69" s="1288"/>
      <c r="J69" s="2019"/>
      <c r="K69" s="1290">
        <v>4</v>
      </c>
      <c r="L69" s="3395" t="s">
        <v>2882</v>
      </c>
      <c r="M69" s="3396"/>
      <c r="N69" s="1291">
        <f ca="1">C44</f>
        <v>351215</v>
      </c>
      <c r="O69" s="1291"/>
      <c r="P69" s="1291"/>
      <c r="Q69" s="2012"/>
      <c r="R69" s="2012"/>
      <c r="S69" s="2012"/>
      <c r="T69" s="2012"/>
      <c r="U69" s="2012"/>
      <c r="V69" s="2012"/>
    </row>
    <row r="70" spans="1:22" ht="24" customHeight="1">
      <c r="A70" s="359" t="s">
        <v>396</v>
      </c>
      <c r="B70" s="3324" t="s">
        <v>397</v>
      </c>
      <c r="C70" s="3324"/>
      <c r="D70" s="358">
        <f ca="1">ROUND(D63*'数据-取费表'!B41/(1+'数据-取费表'!C42),0)</f>
        <v>18731</v>
      </c>
      <c r="E70" s="17" t="s">
        <v>398</v>
      </c>
      <c r="F70" s="360">
        <f>'数据-取费表'!B41</f>
        <v>5.6000000000000001E-2</v>
      </c>
      <c r="G70" s="361"/>
      <c r="H70" s="311"/>
      <c r="I70" s="1288"/>
      <c r="J70" s="2019"/>
      <c r="K70" s="3012"/>
      <c r="L70" s="3013"/>
      <c r="M70" s="3013"/>
      <c r="N70" s="3014" t="s">
        <v>2887</v>
      </c>
      <c r="O70" s="3013"/>
      <c r="P70" s="3015"/>
      <c r="Q70" s="2012"/>
      <c r="R70" s="2012"/>
      <c r="S70" s="2012"/>
      <c r="T70" s="2012"/>
      <c r="U70" s="2012"/>
      <c r="V70" s="2012"/>
    </row>
    <row r="71" spans="1:22" ht="12" customHeight="1">
      <c r="A71" s="359" t="s">
        <v>404</v>
      </c>
      <c r="B71" s="3325" t="s">
        <v>405</v>
      </c>
      <c r="C71" s="3326"/>
      <c r="D71" s="358">
        <f ca="1">ROUND(D63*'数据-取费表'!B41/(1+'数据-取费表'!C42),0)</f>
        <v>18731</v>
      </c>
      <c r="E71" s="17" t="s">
        <v>398</v>
      </c>
      <c r="F71" s="360">
        <f>'数据-取费表'!B41</f>
        <v>5.6000000000000001E-2</v>
      </c>
      <c r="G71" s="361"/>
      <c r="H71" s="311"/>
      <c r="I71" s="1288"/>
      <c r="J71" s="2019"/>
      <c r="K71" s="3011" t="s">
        <v>399</v>
      </c>
      <c r="L71" s="3397" t="s">
        <v>400</v>
      </c>
      <c r="M71" s="3397"/>
      <c r="N71" s="3011" t="s">
        <v>401</v>
      </c>
      <c r="O71" s="3011" t="s">
        <v>402</v>
      </c>
      <c r="P71" s="3011" t="s">
        <v>403</v>
      </c>
      <c r="Q71" s="2012"/>
      <c r="R71" s="2012"/>
      <c r="S71" s="2012"/>
      <c r="T71" s="2012"/>
      <c r="U71" s="2012"/>
      <c r="V71" s="2012"/>
    </row>
    <row r="72" spans="1:22" ht="12" customHeight="1">
      <c r="A72" s="359" t="s">
        <v>407</v>
      </c>
      <c r="B72" s="3325" t="s">
        <v>408</v>
      </c>
      <c r="C72" s="3326"/>
      <c r="D72" s="358">
        <f ca="1">C86</f>
        <v>18619</v>
      </c>
      <c r="E72" s="73" t="s">
        <v>409</v>
      </c>
      <c r="F72" s="360">
        <f>'数据-取费表'!B41</f>
        <v>5.6000000000000001E-2</v>
      </c>
      <c r="G72" s="361"/>
      <c r="H72" s="1294"/>
      <c r="I72" s="1288"/>
      <c r="J72" s="2019"/>
      <c r="K72" s="1960">
        <v>1</v>
      </c>
      <c r="L72" s="3372" t="s">
        <v>406</v>
      </c>
      <c r="M72" s="3372"/>
      <c r="N72" s="1292">
        <f ca="1">D66</f>
        <v>18731</v>
      </c>
      <c r="O72" s="1843" t="str">
        <f>E66</f>
        <v>销售额×税（费）率</v>
      </c>
      <c r="P72" s="1293">
        <f>F66</f>
        <v>5.6000000000000001E-2</v>
      </c>
      <c r="Q72" s="2012"/>
      <c r="R72" s="2012"/>
      <c r="S72" s="2012"/>
      <c r="T72" s="2012"/>
      <c r="U72" s="2012"/>
      <c r="V72" s="2012"/>
    </row>
    <row r="73" spans="1:22" ht="24" customHeight="1">
      <c r="A73" s="3366" t="s">
        <v>411</v>
      </c>
      <c r="B73" s="3334"/>
      <c r="C73" s="3334"/>
      <c r="D73" s="362">
        <f>IF(H73="个人住宅",0,ROUND(D63*I73,0))</f>
        <v>0</v>
      </c>
      <c r="E73" s="17" t="s">
        <v>412</v>
      </c>
      <c r="F73" s="360" t="str">
        <f>IF(H73="正常",I73,"免征")</f>
        <v>免征</v>
      </c>
      <c r="G73" s="361"/>
      <c r="H73" s="191" t="s">
        <v>2455</v>
      </c>
      <c r="I73" s="360">
        <f>'数据-取费表'!B49</f>
        <v>5.0000000000000001E-4</v>
      </c>
      <c r="J73" s="2019"/>
      <c r="K73" s="1960">
        <v>2</v>
      </c>
      <c r="L73" s="3372" t="s">
        <v>410</v>
      </c>
      <c r="M73" s="3372"/>
      <c r="N73" s="1292">
        <f t="shared" ref="N73:P74" si="1">D73</f>
        <v>0</v>
      </c>
      <c r="O73" s="1843" t="str">
        <f t="shared" si="1"/>
        <v>销售额×税（费）率</v>
      </c>
      <c r="P73" s="1293" t="str">
        <f t="shared" si="1"/>
        <v>免征</v>
      </c>
      <c r="Q73" s="2012"/>
      <c r="R73" s="2012"/>
      <c r="S73" s="2012"/>
      <c r="T73" s="2012"/>
      <c r="U73" s="2012"/>
      <c r="V73" s="2012"/>
    </row>
    <row r="74" spans="1:22" ht="24.75">
      <c r="A74" s="3366" t="s">
        <v>415</v>
      </c>
      <c r="B74" s="3334"/>
      <c r="C74" s="3334"/>
      <c r="D74" s="362">
        <f ca="1">IF(H74="个人住宅",D75,D76)</f>
        <v>198132</v>
      </c>
      <c r="E74" s="17" t="s">
        <v>416</v>
      </c>
      <c r="F74" s="360" t="str">
        <f>IF(H74="正常",F76,"免征")</f>
        <v>——</v>
      </c>
      <c r="G74" s="983" t="s">
        <v>417</v>
      </c>
      <c r="H74" s="363" t="s">
        <v>413</v>
      </c>
      <c r="I74" s="42"/>
      <c r="J74" s="2019"/>
      <c r="K74" s="1960">
        <v>3</v>
      </c>
      <c r="L74" s="3372" t="s">
        <v>414</v>
      </c>
      <c r="M74" s="3372"/>
      <c r="N74" s="1292">
        <f t="shared" ca="1" si="1"/>
        <v>198132</v>
      </c>
      <c r="O74" s="1843" t="str">
        <f t="shared" si="1"/>
        <v>增值额×税（费）率</v>
      </c>
      <c r="P74" s="1295" t="str">
        <f t="shared" si="1"/>
        <v>——</v>
      </c>
      <c r="Q74" s="2012"/>
      <c r="R74" s="2012"/>
      <c r="S74" s="2012"/>
      <c r="T74" s="2012"/>
      <c r="U74" s="2012"/>
      <c r="V74" s="2012"/>
    </row>
    <row r="75" spans="1:22" ht="24">
      <c r="A75" s="359" t="s">
        <v>418</v>
      </c>
      <c r="B75" s="3322" t="s">
        <v>419</v>
      </c>
      <c r="C75" s="3352"/>
      <c r="D75" s="364">
        <v>0</v>
      </c>
      <c r="E75" s="41" t="s">
        <v>420</v>
      </c>
      <c r="F75" s="365"/>
      <c r="G75" s="361"/>
      <c r="H75" s="42"/>
      <c r="I75" s="42"/>
      <c r="J75" s="2019"/>
      <c r="K75" s="3004">
        <f>IF(H77="非个人房产","",4)</f>
        <v>4</v>
      </c>
      <c r="L75" s="3372" t="str">
        <f>IF(H77="非个人房产","——","个人所得税")</f>
        <v>个人所得税</v>
      </c>
      <c r="M75" s="3372"/>
      <c r="N75" s="1296">
        <f ca="1">D77</f>
        <v>3512</v>
      </c>
      <c r="O75" s="1856" t="str">
        <f>E77</f>
        <v>销售额×税（费）率</v>
      </c>
      <c r="P75" s="1297">
        <f>F77</f>
        <v>0.01</v>
      </c>
      <c r="Q75" s="2012"/>
      <c r="R75" s="2012"/>
      <c r="S75" s="2012"/>
      <c r="T75" s="2012"/>
      <c r="U75" s="2012"/>
      <c r="V75" s="2012"/>
    </row>
    <row r="76" spans="1:22" ht="24.75">
      <c r="A76" s="359" t="s">
        <v>396</v>
      </c>
      <c r="B76" s="3322" t="s">
        <v>422</v>
      </c>
      <c r="C76" s="3323"/>
      <c r="D76" s="362">
        <f ca="1">IF(H76="转让取得",C99,C115)</f>
        <v>198132</v>
      </c>
      <c r="E76" s="17" t="s">
        <v>423</v>
      </c>
      <c r="F76" s="53" t="s">
        <v>21</v>
      </c>
      <c r="G76" s="361"/>
      <c r="H76" s="363" t="s">
        <v>424</v>
      </c>
      <c r="I76" s="42"/>
      <c r="J76" s="2019"/>
      <c r="K76" s="3004" t="str">
        <f>IF(项目基本情况!K6="上海银行",IF(K75="",4,K75+1),"")</f>
        <v/>
      </c>
      <c r="L76" s="3383" t="str">
        <f>IF(项目基本情况!K6="上海银行","其他处置费用","")</f>
        <v/>
      </c>
      <c r="M76" s="3384"/>
      <c r="N76" s="1292" t="str">
        <f>IF(项目基本情况!K6="上海银行",N89,"")</f>
        <v/>
      </c>
      <c r="O76" s="3385" t="str">
        <f>IF(项目基本情况!K6="上海银行","包含处置中涉及的律师、诉讼、拍卖、评估等费用","")</f>
        <v/>
      </c>
      <c r="P76" s="3386"/>
      <c r="Q76" s="2012"/>
      <c r="R76" s="2012"/>
      <c r="S76" s="2012"/>
      <c r="T76" s="2012"/>
      <c r="U76" s="2012"/>
      <c r="V76" s="2012"/>
    </row>
    <row r="77" spans="1:22" ht="26.25" thickBot="1">
      <c r="A77" s="3374" t="s">
        <v>426</v>
      </c>
      <c r="B77" s="3375"/>
      <c r="C77" s="3375"/>
      <c r="D77" s="366">
        <f ca="1">IF(H77="非个人房产","——",IF(H77="个人住宅",0,ROUND(D63*I77,0)))</f>
        <v>3512</v>
      </c>
      <c r="E77" s="367" t="str">
        <f>IF(H77="非个人房产","——","销售额×税（费）率")</f>
        <v>销售额×税（费）率</v>
      </c>
      <c r="F77" s="368">
        <f>IF(H77="非个人房产","——",IF(H77="个人住宅","免征",I77))</f>
        <v>0.01</v>
      </c>
      <c r="G77" s="984" t="s">
        <v>417</v>
      </c>
      <c r="H77" s="363" t="s">
        <v>2883</v>
      </c>
      <c r="I77" s="369">
        <v>0.01</v>
      </c>
      <c r="J77" s="2019"/>
      <c r="K77" s="3373">
        <f>IF(AND(K75="",K76=""),4,IF(项目基本情况!K6="上海银行",K76+1,K75+1))</f>
        <v>5</v>
      </c>
      <c r="L77" s="3372" t="s">
        <v>2884</v>
      </c>
      <c r="M77" s="3010" t="s">
        <v>421</v>
      </c>
      <c r="N77" s="1298"/>
      <c r="O77" s="1299">
        <f ca="1">SUMIF(N72:N76,"&lt;9e307")</f>
        <v>220375</v>
      </c>
      <c r="P77" s="1300"/>
      <c r="Q77" s="3008">
        <f ca="1">O77/N69</f>
        <v>0.62746465840012533</v>
      </c>
      <c r="R77" s="2012"/>
      <c r="S77" s="2012"/>
      <c r="T77" s="2012"/>
      <c r="U77" s="2012"/>
      <c r="V77" s="2012"/>
    </row>
    <row r="78" spans="1:22" ht="12" customHeight="1">
      <c r="A78" s="1301"/>
      <c r="B78" s="311"/>
      <c r="C78" s="311"/>
      <c r="D78" s="311"/>
      <c r="E78" s="42"/>
      <c r="F78" s="42"/>
      <c r="G78" s="42"/>
      <c r="H78" s="1003"/>
      <c r="I78" s="311"/>
      <c r="J78" s="2019"/>
      <c r="K78" s="3373"/>
      <c r="L78" s="3372"/>
      <c r="M78" s="3010" t="s">
        <v>425</v>
      </c>
      <c r="N78" s="1298"/>
      <c r="O78" s="1299" t="str">
        <f ca="1">NUMBERSTRING(INT(O77*10000),2)&amp;"元整"</f>
        <v>贰拾贰亿零叁佰柒拾伍万元整</v>
      </c>
      <c r="P78" s="1300"/>
      <c r="Q78" s="2012"/>
      <c r="R78" s="2012"/>
      <c r="S78" s="2012"/>
      <c r="T78" s="2012"/>
      <c r="U78" s="2012"/>
      <c r="V78" s="2012"/>
    </row>
    <row r="79" spans="1:22" ht="13.5" thickBot="1">
      <c r="A79" s="3367" t="s">
        <v>427</v>
      </c>
      <c r="B79" s="3367"/>
      <c r="C79" s="3367"/>
      <c r="D79" s="3367"/>
      <c r="E79" s="3367"/>
      <c r="F79" s="42"/>
      <c r="G79" s="42"/>
      <c r="H79" s="1003"/>
      <c r="I79" s="311"/>
      <c r="J79" s="2019"/>
      <c r="K79" s="3393">
        <f>K77+1</f>
        <v>6</v>
      </c>
      <c r="L79" s="3372" t="s">
        <v>2885</v>
      </c>
      <c r="M79" s="3010" t="s">
        <v>421</v>
      </c>
      <c r="N79" s="1298"/>
      <c r="O79" s="1299">
        <f ca="1">N69-O77</f>
        <v>130840</v>
      </c>
      <c r="P79" s="1300"/>
      <c r="Q79" s="2012"/>
      <c r="R79" s="2012"/>
      <c r="S79" s="2012"/>
      <c r="T79" s="2012"/>
      <c r="U79" s="2012"/>
      <c r="V79" s="2012"/>
    </row>
    <row r="80" spans="1:22" ht="25.5">
      <c r="A80" s="3362" t="s">
        <v>428</v>
      </c>
      <c r="B80" s="3363"/>
      <c r="C80" s="994"/>
      <c r="D80" s="994" t="s">
        <v>429</v>
      </c>
      <c r="E80" s="370" t="s">
        <v>430</v>
      </c>
      <c r="F80" s="42"/>
      <c r="G80" s="42"/>
      <c r="H80" s="1003"/>
      <c r="I80" s="311"/>
      <c r="J80" s="2012"/>
      <c r="K80" s="3394"/>
      <c r="L80" s="3372"/>
      <c r="M80" s="3010" t="s">
        <v>425</v>
      </c>
      <c r="N80" s="1298"/>
      <c r="O80" s="1299" t="str">
        <f ca="1">NUMBERSTRING(INT(O79*10000),2)&amp;"元整"</f>
        <v>壹拾叁亿零捌佰肆拾万元整</v>
      </c>
      <c r="P80" s="1300"/>
      <c r="Q80" s="2012"/>
      <c r="R80" s="2012"/>
      <c r="S80" s="2012"/>
      <c r="T80" s="2012"/>
      <c r="U80" s="2012"/>
      <c r="V80" s="2012"/>
    </row>
    <row r="81" spans="1:26" ht="13.5" thickBot="1">
      <c r="A81" s="381" t="s">
        <v>1823</v>
      </c>
      <c r="B81" s="371" t="s">
        <v>431</v>
      </c>
      <c r="C81" s="372">
        <f ca="1">ROUND((C82+C83)/(1+'数据-取费表'!C42),0)</f>
        <v>334490</v>
      </c>
      <c r="D81" s="373"/>
      <c r="E81" s="374"/>
      <c r="F81" s="42"/>
      <c r="G81" s="42"/>
      <c r="H81" s="1003"/>
      <c r="I81" s="311"/>
      <c r="J81" s="2012"/>
      <c r="K81" s="3004">
        <f>K79+1</f>
        <v>7</v>
      </c>
      <c r="L81" s="3370" t="s">
        <v>2886</v>
      </c>
      <c r="M81" s="3371"/>
      <c r="N81" s="1302"/>
      <c r="O81" s="1303">
        <f ca="1">ROUND(O79*10000/'数据-汇总表'!E3,0)</f>
        <v>4527</v>
      </c>
      <c r="P81" s="1304"/>
      <c r="Q81" s="2012"/>
      <c r="R81" s="2012"/>
      <c r="S81" s="2012"/>
      <c r="T81" s="2012"/>
      <c r="U81" s="2012"/>
      <c r="V81" s="2012"/>
    </row>
    <row r="82" spans="1:26" ht="13.5" thickTop="1">
      <c r="A82" s="375" t="s">
        <v>1824</v>
      </c>
      <c r="B82" s="376" t="s">
        <v>432</v>
      </c>
      <c r="C82" s="377">
        <f ca="1">D63</f>
        <v>351215</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82" t="s">
        <v>2873</v>
      </c>
      <c r="L83" s="3016" t="s">
        <v>2874</v>
      </c>
      <c r="M83" s="3006">
        <f ca="1">IF(N69&gt;10000,N69*0.5%,IF(AND(N69&gt;1000,N69&lt;=10000),N69*1%,IF(AND(N69&gt;100,N69&lt;=1000),N69*3%,IF(AND(N69&gt;10,N69&lt;=100),N69*5%,N69*8%))))</f>
        <v>1756.075</v>
      </c>
      <c r="N83" s="53">
        <f ca="1">ROUND(M83,1)</f>
        <v>1756.1</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382"/>
      <c r="L84" s="3016" t="s">
        <v>2875</v>
      </c>
      <c r="M84" s="3006">
        <f ca="1">IF(N69&gt;2000,N69*0.5%,IF(AND(N69&gt;1000,N69&lt;=2000),N69*0.6%,IF(AND(N69&gt;500,N69&lt;=1000),N69*0.7%,IF(AND(N69&gt;200,N69&lt;=500),N69*0.8%,IF(AND(N69&gt;100,N69&lt;=200),N69*0.9%,IF(AND(N69&gt;50,N69&lt;=100),N69*1%,IF(AND(N69&gt;20,N69&lt;=50),N69*1.5%,IF(AND(N69&gt;10,N69&lt;=20),N69*2%,IF(AND(N69&gt;1,N69&lt;=10),N69*2.5%)))))))))</f>
        <v>1756.075</v>
      </c>
      <c r="N84" s="53">
        <f t="shared" ref="N84:N85" ca="1" si="2">ROUND(M84,1)</f>
        <v>1756.1</v>
      </c>
      <c r="O84" s="2012" t="s">
        <v>2876</v>
      </c>
      <c r="P84" s="2012"/>
      <c r="Q84" s="2012"/>
      <c r="R84" s="2012"/>
      <c r="S84" s="2012"/>
      <c r="T84" s="2012"/>
      <c r="U84" s="2012"/>
      <c r="V84" s="2012"/>
    </row>
    <row r="85" spans="1:26" ht="12.75">
      <c r="A85" s="381" t="s">
        <v>1827</v>
      </c>
      <c r="B85" s="382" t="s">
        <v>435</v>
      </c>
      <c r="C85" s="385">
        <f ca="1">C81-C84</f>
        <v>332490</v>
      </c>
      <c r="D85" s="378" t="s">
        <v>19</v>
      </c>
      <c r="E85" s="379"/>
      <c r="F85" s="42"/>
      <c r="G85" s="42"/>
      <c r="H85" s="1003"/>
      <c r="I85" s="311"/>
      <c r="J85" s="2012"/>
      <c r="K85" s="3382"/>
      <c r="L85" s="3016" t="s">
        <v>2877</v>
      </c>
      <c r="M85" s="3006">
        <f ca="1">IF(N69&gt;1000,N69*0.1%,IF(AND(N69&gt;500,N69&lt;=1000),N69*0.5%,IF(AND(N69&gt;50,N69&lt;=500),N69*1%,IF(AND(N69&gt;1,N69&lt;=50),N69*1.5%))))</f>
        <v>351.21500000000003</v>
      </c>
      <c r="N85" s="53">
        <f t="shared" ca="1" si="2"/>
        <v>351.2</v>
      </c>
      <c r="O85" s="2012" t="s">
        <v>2876</v>
      </c>
      <c r="P85" s="2012"/>
      <c r="Q85" s="2012"/>
      <c r="R85" s="2012"/>
      <c r="S85" s="2012"/>
      <c r="T85" s="2012"/>
      <c r="U85" s="2012"/>
      <c r="V85" s="2012"/>
    </row>
    <row r="86" spans="1:26" ht="13.5" thickBot="1">
      <c r="A86" s="386" t="s">
        <v>1828</v>
      </c>
      <c r="B86" s="387" t="s">
        <v>436</v>
      </c>
      <c r="C86" s="388">
        <f ca="1">IF(C85&lt;=0,0,ROUND(C85*D86,0))</f>
        <v>18619</v>
      </c>
      <c r="D86" s="389">
        <f>'数据-取费表'!B41</f>
        <v>5.6000000000000001E-2</v>
      </c>
      <c r="E86" s="390"/>
      <c r="F86" s="42"/>
      <c r="G86" s="42"/>
      <c r="H86" s="1003"/>
      <c r="I86" s="311"/>
      <c r="J86" s="2012"/>
      <c r="K86" s="3382"/>
      <c r="L86" s="3016" t="s">
        <v>2878</v>
      </c>
      <c r="M86" s="3006">
        <f ca="1">N69*0.5%</f>
        <v>1756.075</v>
      </c>
      <c r="N86" s="53">
        <f ca="1">IF(M86&gt;0.5,0.5,ROUND(M86,0))</f>
        <v>0.5</v>
      </c>
      <c r="O86" s="2012" t="s">
        <v>2879</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82"/>
      <c r="L87" s="3016" t="s">
        <v>2880</v>
      </c>
      <c r="M87" s="3006">
        <f ca="1">IF(N69&gt;=10000,(8.25+(N69-10000)*0.01%),IF(AND(N69&gt;=8000,N69&lt;10000),(7.85+(N69-8000)*0.02%),IF(AND(N69&gt;=5000,N69&lt;8000),(6.65+(N69-5000)*0.04%),IF(AND(N69&gt;=2000,N69&lt;5000),(4.25+(PN69-2000)*0.08%),IF(AND(N69&gt;=1000,N69&lt;2000),(2.75+(N69-1000)*0.15%),IF(AND(N69&gt;=100,N69&lt;1000),(0.5+(N69-100)*0.25%),IF(AND(N69&gt;0,N69&lt;100),N69*0.5%)))))))</f>
        <v>42.371500000000005</v>
      </c>
      <c r="N87" s="53">
        <f ca="1">ROUND(M87*0.9,1)</f>
        <v>38.1</v>
      </c>
      <c r="O87" s="3009"/>
      <c r="P87" s="311"/>
      <c r="Q87" s="2012"/>
      <c r="R87" s="2012"/>
      <c r="S87" s="2012"/>
      <c r="T87" s="2012"/>
      <c r="U87" s="2012"/>
      <c r="V87" s="2012"/>
      <c r="W87" s="292"/>
      <c r="X87" s="292"/>
      <c r="Y87" s="292"/>
      <c r="Z87" s="292"/>
    </row>
    <row r="88" spans="1:26" s="1310" customFormat="1" ht="15" thickBot="1">
      <c r="A88" s="3364" t="s">
        <v>437</v>
      </c>
      <c r="B88" s="3365"/>
      <c r="C88" s="3365"/>
      <c r="D88" s="3365"/>
      <c r="E88" s="3365"/>
      <c r="F88" s="3365"/>
      <c r="G88" s="3365"/>
      <c r="H88" s="3365"/>
      <c r="I88" s="1311"/>
      <c r="J88" s="2020"/>
      <c r="K88" s="3382"/>
      <c r="L88" s="3016" t="s">
        <v>2881</v>
      </c>
      <c r="M88" s="3006">
        <f ca="1">IF(N69&gt;10000,N69*0.5%,IF(AND(N69&gt;5000,N69&lt;=10000),N69*1%,IF(AND(N69&gt;1000,N69&lt;=5000),N69*2%,IF(AND(N69&gt;200,N69&lt;=1000),N69*3%,N69*5%))))</f>
        <v>1756.075</v>
      </c>
      <c r="N88" s="53">
        <f ca="1">ROUND(M88,1)</f>
        <v>1756.1</v>
      </c>
      <c r="O88" s="3009"/>
      <c r="P88" s="11"/>
      <c r="Q88" s="2017"/>
      <c r="R88" s="2017"/>
      <c r="S88" s="2017"/>
      <c r="T88" s="2017"/>
      <c r="U88" s="2017"/>
      <c r="V88" s="2017"/>
      <c r="W88" s="2021"/>
      <c r="X88" s="2021"/>
      <c r="Y88" s="2021"/>
      <c r="Z88" s="2021"/>
    </row>
    <row r="89" spans="1:26" s="1310" customFormat="1" ht="14.25">
      <c r="A89" s="3362" t="s">
        <v>428</v>
      </c>
      <c r="B89" s="3363"/>
      <c r="C89" s="994"/>
      <c r="D89" s="994" t="s">
        <v>429</v>
      </c>
      <c r="E89" s="391" t="s">
        <v>438</v>
      </c>
      <c r="F89" s="392"/>
      <c r="G89" s="392"/>
      <c r="H89" s="393"/>
      <c r="I89" s="1312"/>
      <c r="J89" s="2022"/>
      <c r="K89" s="3382"/>
      <c r="L89" s="3016" t="s">
        <v>27</v>
      </c>
      <c r="M89" s="3007"/>
      <c r="N89" s="53">
        <f ca="1">ROUND(SUM(N83:N88),0)</f>
        <v>5658</v>
      </c>
      <c r="O89" s="3017">
        <f ca="1">N89/N69</f>
        <v>1.6109790299389262E-2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334490</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4568</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25" t="s">
        <v>447</v>
      </c>
      <c r="F94" s="3324"/>
      <c r="G94" s="3324"/>
      <c r="H94" s="3361"/>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2007</v>
      </c>
      <c r="D96" s="406">
        <f>'数据-取费表'!B43</f>
        <v>6.000000000000001E-3</v>
      </c>
      <c r="E96" s="3353" t="s">
        <v>2428</v>
      </c>
      <c r="F96" s="3354"/>
      <c r="G96" s="3354"/>
      <c r="H96" s="3355"/>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329922</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72.224605954465844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196354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64" t="s">
        <v>454</v>
      </c>
      <c r="B101" s="3365"/>
      <c r="C101" s="3365"/>
      <c r="D101" s="3365"/>
      <c r="E101" s="3365"/>
      <c r="F101" s="3365"/>
      <c r="G101" s="3365"/>
      <c r="H101" s="3365"/>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62" t="s">
        <v>428</v>
      </c>
      <c r="B102" s="3363"/>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334490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2697</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56" t="s">
        <v>462</v>
      </c>
      <c r="F109" s="3354"/>
      <c r="G109" s="335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56" t="s">
        <v>464</v>
      </c>
      <c r="F110" s="3354"/>
      <c r="G110" s="3354"/>
      <c r="H110" s="3355"/>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2007</v>
      </c>
      <c r="D111" s="406">
        <f>'数据-取费表'!B43</f>
        <v>6.000000000000001E-3</v>
      </c>
      <c r="E111" s="3353" t="s">
        <v>2428</v>
      </c>
      <c r="F111" s="3354"/>
      <c r="G111" s="3354"/>
      <c r="H111" s="3355"/>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56" t="s">
        <v>2453</v>
      </c>
      <c r="F112" s="3354"/>
      <c r="G112" s="3354"/>
      <c r="H112" s="3355"/>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331793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123.02298850574712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198132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2" t="str">
        <f>项目基本情况!B1</f>
        <v>出让国有建设用地使用权抵押价格预评估</v>
      </c>
      <c r="C37" s="3232"/>
      <c r="D37" s="3232"/>
      <c r="E37" s="3232"/>
      <c r="F37" s="3232"/>
      <c r="G37" s="3232"/>
      <c r="H37" s="3232"/>
      <c r="I37" s="3232"/>
    </row>
    <row r="38" spans="1:9">
      <c r="A38" s="1640"/>
      <c r="B38" s="1640"/>
    </row>
    <row r="39" spans="1:9">
      <c r="A39" s="1638" t="s">
        <v>1901</v>
      </c>
      <c r="B39" s="1638" t="s">
        <v>2046</v>
      </c>
    </row>
    <row r="40" spans="1:9">
      <c r="A40" s="1638"/>
      <c r="B40" s="1638" t="str">
        <f>项目基本情况!B5</f>
        <v>中诚信托有限责任公司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zoomScale="80" zoomScaleNormal="95" zoomScaleSheetLayoutView="80" zoomScalePageLayoutView="95" workbookViewId="0">
      <selection activeCell="B2" sqref="B2"/>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325071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11247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33741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2249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07" t="s">
        <v>522</v>
      </c>
      <c r="D6" s="3408"/>
      <c r="E6" s="3407" t="s">
        <v>523</v>
      </c>
      <c r="F6" s="3408"/>
      <c r="G6" s="3407" t="s">
        <v>524</v>
      </c>
      <c r="H6" s="3408"/>
      <c r="I6" s="3407" t="s">
        <v>525</v>
      </c>
      <c r="J6" s="3408"/>
      <c r="K6" s="514" t="s">
        <v>526</v>
      </c>
      <c r="L6" s="2117"/>
      <c r="M6" s="2116"/>
      <c r="N6" s="2116"/>
      <c r="O6" s="2118"/>
      <c r="P6" s="3409" t="s">
        <v>527</v>
      </c>
      <c r="Q6" s="3410"/>
      <c r="R6" s="3415" t="s">
        <v>523</v>
      </c>
      <c r="S6" s="3416"/>
      <c r="T6" s="3415" t="s">
        <v>524</v>
      </c>
      <c r="U6" s="3416"/>
      <c r="V6" s="3402" t="s">
        <v>525</v>
      </c>
      <c r="W6" s="3402"/>
      <c r="X6" s="1552"/>
      <c r="Y6" s="3415" t="s">
        <v>527</v>
      </c>
      <c r="Z6" s="3416"/>
      <c r="AA6" s="3404" t="s">
        <v>523</v>
      </c>
      <c r="AB6" s="3405" t="s">
        <v>524</v>
      </c>
      <c r="AC6" s="3404" t="s">
        <v>525</v>
      </c>
    </row>
    <row r="7" spans="1:30" ht="20.25">
      <c r="A7" s="515"/>
      <c r="B7" s="516"/>
      <c r="C7" s="3423" t="s">
        <v>2928</v>
      </c>
      <c r="D7" s="3424"/>
      <c r="E7" s="3423" t="str">
        <f>'[2]比较法-住宅、综合'!$E$7:$F$7</f>
        <v>横沥镇灵山岛尖C1-26-02-1、C1-26-02-2、C1-26-05地块</v>
      </c>
      <c r="F7" s="3424"/>
      <c r="G7" s="3423" t="str">
        <f>'[2]比较法-住宅、综合'!$G$7:$H$7</f>
        <v>横沥镇灵山岛尖C1-23-03、C1-23-05、C1-23-06地块</v>
      </c>
      <c r="H7" s="3424"/>
      <c r="I7" s="3423" t="str">
        <f>'[2]比较法-住宅、综合'!$I$7:$J$7</f>
        <v>横沥镇灵山岛尖C1-27-01地块</v>
      </c>
      <c r="J7" s="3424"/>
      <c r="K7" s="514"/>
      <c r="L7" s="2117"/>
      <c r="M7" s="2116"/>
      <c r="N7" s="2116"/>
      <c r="O7" s="2118"/>
      <c r="P7" s="3411"/>
      <c r="Q7" s="3412"/>
      <c r="R7" s="3417"/>
      <c r="S7" s="3418"/>
      <c r="T7" s="3417"/>
      <c r="U7" s="3418"/>
      <c r="V7" s="3402"/>
      <c r="W7" s="3402"/>
      <c r="X7" s="1552"/>
      <c r="Y7" s="3417"/>
      <c r="Z7" s="3418"/>
      <c r="AA7" s="3405"/>
      <c r="AB7" s="3405"/>
      <c r="AC7" s="3405"/>
    </row>
    <row r="8" spans="1:30" ht="21" thickBot="1">
      <c r="A8" s="515"/>
      <c r="B8" s="516"/>
      <c r="C8" s="3425" t="s">
        <v>2932</v>
      </c>
      <c r="D8" s="3426"/>
      <c r="E8" s="3425" t="str">
        <f>'[2]比较法-住宅、综合'!$E$8:$F$8</f>
        <v>2018NJY-11</v>
      </c>
      <c r="F8" s="3426"/>
      <c r="G8" s="3421" t="str">
        <f>'[2]比较法-住宅、综合'!$G$8:$H$8</f>
        <v>2018NJY-9</v>
      </c>
      <c r="H8" s="3422"/>
      <c r="I8" s="3421" t="str">
        <f>'[2]比较法-住宅、综合'!$I$8:$J$8</f>
        <v>2018NJY-10</v>
      </c>
      <c r="J8" s="3422"/>
      <c r="K8" s="514" t="s">
        <v>528</v>
      </c>
      <c r="L8" s="2117"/>
      <c r="M8" s="2116"/>
      <c r="N8" s="2116"/>
      <c r="O8" s="2118"/>
      <c r="P8" s="3413"/>
      <c r="Q8" s="3414"/>
      <c r="R8" s="3417"/>
      <c r="S8" s="3418"/>
      <c r="T8" s="3419"/>
      <c r="U8" s="3420"/>
      <c r="V8" s="3402"/>
      <c r="W8" s="3402"/>
      <c r="X8" s="1552"/>
      <c r="Y8" s="3419"/>
      <c r="Z8" s="3420"/>
      <c r="AA8" s="3406"/>
      <c r="AB8" s="3406"/>
      <c r="AC8" s="3406"/>
    </row>
    <row r="9" spans="1:30" s="1216" customFormat="1" ht="21" thickBot="1">
      <c r="A9" s="2866"/>
      <c r="B9" s="2873" t="s">
        <v>529</v>
      </c>
      <c r="C9" s="2865">
        <f>'数据-取费表'!B2</f>
        <v>43689</v>
      </c>
      <c r="D9" s="520">
        <v>100</v>
      </c>
      <c r="E9" s="521" t="str">
        <f>'[2]比较法-住宅、综合'!$E$9</f>
        <v>2018-11-09</v>
      </c>
      <c r="F9" s="522">
        <f>SUMIF(72:72,YEAR(E9)&amp;"-"&amp;INT((MONTH(E9)+2)/3),73:73)</f>
        <v>97</v>
      </c>
      <c r="G9" s="523" t="str">
        <f>'[2]比较法-住宅、综合'!$G$9</f>
        <v>2018-11-09</v>
      </c>
      <c r="H9" s="520">
        <f>SUMIF(72:72,YEAR(G9)&amp;"-"&amp;INT((MONTH(G9)+2)/3),73:73)</f>
        <v>97</v>
      </c>
      <c r="I9" s="523" t="str">
        <f>'[2]比较法-住宅、综合'!$I$9</f>
        <v>2018-11-09</v>
      </c>
      <c r="J9" s="520">
        <f>SUMIF(72:72,YEAR(I9)&amp;"-"&amp;INT((MONTH(I9)+2)/3),73:73)</f>
        <v>97</v>
      </c>
      <c r="K9" s="524"/>
      <c r="L9" s="2119"/>
      <c r="M9" s="2116"/>
      <c r="N9" s="2116"/>
      <c r="O9" s="2120"/>
      <c r="P9" s="3432" t="s">
        <v>530</v>
      </c>
      <c r="Q9" s="3434"/>
      <c r="R9" s="1553" t="s">
        <v>8</v>
      </c>
      <c r="S9" s="1554">
        <f t="shared" ref="S9:S17" si="0">F9</f>
        <v>97</v>
      </c>
      <c r="T9" s="1553" t="s">
        <v>8</v>
      </c>
      <c r="U9" s="1554">
        <f t="shared" ref="U9:U17" si="1">H9</f>
        <v>97</v>
      </c>
      <c r="V9" s="1553" t="s">
        <v>8</v>
      </c>
      <c r="W9" s="1554">
        <f t="shared" ref="W9:W17" si="2">J9</f>
        <v>97</v>
      </c>
      <c r="X9" s="1555"/>
      <c r="Y9" s="3432" t="s">
        <v>530</v>
      </c>
      <c r="Z9" s="3433"/>
      <c r="AA9" s="1556">
        <f>D9/F9</f>
        <v>1.0309278350515463</v>
      </c>
      <c r="AB9" s="1556">
        <f>D9/H9</f>
        <v>1.0309278350515463</v>
      </c>
      <c r="AC9" s="1556">
        <f>D9/J9</f>
        <v>1.0309278350515463</v>
      </c>
    </row>
    <row r="10" spans="1:30" s="1216" customFormat="1" ht="21" thickBot="1">
      <c r="A10" s="2867"/>
      <c r="B10" s="2874" t="s">
        <v>531</v>
      </c>
      <c r="C10" s="856" t="s">
        <v>532</v>
      </c>
      <c r="D10" s="520">
        <v>100</v>
      </c>
      <c r="E10" s="525" t="s">
        <v>3271</v>
      </c>
      <c r="F10" s="522">
        <f>SUMIF(75:75,E10,76:76)-SUMIF(75:75,C10,76:76)+100</f>
        <v>100</v>
      </c>
      <c r="G10" s="525" t="s">
        <v>3271</v>
      </c>
      <c r="H10" s="520">
        <f>SUMIF(75:75,G10,76:76)-SUMIF(75:75,C10,76:76)+100</f>
        <v>100</v>
      </c>
      <c r="I10" s="525" t="s">
        <v>3271</v>
      </c>
      <c r="J10" s="520">
        <f>SUMIF(75:75,I10,76:76)-SUMIF(75:75,C10,76:76)+100</f>
        <v>100</v>
      </c>
      <c r="K10" s="524"/>
      <c r="L10" s="2119"/>
      <c r="M10" s="2116"/>
      <c r="N10" s="2116"/>
      <c r="O10" s="2120"/>
      <c r="P10" s="3432" t="s">
        <v>533</v>
      </c>
      <c r="Q10" s="3433"/>
      <c r="R10" s="1553" t="s">
        <v>8</v>
      </c>
      <c r="S10" s="1554">
        <f t="shared" si="0"/>
        <v>100</v>
      </c>
      <c r="T10" s="1553" t="s">
        <v>8</v>
      </c>
      <c r="U10" s="1554">
        <f t="shared" si="1"/>
        <v>100</v>
      </c>
      <c r="V10" s="1553" t="s">
        <v>8</v>
      </c>
      <c r="W10" s="1554">
        <f t="shared" si="2"/>
        <v>100</v>
      </c>
      <c r="X10" s="1555"/>
      <c r="Y10" s="3432" t="s">
        <v>533</v>
      </c>
      <c r="Z10" s="3433"/>
      <c r="AA10" s="1556">
        <f t="shared" ref="AA10:AA47" si="3">D10/F10</f>
        <v>1</v>
      </c>
      <c r="AB10" s="1556">
        <f t="shared" ref="AB10:AB47" si="4">D10/H10</f>
        <v>1</v>
      </c>
      <c r="AC10" s="1556">
        <f t="shared" ref="AC10:AC47" si="5">D10/J10</f>
        <v>1</v>
      </c>
    </row>
    <row r="11" spans="1:30" s="1216" customFormat="1" ht="128.25">
      <c r="A11" s="2868"/>
      <c r="B11" s="2875" t="s">
        <v>2755</v>
      </c>
      <c r="C11" s="2862" t="s">
        <v>3366</v>
      </c>
      <c r="D11" s="254">
        <v>100</v>
      </c>
      <c r="E11" s="526" t="s">
        <v>3131</v>
      </c>
      <c r="F11" s="254">
        <f>SUMIF(77:77,E11,78:78)-SUMIF(77:77,C11,78:78)+100</f>
        <v>100</v>
      </c>
      <c r="G11" s="526" t="s">
        <v>3139</v>
      </c>
      <c r="H11" s="254">
        <f>SUMIF(77:77,G11,78:78)-SUMIF(77:77,C11,78:78)+100</f>
        <v>100</v>
      </c>
      <c r="I11" s="526" t="s">
        <v>3146</v>
      </c>
      <c r="J11" s="254">
        <f>SUMIF(77:77,I11,78:78)-SUMIF(77:77,C11,78:78)+100</f>
        <v>100</v>
      </c>
      <c r="K11" s="524"/>
      <c r="L11" s="2119"/>
      <c r="M11" s="2116"/>
      <c r="N11" s="2116"/>
      <c r="O11" s="2121"/>
      <c r="P11" s="3401" t="s">
        <v>535</v>
      </c>
      <c r="Q11" s="1147" t="str">
        <f t="shared" ref="Q11:Q17" si="6">B11</f>
        <v>用途</v>
      </c>
      <c r="R11" s="1553" t="s">
        <v>8</v>
      </c>
      <c r="S11" s="1554">
        <f t="shared" si="0"/>
        <v>100</v>
      </c>
      <c r="T11" s="1553" t="s">
        <v>8</v>
      </c>
      <c r="U11" s="1554">
        <f t="shared" si="1"/>
        <v>100</v>
      </c>
      <c r="V11" s="1553" t="s">
        <v>8</v>
      </c>
      <c r="W11" s="1554">
        <f t="shared" si="2"/>
        <v>100</v>
      </c>
      <c r="X11" s="1555"/>
      <c r="Y11" s="3347" t="s">
        <v>536</v>
      </c>
      <c r="Z11" s="1146" t="str">
        <f t="shared" ref="Z11:Z17" si="7">Q11</f>
        <v>用途</v>
      </c>
      <c r="AA11" s="1556">
        <f t="shared" si="3"/>
        <v>1</v>
      </c>
      <c r="AB11" s="1556">
        <f t="shared" si="4"/>
        <v>1</v>
      </c>
      <c r="AC11" s="1556">
        <f t="shared" si="5"/>
        <v>1</v>
      </c>
    </row>
    <row r="12" spans="1:30" s="1334" customFormat="1" ht="27">
      <c r="A12" s="2869"/>
      <c r="B12" s="2874" t="s">
        <v>2756</v>
      </c>
      <c r="C12" s="910" t="s">
        <v>3352</v>
      </c>
      <c r="D12" s="255">
        <v>100</v>
      </c>
      <c r="E12" s="910" t="s">
        <v>3352</v>
      </c>
      <c r="F12" s="255">
        <f>ROUND(100/'数据-取费表'!G16,0)</f>
        <v>100</v>
      </c>
      <c r="G12" s="910" t="s">
        <v>3352</v>
      </c>
      <c r="H12" s="255">
        <f>ROUND(100/'数据-取费表'!G16,0)</f>
        <v>100</v>
      </c>
      <c r="I12" s="910" t="s">
        <v>3352</v>
      </c>
      <c r="J12" s="255">
        <f>ROUND(100/'数据-取费表'!G16,0)</f>
        <v>100</v>
      </c>
      <c r="K12" s="531"/>
      <c r="L12" s="2122"/>
      <c r="M12" s="2116"/>
      <c r="N12" s="2116"/>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30" ht="20.25">
      <c r="A13" s="2870"/>
      <c r="B13" s="2874" t="s">
        <v>2757</v>
      </c>
      <c r="C13" s="534">
        <f>'数据-汇总表'!I6</f>
        <v>3</v>
      </c>
      <c r="D13" s="255">
        <v>100</v>
      </c>
      <c r="E13" s="533">
        <f>'[2]比较法-住宅、综合'!$E$13</f>
        <v>1.73</v>
      </c>
      <c r="F13" s="255">
        <f>LOOKUP(E13,82:82,83:83)-LOOKUP(C13,82:82,83:83)+100</f>
        <v>104</v>
      </c>
      <c r="G13" s="533">
        <f>'[2]比较法-住宅、综合'!$G$13</f>
        <v>2.29</v>
      </c>
      <c r="H13" s="255">
        <f>LOOKUP(G13,82:82,83:83)-LOOKUP(C13,82:82,83:83)+100</f>
        <v>102</v>
      </c>
      <c r="I13" s="533">
        <f>'[2]比较法-住宅、综合'!$I$13</f>
        <v>2.4</v>
      </c>
      <c r="J13" s="255">
        <f>LOOKUP(I13,82:82,83:83)-LOOKUP(C13,82:82,83:83)+100</f>
        <v>102</v>
      </c>
      <c r="K13" s="535">
        <f>'[2]比较法-住宅、综合'!$K$13</f>
        <v>2</v>
      </c>
      <c r="L13" s="2124"/>
      <c r="M13" s="2116"/>
      <c r="N13" s="2116"/>
      <c r="O13" s="2125"/>
      <c r="P13" s="3401"/>
      <c r="Q13" s="1147" t="str">
        <f t="shared" si="6"/>
        <v>容积率</v>
      </c>
      <c r="R13" s="1553" t="s">
        <v>8</v>
      </c>
      <c r="S13" s="1554">
        <f t="shared" si="0"/>
        <v>104</v>
      </c>
      <c r="T13" s="1553" t="s">
        <v>8</v>
      </c>
      <c r="U13" s="1554">
        <f t="shared" si="1"/>
        <v>102</v>
      </c>
      <c r="V13" s="1553" t="s">
        <v>8</v>
      </c>
      <c r="W13" s="1554">
        <f t="shared" si="2"/>
        <v>102</v>
      </c>
      <c r="X13" s="1555"/>
      <c r="Y13" s="3347"/>
      <c r="Z13" s="1146" t="str">
        <f t="shared" si="7"/>
        <v>容积率</v>
      </c>
      <c r="AA13" s="1556">
        <f t="shared" si="3"/>
        <v>0.96153846153846156</v>
      </c>
      <c r="AB13" s="1556">
        <f t="shared" si="4"/>
        <v>0.98039215686274506</v>
      </c>
      <c r="AC13" s="1556">
        <f t="shared" si="5"/>
        <v>0.98039215686274506</v>
      </c>
    </row>
    <row r="14" spans="1:30" s="1216" customFormat="1" ht="20.25">
      <c r="A14" s="2867"/>
      <c r="B14" s="2876" t="s">
        <v>2758</v>
      </c>
      <c r="C14" s="2863" t="str">
        <f>C84</f>
        <v>0-10%（含）</v>
      </c>
      <c r="D14" s="538">
        <v>100</v>
      </c>
      <c r="E14" s="3230" t="str">
        <f>D84</f>
        <v>10%-30%（含）</v>
      </c>
      <c r="F14" s="255">
        <f>SUMIF(84:84,E14,85:85)-SUMIF(84:84,C14,85:85)+100</f>
        <v>100</v>
      </c>
      <c r="G14" s="910" t="str">
        <f>D84</f>
        <v>10%-30%（含）</v>
      </c>
      <c r="H14" s="255">
        <f>SUMIF(84:84,G14,85:85)-SUMIF(84:84,C14,85:85)+100</f>
        <v>100</v>
      </c>
      <c r="I14" s="528" t="str">
        <f>D84</f>
        <v>10%-30%（含）</v>
      </c>
      <c r="J14" s="255">
        <f>SUMIF(84:84,I14,85:85)-SUMIF(84:84,C14,85:85)+100</f>
        <v>100</v>
      </c>
      <c r="K14" s="531"/>
      <c r="L14" s="2119"/>
      <c r="M14" s="2116"/>
      <c r="N14" s="2116"/>
      <c r="O14" s="2121"/>
      <c r="P14" s="3401"/>
      <c r="Q14" s="1147" t="str">
        <f t="shared" si="6"/>
        <v>配建</v>
      </c>
      <c r="R14" s="1553" t="s">
        <v>8</v>
      </c>
      <c r="S14" s="1554">
        <f t="shared" si="0"/>
        <v>100</v>
      </c>
      <c r="T14" s="1553" t="s">
        <v>8</v>
      </c>
      <c r="U14" s="1554">
        <f t="shared" si="1"/>
        <v>100</v>
      </c>
      <c r="V14" s="1553" t="s">
        <v>8</v>
      </c>
      <c r="W14" s="1554">
        <f t="shared" si="2"/>
        <v>100</v>
      </c>
      <c r="X14" s="1555"/>
      <c r="Y14" s="3347"/>
      <c r="Z14" s="1146" t="str">
        <f t="shared" si="7"/>
        <v>配建</v>
      </c>
      <c r="AA14" s="1556">
        <f>D14/F14</f>
        <v>1</v>
      </c>
      <c r="AB14" s="1556">
        <f>D14/H14</f>
        <v>1</v>
      </c>
      <c r="AC14" s="1556">
        <f>D14/J14</f>
        <v>1</v>
      </c>
    </row>
    <row r="15" spans="1:30" ht="20.25">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1"/>
      <c r="Q15" s="1147">
        <f t="shared" si="6"/>
        <v>0</v>
      </c>
      <c r="R15" s="1553" t="s">
        <v>8</v>
      </c>
      <c r="S15" s="1554">
        <f t="shared" si="0"/>
        <v>100</v>
      </c>
      <c r="T15" s="1553" t="s">
        <v>8</v>
      </c>
      <c r="U15" s="1554">
        <f t="shared" si="1"/>
        <v>100</v>
      </c>
      <c r="V15" s="1553" t="s">
        <v>8</v>
      </c>
      <c r="W15" s="1554">
        <f t="shared" si="2"/>
        <v>100</v>
      </c>
      <c r="X15" s="1555"/>
      <c r="Y15" s="3347"/>
      <c r="Z15" s="1146">
        <f t="shared" si="7"/>
        <v>0</v>
      </c>
      <c r="AA15" s="1556">
        <f>D15/F15</f>
        <v>1</v>
      </c>
      <c r="AB15" s="1556">
        <f>D15/H15</f>
        <v>1</v>
      </c>
      <c r="AC15" s="1556">
        <f>D15/J15</f>
        <v>1</v>
      </c>
    </row>
    <row r="16" spans="1:30" ht="2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1"/>
      <c r="Q16" s="1147">
        <f t="shared" si="6"/>
        <v>0</v>
      </c>
      <c r="R16" s="1553" t="s">
        <v>8</v>
      </c>
      <c r="S16" s="1554">
        <f t="shared" si="0"/>
        <v>100</v>
      </c>
      <c r="T16" s="1553" t="s">
        <v>8</v>
      </c>
      <c r="U16" s="1554">
        <f t="shared" si="1"/>
        <v>100</v>
      </c>
      <c r="V16" s="1553" t="s">
        <v>8</v>
      </c>
      <c r="W16" s="1554">
        <f t="shared" si="2"/>
        <v>100</v>
      </c>
      <c r="X16" s="1555"/>
      <c r="Y16" s="3347"/>
      <c r="Z16" s="1146">
        <f t="shared" si="7"/>
        <v>0</v>
      </c>
      <c r="AA16" s="1556">
        <f>D16/F16</f>
        <v>1</v>
      </c>
      <c r="AB16" s="1556">
        <f>D16/H16</f>
        <v>1</v>
      </c>
      <c r="AC16" s="1556">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2"/>
      <c r="H17" s="549">
        <f>SUMIF(90:90,G18,91:91)-SUMIF(90:90,C18,91:91)+100</f>
        <v>103</v>
      </c>
      <c r="I17" s="552"/>
      <c r="J17" s="549">
        <f>SUMIF(90:90,I18,91:91)-SUMIF(90:90,C18,91:91)+100</f>
        <v>103</v>
      </c>
      <c r="K17" s="535">
        <f>'[2]比较法-住宅、综合'!$K$17</f>
        <v>3</v>
      </c>
      <c r="L17" s="2126"/>
      <c r="M17" s="2116"/>
      <c r="N17" s="2116"/>
      <c r="O17" s="2125"/>
      <c r="P17" s="3435" t="s">
        <v>540</v>
      </c>
      <c r="Q17" s="1557" t="str">
        <f t="shared" si="6"/>
        <v>居住社区成熟度</v>
      </c>
      <c r="R17" s="1558" t="s">
        <v>8</v>
      </c>
      <c r="S17" s="1559">
        <f t="shared" si="0"/>
        <v>103</v>
      </c>
      <c r="T17" s="1558" t="s">
        <v>8</v>
      </c>
      <c r="U17" s="1559">
        <f t="shared" si="1"/>
        <v>103</v>
      </c>
      <c r="V17" s="1558" t="s">
        <v>8</v>
      </c>
      <c r="W17" s="1559">
        <f t="shared" si="2"/>
        <v>103</v>
      </c>
      <c r="X17" s="1552"/>
      <c r="Y17" s="3435" t="s">
        <v>540</v>
      </c>
      <c r="Z17" s="1560" t="str">
        <f t="shared" si="7"/>
        <v>居住社区成熟度</v>
      </c>
      <c r="AA17" s="1561">
        <f t="shared" si="3"/>
        <v>0.970873786407767</v>
      </c>
      <c r="AB17" s="1561">
        <f t="shared" si="4"/>
        <v>0.970873786407767</v>
      </c>
      <c r="AC17" s="1561">
        <f t="shared" si="5"/>
        <v>0.970873786407767</v>
      </c>
    </row>
    <row r="18" spans="1:29" ht="20.25">
      <c r="A18" s="532"/>
      <c r="B18" s="553"/>
      <c r="C18" s="554" t="s">
        <v>3363</v>
      </c>
      <c r="D18" s="557"/>
      <c r="E18" s="558" t="s">
        <v>3295</v>
      </c>
      <c r="F18" s="555"/>
      <c r="G18" s="558" t="s">
        <v>3295</v>
      </c>
      <c r="H18" s="559"/>
      <c r="I18" s="558" t="s">
        <v>3295</v>
      </c>
      <c r="J18" s="555"/>
      <c r="K18" s="531"/>
      <c r="L18" s="2126"/>
      <c r="M18" s="2116"/>
      <c r="N18" s="2116"/>
      <c r="O18" s="2125"/>
      <c r="P18" s="3436"/>
      <c r="Q18" s="1557"/>
      <c r="R18" s="1558"/>
      <c r="S18" s="1559"/>
      <c r="T18" s="1558"/>
      <c r="U18" s="1559"/>
      <c r="V18" s="1558"/>
      <c r="W18" s="1559"/>
      <c r="X18" s="1552"/>
      <c r="Y18" s="3436"/>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f>'[2]比较法-住宅、综合'!$K$19</f>
        <v>2</v>
      </c>
      <c r="L19" s="2126"/>
      <c r="M19" s="2116"/>
      <c r="N19" s="2116"/>
      <c r="O19" s="2125"/>
      <c r="P19" s="3436"/>
      <c r="Q19" s="1557" t="str">
        <f>B19</f>
        <v>商业繁华度</v>
      </c>
      <c r="R19" s="1558" t="s">
        <v>8</v>
      </c>
      <c r="S19" s="1559">
        <f>F19</f>
        <v>100</v>
      </c>
      <c r="T19" s="1558" t="s">
        <v>8</v>
      </c>
      <c r="U19" s="1559">
        <f>H19</f>
        <v>100</v>
      </c>
      <c r="V19" s="1558" t="s">
        <v>8</v>
      </c>
      <c r="W19" s="1559">
        <f>J19</f>
        <v>100</v>
      </c>
      <c r="X19" s="1552"/>
      <c r="Y19" s="3436"/>
      <c r="Z19" s="1560" t="str">
        <f>Q19</f>
        <v>商业繁华度</v>
      </c>
      <c r="AA19" s="1561">
        <f t="shared" si="3"/>
        <v>1</v>
      </c>
      <c r="AB19" s="1561">
        <f t="shared" si="4"/>
        <v>1</v>
      </c>
      <c r="AC19" s="1561">
        <f t="shared" si="5"/>
        <v>1</v>
      </c>
    </row>
    <row r="20" spans="1:29" ht="20.25">
      <c r="A20" s="532"/>
      <c r="B20" s="566"/>
      <c r="C20" s="567" t="s">
        <v>3363</v>
      </c>
      <c r="D20" s="563"/>
      <c r="E20" s="567" t="s">
        <v>3363</v>
      </c>
      <c r="F20" s="559"/>
      <c r="G20" s="567" t="s">
        <v>3363</v>
      </c>
      <c r="H20" s="555"/>
      <c r="I20" s="567" t="s">
        <v>3363</v>
      </c>
      <c r="J20" s="555"/>
      <c r="K20" s="531"/>
      <c r="L20" s="2126"/>
      <c r="M20" s="2116"/>
      <c r="N20" s="2116"/>
      <c r="O20" s="2125"/>
      <c r="P20" s="3436"/>
      <c r="Q20" s="1557"/>
      <c r="R20" s="1558"/>
      <c r="S20" s="1559"/>
      <c r="T20" s="1558"/>
      <c r="U20" s="1559"/>
      <c r="V20" s="1558"/>
      <c r="W20" s="1559"/>
      <c r="X20" s="1552"/>
      <c r="Y20" s="3436"/>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6"/>
      <c r="M21" s="2116"/>
      <c r="N21" s="2116"/>
      <c r="O21" s="2125"/>
      <c r="P21" s="3436"/>
      <c r="Q21" s="1557" t="str">
        <f>B21</f>
        <v>办公集聚程度</v>
      </c>
      <c r="R21" s="1558" t="s">
        <v>8</v>
      </c>
      <c r="S21" s="1559">
        <f>F21</f>
        <v>100</v>
      </c>
      <c r="T21" s="1558" t="s">
        <v>8</v>
      </c>
      <c r="U21" s="1559">
        <f>H21</f>
        <v>100</v>
      </c>
      <c r="V21" s="1558" t="s">
        <v>8</v>
      </c>
      <c r="W21" s="1559">
        <f>J21</f>
        <v>100</v>
      </c>
      <c r="X21" s="1552"/>
      <c r="Y21" s="3436"/>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436"/>
      <c r="Q22" s="1557"/>
      <c r="R22" s="1558"/>
      <c r="S22" s="1559"/>
      <c r="T22" s="1558"/>
      <c r="U22" s="1559"/>
      <c r="V22" s="1558"/>
      <c r="W22" s="1559"/>
      <c r="X22" s="1552"/>
      <c r="Y22" s="3436"/>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'[2]比较法-住宅、综合'!$K$23</f>
        <v>3</v>
      </c>
      <c r="L23" s="2126"/>
      <c r="M23" s="2116"/>
      <c r="N23" s="2116"/>
      <c r="O23" s="2125"/>
      <c r="P23" s="3436"/>
      <c r="Q23" s="1557" t="str">
        <f>B23</f>
        <v>交通便捷度</v>
      </c>
      <c r="R23" s="1558" t="s">
        <v>8</v>
      </c>
      <c r="S23" s="1559">
        <f>F23</f>
        <v>100</v>
      </c>
      <c r="T23" s="1558" t="s">
        <v>8</v>
      </c>
      <c r="U23" s="1559">
        <f>H23</f>
        <v>100</v>
      </c>
      <c r="V23" s="1558" t="s">
        <v>8</v>
      </c>
      <c r="W23" s="1559">
        <f>J23</f>
        <v>100</v>
      </c>
      <c r="X23" s="1552"/>
      <c r="Y23" s="3436"/>
      <c r="Z23" s="1560" t="str">
        <f>Q23</f>
        <v>交通便捷度</v>
      </c>
      <c r="AA23" s="1561">
        <f t="shared" si="3"/>
        <v>1</v>
      </c>
      <c r="AB23" s="1561">
        <f t="shared" si="4"/>
        <v>1</v>
      </c>
      <c r="AC23" s="1561">
        <f t="shared" si="5"/>
        <v>1</v>
      </c>
    </row>
    <row r="24" spans="1:29" ht="20.25">
      <c r="A24" s="532"/>
      <c r="B24" s="578"/>
      <c r="C24" s="554" t="s">
        <v>3295</v>
      </c>
      <c r="D24" s="557"/>
      <c r="E24" s="558" t="s">
        <v>3295</v>
      </c>
      <c r="F24" s="555"/>
      <c r="G24" s="558" t="s">
        <v>3295</v>
      </c>
      <c r="H24" s="555"/>
      <c r="I24" s="558" t="s">
        <v>3295</v>
      </c>
      <c r="J24" s="555"/>
      <c r="K24" s="531"/>
      <c r="L24" s="2126"/>
      <c r="M24" s="2116"/>
      <c r="N24" s="2116"/>
      <c r="O24" s="2125"/>
      <c r="P24" s="3436"/>
      <c r="Q24" s="1557"/>
      <c r="R24" s="1558"/>
      <c r="S24" s="1559"/>
      <c r="T24" s="1558"/>
      <c r="U24" s="1559"/>
      <c r="V24" s="1558"/>
      <c r="W24" s="1559"/>
      <c r="X24" s="1552"/>
      <c r="Y24" s="3436"/>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'[2]比较法-住宅、综合'!$K$25</f>
        <v>5</v>
      </c>
      <c r="L25" s="2126"/>
      <c r="M25" s="2116"/>
      <c r="N25" s="2116"/>
      <c r="O25" s="2125"/>
      <c r="P25" s="3436"/>
      <c r="Q25" s="1557" t="str">
        <f t="shared" ref="Q25:Q39" si="8">B25</f>
        <v>区域土地利用方向</v>
      </c>
      <c r="R25" s="1558" t="s">
        <v>8</v>
      </c>
      <c r="S25" s="1559">
        <f>F25</f>
        <v>100</v>
      </c>
      <c r="T25" s="1558" t="s">
        <v>8</v>
      </c>
      <c r="U25" s="1559">
        <f>H25</f>
        <v>100</v>
      </c>
      <c r="V25" s="1558" t="s">
        <v>8</v>
      </c>
      <c r="W25" s="1559">
        <f>J25</f>
        <v>100</v>
      </c>
      <c r="X25" s="1552"/>
      <c r="Y25" s="3436"/>
      <c r="Z25" s="1560" t="str">
        <f>Q25</f>
        <v>区域土地利用方向</v>
      </c>
      <c r="AA25" s="1561">
        <f t="shared" si="3"/>
        <v>1</v>
      </c>
      <c r="AB25" s="1561">
        <f t="shared" si="4"/>
        <v>1</v>
      </c>
      <c r="AC25" s="1561">
        <f t="shared" si="5"/>
        <v>1</v>
      </c>
    </row>
    <row r="26" spans="1:29" ht="20.25">
      <c r="A26" s="515"/>
      <c r="B26" s="1007"/>
      <c r="C26" s="554" t="s">
        <v>3294</v>
      </c>
      <c r="D26" s="557"/>
      <c r="E26" s="558" t="s">
        <v>3294</v>
      </c>
      <c r="F26" s="555"/>
      <c r="G26" s="558" t="s">
        <v>3294</v>
      </c>
      <c r="H26" s="555"/>
      <c r="I26" s="558" t="s">
        <v>3294</v>
      </c>
      <c r="J26" s="555"/>
      <c r="K26" s="531"/>
      <c r="L26" s="2126"/>
      <c r="M26" s="2116"/>
      <c r="N26" s="2116"/>
      <c r="O26" s="2125"/>
      <c r="P26" s="3436"/>
      <c r="Q26" s="1557"/>
      <c r="R26" s="1558"/>
      <c r="S26" s="1559"/>
      <c r="T26" s="1558"/>
      <c r="U26" s="1559"/>
      <c r="V26" s="1558"/>
      <c r="W26" s="1559"/>
      <c r="X26" s="1552"/>
      <c r="Y26" s="3436"/>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'[2]比较法-住宅、综合'!$K$27</f>
        <v>3</v>
      </c>
      <c r="L27" s="2126"/>
      <c r="M27" s="2116"/>
      <c r="N27" s="2116"/>
      <c r="O27" s="2125"/>
      <c r="P27" s="3436"/>
      <c r="Q27" s="1557" t="str">
        <f t="shared" si="8"/>
        <v>自然及人文环境状况</v>
      </c>
      <c r="R27" s="1558" t="s">
        <v>8</v>
      </c>
      <c r="S27" s="1559">
        <f>F27</f>
        <v>100</v>
      </c>
      <c r="T27" s="1558" t="s">
        <v>8</v>
      </c>
      <c r="U27" s="1559">
        <f>H27</f>
        <v>100</v>
      </c>
      <c r="V27" s="1558" t="s">
        <v>8</v>
      </c>
      <c r="W27" s="1559">
        <f>J27</f>
        <v>100</v>
      </c>
      <c r="X27" s="1552"/>
      <c r="Y27" s="3436"/>
      <c r="Z27" s="1560" t="str">
        <f>Q27</f>
        <v>自然及人文环境状况</v>
      </c>
      <c r="AA27" s="1561">
        <f t="shared" si="3"/>
        <v>1</v>
      </c>
      <c r="AB27" s="1561">
        <f t="shared" si="4"/>
        <v>1</v>
      </c>
      <c r="AC27" s="1561">
        <f t="shared" si="5"/>
        <v>1</v>
      </c>
    </row>
    <row r="28" spans="1:29" ht="20.25">
      <c r="A28" s="515"/>
      <c r="B28" s="566"/>
      <c r="C28" s="554" t="s">
        <v>3294</v>
      </c>
      <c r="D28" s="557"/>
      <c r="E28" s="576" t="s">
        <v>3294</v>
      </c>
      <c r="F28" s="555"/>
      <c r="G28" s="576" t="s">
        <v>3294</v>
      </c>
      <c r="H28" s="555"/>
      <c r="I28" s="576" t="s">
        <v>3294</v>
      </c>
      <c r="J28" s="555"/>
      <c r="K28" s="531"/>
      <c r="L28" s="2126"/>
      <c r="M28" s="2116"/>
      <c r="N28" s="2116"/>
      <c r="O28" s="2125"/>
      <c r="P28" s="3436"/>
      <c r="Q28" s="1557"/>
      <c r="R28" s="1558"/>
      <c r="S28" s="1559"/>
      <c r="T28" s="1558"/>
      <c r="U28" s="1559"/>
      <c r="V28" s="1558"/>
      <c r="W28" s="1559"/>
      <c r="X28" s="1552"/>
      <c r="Y28" s="3436"/>
      <c r="Z28" s="1560"/>
      <c r="AA28" s="1561">
        <v>1</v>
      </c>
      <c r="AB28" s="1561">
        <v>1</v>
      </c>
      <c r="AC28" s="1561">
        <v>1</v>
      </c>
    </row>
    <row r="29" spans="1:29" s="1216" customFormat="1" ht="42.75">
      <c r="A29" s="577"/>
      <c r="B29" s="2554"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'[2]比较法-住宅、综合'!$K$29</f>
        <v>3</v>
      </c>
      <c r="L29" s="2119"/>
      <c r="M29" s="2116"/>
      <c r="N29" s="2116"/>
      <c r="O29" s="2121"/>
      <c r="P29" s="3436"/>
      <c r="Q29" s="1147" t="str">
        <f t="shared" si="8"/>
        <v>公共配套设施</v>
      </c>
      <c r="R29" s="1553" t="s">
        <v>8</v>
      </c>
      <c r="S29" s="1554">
        <f>F29</f>
        <v>100</v>
      </c>
      <c r="T29" s="1553" t="s">
        <v>8</v>
      </c>
      <c r="U29" s="1554">
        <f>H29</f>
        <v>100</v>
      </c>
      <c r="V29" s="1553" t="s">
        <v>8</v>
      </c>
      <c r="W29" s="1554">
        <f>J29</f>
        <v>100</v>
      </c>
      <c r="X29" s="1555"/>
      <c r="Y29" s="3436"/>
      <c r="Z29" s="1146" t="str">
        <f>Q29</f>
        <v>公共配套设施</v>
      </c>
      <c r="AA29" s="1561">
        <f>D29/F29</f>
        <v>1</v>
      </c>
      <c r="AB29" s="1561">
        <f>D29/H29</f>
        <v>1</v>
      </c>
      <c r="AC29" s="1561">
        <f>D29/J29</f>
        <v>1</v>
      </c>
    </row>
    <row r="30" spans="1:29" s="1216" customFormat="1" ht="20.25">
      <c r="A30" s="577"/>
      <c r="B30" s="566"/>
      <c r="C30" s="579" t="s">
        <v>3295</v>
      </c>
      <c r="D30" s="557"/>
      <c r="E30" s="576" t="s">
        <v>3295</v>
      </c>
      <c r="F30" s="555"/>
      <c r="G30" s="576" t="s">
        <v>3295</v>
      </c>
      <c r="H30" s="555"/>
      <c r="I30" s="576" t="s">
        <v>3295</v>
      </c>
      <c r="J30" s="555"/>
      <c r="K30" s="531"/>
      <c r="L30" s="2119"/>
      <c r="M30" s="2116"/>
      <c r="N30" s="2116"/>
      <c r="O30" s="2121"/>
      <c r="P30" s="3436"/>
      <c r="Q30" s="1147"/>
      <c r="R30" s="1553"/>
      <c r="S30" s="1554"/>
      <c r="T30" s="1553"/>
      <c r="U30" s="1554"/>
      <c r="V30" s="1553"/>
      <c r="W30" s="1554"/>
      <c r="X30" s="1555"/>
      <c r="Y30" s="3436"/>
      <c r="Z30" s="1146"/>
      <c r="AA30" s="1561">
        <v>1</v>
      </c>
      <c r="AB30" s="1561">
        <v>1</v>
      </c>
      <c r="AC30" s="1561">
        <v>1</v>
      </c>
    </row>
    <row r="31" spans="1:29" s="1216" customFormat="1" ht="28.5">
      <c r="A31" s="577"/>
      <c r="B31" s="2554"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'[2]比较法-住宅、综合'!$K$31</f>
        <v>2</v>
      </c>
      <c r="L31" s="2119"/>
      <c r="M31" s="2116"/>
      <c r="N31" s="2116"/>
      <c r="O31" s="2121"/>
      <c r="P31" s="3436"/>
      <c r="Q31" s="2541" t="str">
        <f t="shared" ref="Q31" si="9">B31</f>
        <v>基础设施水平</v>
      </c>
      <c r="R31" s="1553" t="s">
        <v>8</v>
      </c>
      <c r="S31" s="1554">
        <f>F31</f>
        <v>100</v>
      </c>
      <c r="T31" s="1553" t="s">
        <v>8</v>
      </c>
      <c r="U31" s="1554">
        <f>H31</f>
        <v>100</v>
      </c>
      <c r="V31" s="1553" t="s">
        <v>8</v>
      </c>
      <c r="W31" s="1554">
        <f>J31</f>
        <v>100</v>
      </c>
      <c r="X31" s="1555"/>
      <c r="Y31" s="3436"/>
      <c r="Z31" s="2538" t="str">
        <f>Q31</f>
        <v>基础设施水平</v>
      </c>
      <c r="AA31" s="1561">
        <f>D31/F31</f>
        <v>1</v>
      </c>
      <c r="AB31" s="1561">
        <f>D31/H31</f>
        <v>1</v>
      </c>
      <c r="AC31" s="1561">
        <f>D31/J31</f>
        <v>1</v>
      </c>
    </row>
    <row r="32" spans="1:29" s="1216" customFormat="1" ht="20.25">
      <c r="A32" s="577"/>
      <c r="B32" s="566"/>
      <c r="C32" s="579" t="s">
        <v>3283</v>
      </c>
      <c r="D32" s="557"/>
      <c r="E32" s="579" t="s">
        <v>3283</v>
      </c>
      <c r="F32" s="555"/>
      <c r="G32" s="579" t="s">
        <v>3283</v>
      </c>
      <c r="H32" s="555"/>
      <c r="I32" s="579" t="s">
        <v>3283</v>
      </c>
      <c r="J32" s="555"/>
      <c r="K32" s="531"/>
      <c r="L32" s="2119"/>
      <c r="M32" s="2116"/>
      <c r="N32" s="2116"/>
      <c r="O32" s="2121"/>
      <c r="P32" s="3436"/>
      <c r="Q32" s="2541"/>
      <c r="R32" s="1553"/>
      <c r="S32" s="1554"/>
      <c r="T32" s="1553"/>
      <c r="U32" s="1554"/>
      <c r="V32" s="1553"/>
      <c r="W32" s="1554"/>
      <c r="X32" s="1555"/>
      <c r="Y32" s="3436"/>
      <c r="Z32" s="2538"/>
      <c r="AA32" s="1561">
        <v>1</v>
      </c>
      <c r="AB32" s="1561">
        <v>1</v>
      </c>
      <c r="AC32" s="1561">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26"/>
      <c r="M33" s="2116"/>
      <c r="N33" s="2116"/>
      <c r="O33" s="2125"/>
      <c r="P33" s="343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6"/>
      <c r="Z33" s="1560" t="str">
        <f t="shared" ref="Z33:Z47" si="13">Q33</f>
        <v>临街状况</v>
      </c>
      <c r="AA33" s="1561">
        <f t="shared" si="3"/>
        <v>1</v>
      </c>
      <c r="AB33" s="1561">
        <f t="shared" si="4"/>
        <v>1</v>
      </c>
      <c r="AC33" s="1561">
        <f t="shared" si="5"/>
        <v>1</v>
      </c>
    </row>
    <row r="34" spans="1:29" ht="27">
      <c r="A34" s="532"/>
      <c r="B34" s="578" t="s">
        <v>548</v>
      </c>
      <c r="C34" s="3228" t="s">
        <v>3361</v>
      </c>
      <c r="D34" s="563">
        <v>100</v>
      </c>
      <c r="E34" s="564"/>
      <c r="F34" s="559">
        <f>SUMIF(108:108,E35,109:109)-SUMIF(108:108,C35,109:109)+100</f>
        <v>100</v>
      </c>
      <c r="G34" s="564"/>
      <c r="H34" s="559">
        <f>SUMIF(108:108,G35,109:109)-SUMIF(108:108,C35,109:109)+100</f>
        <v>100</v>
      </c>
      <c r="I34" s="564"/>
      <c r="J34" s="559">
        <f>SUMIF(108:108,I35,109:109)-SUMIF(108:108,C35,109:109)+100</f>
        <v>100</v>
      </c>
      <c r="K34" s="535">
        <f>'[2]比较法-住宅、综合'!$K$34</f>
        <v>2</v>
      </c>
      <c r="L34" s="2126"/>
      <c r="M34" s="2116"/>
      <c r="N34" s="2116"/>
      <c r="O34" s="2125"/>
      <c r="P34" s="3436"/>
      <c r="Q34" s="1557" t="str">
        <f t="shared" si="8"/>
        <v>毗邻道路的类型与等级</v>
      </c>
      <c r="R34" s="1558" t="s">
        <v>8</v>
      </c>
      <c r="S34" s="1559">
        <f t="shared" si="10"/>
        <v>100</v>
      </c>
      <c r="T34" s="1558" t="s">
        <v>8</v>
      </c>
      <c r="U34" s="1559">
        <f t="shared" si="11"/>
        <v>100</v>
      </c>
      <c r="V34" s="1558" t="s">
        <v>8</v>
      </c>
      <c r="W34" s="1559">
        <f t="shared" si="12"/>
        <v>100</v>
      </c>
      <c r="X34" s="1552"/>
      <c r="Y34" s="3436"/>
      <c r="Z34" s="1560" t="str">
        <f t="shared" si="13"/>
        <v>毗邻道路的类型与等级</v>
      </c>
      <c r="AA34" s="1561">
        <f t="shared" si="3"/>
        <v>1</v>
      </c>
      <c r="AB34" s="1561">
        <f t="shared" si="4"/>
        <v>1</v>
      </c>
      <c r="AC34" s="1561">
        <f t="shared" si="5"/>
        <v>1</v>
      </c>
    </row>
    <row r="35" spans="1:29" ht="20.25">
      <c r="A35" s="532"/>
      <c r="B35" s="566"/>
      <c r="C35" s="554" t="s">
        <v>3362</v>
      </c>
      <c r="D35" s="557"/>
      <c r="E35" s="554" t="s">
        <v>3362</v>
      </c>
      <c r="F35" s="555"/>
      <c r="G35" s="554" t="s">
        <v>3362</v>
      </c>
      <c r="H35" s="555"/>
      <c r="I35" s="554" t="s">
        <v>3362</v>
      </c>
      <c r="J35" s="555"/>
      <c r="K35" s="581"/>
      <c r="L35" s="2126"/>
      <c r="M35" s="2116"/>
      <c r="N35" s="2116"/>
      <c r="O35" s="2125"/>
      <c r="P35" s="3436"/>
      <c r="Q35" s="1557"/>
      <c r="R35" s="1558"/>
      <c r="S35" s="1559"/>
      <c r="T35" s="1558"/>
      <c r="U35" s="1559"/>
      <c r="V35" s="1558"/>
      <c r="W35" s="1559"/>
      <c r="X35" s="1552"/>
      <c r="Y35" s="3436"/>
      <c r="Z35" s="1560"/>
      <c r="AA35" s="1561">
        <v>1</v>
      </c>
      <c r="AB35" s="1561">
        <v>1</v>
      </c>
      <c r="AC35" s="1561">
        <v>1</v>
      </c>
    </row>
    <row r="36" spans="1:29" ht="20.25">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26"/>
      <c r="M36" s="2116"/>
      <c r="N36" s="2116"/>
      <c r="O36" s="2125"/>
      <c r="P36" s="3436"/>
      <c r="Q36" s="1557" t="str">
        <f t="shared" si="8"/>
        <v>土地级别</v>
      </c>
      <c r="R36" s="1558" t="s">
        <v>8</v>
      </c>
      <c r="S36" s="1559">
        <f t="shared" si="10"/>
        <v>100</v>
      </c>
      <c r="T36" s="1558" t="s">
        <v>8</v>
      </c>
      <c r="U36" s="1559">
        <f t="shared" si="11"/>
        <v>100</v>
      </c>
      <c r="V36" s="1558" t="s">
        <v>8</v>
      </c>
      <c r="W36" s="1559">
        <f t="shared" si="12"/>
        <v>100</v>
      </c>
      <c r="X36" s="1552"/>
      <c r="Y36" s="3436"/>
      <c r="Z36" s="1560" t="str">
        <f t="shared" si="13"/>
        <v>土地级别</v>
      </c>
      <c r="AA36" s="1561">
        <f t="shared" si="3"/>
        <v>1</v>
      </c>
      <c r="AB36" s="1561">
        <f t="shared" si="4"/>
        <v>1</v>
      </c>
      <c r="AC36" s="1561">
        <f t="shared" si="5"/>
        <v>1</v>
      </c>
    </row>
    <row r="37" spans="1:29" ht="20.25">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26"/>
      <c r="M37" s="2116"/>
      <c r="N37" s="2116"/>
      <c r="O37" s="2125"/>
      <c r="P37" s="3436"/>
      <c r="Q37" s="1557">
        <f t="shared" si="8"/>
        <v>0</v>
      </c>
      <c r="R37" s="1558" t="s">
        <v>8</v>
      </c>
      <c r="S37" s="1559">
        <f t="shared" si="10"/>
        <v>100</v>
      </c>
      <c r="T37" s="1558" t="s">
        <v>8</v>
      </c>
      <c r="U37" s="1559">
        <f t="shared" si="11"/>
        <v>100</v>
      </c>
      <c r="V37" s="1558" t="s">
        <v>8</v>
      </c>
      <c r="W37" s="1559">
        <f t="shared" si="12"/>
        <v>100</v>
      </c>
      <c r="X37" s="1552"/>
      <c r="Y37" s="3436"/>
      <c r="Z37" s="1560">
        <f t="shared" si="13"/>
        <v>0</v>
      </c>
      <c r="AA37" s="1561">
        <f t="shared" si="3"/>
        <v>1</v>
      </c>
      <c r="AB37" s="1561">
        <f t="shared" si="4"/>
        <v>1</v>
      </c>
      <c r="AC37" s="1561">
        <f t="shared" si="5"/>
        <v>1</v>
      </c>
    </row>
    <row r="38" spans="1:29" ht="20.25">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26"/>
      <c r="M38" s="2116"/>
      <c r="N38" s="2116"/>
      <c r="O38" s="2125"/>
      <c r="P38" s="3437" t="s">
        <v>550</v>
      </c>
      <c r="Q38" s="1557">
        <f t="shared" si="8"/>
        <v>0</v>
      </c>
      <c r="R38" s="1558" t="s">
        <v>8</v>
      </c>
      <c r="S38" s="1559">
        <f t="shared" si="10"/>
        <v>100</v>
      </c>
      <c r="T38" s="1558" t="s">
        <v>8</v>
      </c>
      <c r="U38" s="1559">
        <f t="shared" si="11"/>
        <v>100</v>
      </c>
      <c r="V38" s="1558" t="s">
        <v>8</v>
      </c>
      <c r="W38" s="1559">
        <f t="shared" si="12"/>
        <v>100</v>
      </c>
      <c r="X38" s="1552"/>
      <c r="Y38" s="3438" t="s">
        <v>550</v>
      </c>
      <c r="Z38" s="1560">
        <f t="shared" si="13"/>
        <v>0</v>
      </c>
      <c r="AA38" s="1561">
        <f t="shared" si="3"/>
        <v>1</v>
      </c>
      <c r="AB38" s="1561">
        <f t="shared" si="4"/>
        <v>1</v>
      </c>
      <c r="AC38" s="1561">
        <f t="shared" si="5"/>
        <v>1</v>
      </c>
    </row>
    <row r="39" spans="1:29" s="1335" customFormat="1" ht="2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24"/>
      <c r="M39" s="2116"/>
      <c r="N39" s="2116"/>
      <c r="O39" s="2127"/>
      <c r="P39" s="3438"/>
      <c r="Q39" s="1557">
        <f t="shared" si="8"/>
        <v>0</v>
      </c>
      <c r="R39" s="1562" t="s">
        <v>8</v>
      </c>
      <c r="S39" s="1563">
        <f t="shared" si="10"/>
        <v>100</v>
      </c>
      <c r="T39" s="1562" t="s">
        <v>8</v>
      </c>
      <c r="U39" s="1563">
        <f t="shared" si="11"/>
        <v>100</v>
      </c>
      <c r="V39" s="1562" t="s">
        <v>8</v>
      </c>
      <c r="W39" s="1563">
        <f t="shared" si="12"/>
        <v>100</v>
      </c>
      <c r="X39" s="1564"/>
      <c r="Y39" s="3438"/>
      <c r="Z39" s="1565">
        <f t="shared" si="13"/>
        <v>0</v>
      </c>
      <c r="AA39" s="1561">
        <f t="shared" si="3"/>
        <v>1</v>
      </c>
      <c r="AB39" s="1561">
        <f t="shared" si="4"/>
        <v>1</v>
      </c>
      <c r="AC39" s="1561">
        <f t="shared" si="5"/>
        <v>1</v>
      </c>
    </row>
    <row r="40" spans="1:29" ht="20.25">
      <c r="A40" s="2861" t="s">
        <v>2754</v>
      </c>
      <c r="B40" s="595" t="s">
        <v>552</v>
      </c>
      <c r="C40" s="596">
        <f>'数据-汇总表'!D3</f>
        <v>96343</v>
      </c>
      <c r="D40" s="597">
        <v>100</v>
      </c>
      <c r="E40" s="596">
        <f>'[2]比较法-住宅、综合'!$E$40</f>
        <v>60556</v>
      </c>
      <c r="F40" s="597">
        <f>LOOKUP(E40,119:119,120:120)-LOOKUP(C40,119:119,120:120)+100</f>
        <v>100</v>
      </c>
      <c r="G40" s="596">
        <f>'[2]比较法-住宅、综合'!$G$40</f>
        <v>40274</v>
      </c>
      <c r="H40" s="597">
        <f>LOOKUP(G40,119:119,120:120)-LOOKUP(C40,119:119,120:120)+100</f>
        <v>99.5</v>
      </c>
      <c r="I40" s="598">
        <f>'[2]比较法-住宅、综合'!$I$40</f>
        <v>32353</v>
      </c>
      <c r="J40" s="597">
        <f>LOOKUP(I40,119:119,120:120)-LOOKUP(C40,119:119,120:120)+100</f>
        <v>99.5</v>
      </c>
      <c r="K40" s="581"/>
      <c r="L40" s="2126"/>
      <c r="M40" s="2116"/>
      <c r="N40" s="2116"/>
      <c r="O40" s="2125"/>
      <c r="P40" s="3438"/>
      <c r="Q40" s="1557" t="str">
        <f>B40</f>
        <v>宗地面积</v>
      </c>
      <c r="R40" s="1558" t="s">
        <v>8</v>
      </c>
      <c r="S40" s="1559">
        <f t="shared" si="10"/>
        <v>100</v>
      </c>
      <c r="T40" s="1558" t="s">
        <v>8</v>
      </c>
      <c r="U40" s="1559">
        <f t="shared" si="11"/>
        <v>99.5</v>
      </c>
      <c r="V40" s="1558" t="s">
        <v>8</v>
      </c>
      <c r="W40" s="1559">
        <f t="shared" si="12"/>
        <v>99.5</v>
      </c>
      <c r="X40" s="1552"/>
      <c r="Y40" s="3438"/>
      <c r="Z40" s="1560" t="str">
        <f t="shared" si="13"/>
        <v>宗地面积</v>
      </c>
      <c r="AA40" s="1561">
        <f t="shared" si="3"/>
        <v>1</v>
      </c>
      <c r="AB40" s="1561">
        <f t="shared" si="4"/>
        <v>1.0050251256281406</v>
      </c>
      <c r="AC40" s="1561">
        <f t="shared" si="5"/>
        <v>1.0050251256281406</v>
      </c>
    </row>
    <row r="41" spans="1:29" ht="20.25">
      <c r="A41" s="594"/>
      <c r="B41" s="527" t="s">
        <v>553</v>
      </c>
      <c r="C41" s="599" t="s">
        <v>3353</v>
      </c>
      <c r="D41" s="540">
        <v>100</v>
      </c>
      <c r="E41" s="599" t="s">
        <v>3353</v>
      </c>
      <c r="F41" s="540">
        <f>SUMIF(121:121,E41,122:122)-SUMIF(121:121,C41,122:122)+100</f>
        <v>100</v>
      </c>
      <c r="G41" s="599" t="s">
        <v>3353</v>
      </c>
      <c r="H41" s="540">
        <f>SUMIF(121:121,G41,122:122)-SUMIF(121:121,C41,122:122)+100</f>
        <v>100</v>
      </c>
      <c r="I41" s="599" t="s">
        <v>3353</v>
      </c>
      <c r="J41" s="540">
        <f>SUMIF(121:121,I41,122:122)-SUMIF(121:121,C41,122:122)+100</f>
        <v>100</v>
      </c>
      <c r="K41" s="584">
        <v>2</v>
      </c>
      <c r="L41" s="2126"/>
      <c r="M41" s="2116"/>
      <c r="N41" s="2116"/>
      <c r="O41" s="2125"/>
      <c r="P41" s="3438"/>
      <c r="Q41" s="1557" t="str">
        <f t="shared" ref="Q41:Q47" si="14">B41</f>
        <v>宗地形状</v>
      </c>
      <c r="R41" s="1558" t="s">
        <v>8</v>
      </c>
      <c r="S41" s="1559">
        <f t="shared" si="10"/>
        <v>100</v>
      </c>
      <c r="T41" s="1558" t="s">
        <v>8</v>
      </c>
      <c r="U41" s="1559">
        <f t="shared" si="11"/>
        <v>100</v>
      </c>
      <c r="V41" s="1558" t="s">
        <v>8</v>
      </c>
      <c r="W41" s="1559">
        <f t="shared" si="12"/>
        <v>100</v>
      </c>
      <c r="X41" s="1552"/>
      <c r="Y41" s="3438"/>
      <c r="Z41" s="1560" t="str">
        <f t="shared" si="13"/>
        <v>宗地形状</v>
      </c>
      <c r="AA41" s="1561">
        <f t="shared" si="3"/>
        <v>1</v>
      </c>
      <c r="AB41" s="1561">
        <f t="shared" si="4"/>
        <v>1</v>
      </c>
      <c r="AC41" s="1561">
        <f t="shared" si="5"/>
        <v>1</v>
      </c>
    </row>
    <row r="42" spans="1:29" ht="20.25">
      <c r="A42" s="594"/>
      <c r="B42" s="527" t="s">
        <v>554</v>
      </c>
      <c r="C42" s="599" t="s">
        <v>3355</v>
      </c>
      <c r="D42" s="540">
        <v>100</v>
      </c>
      <c r="E42" s="599" t="s">
        <v>3355</v>
      </c>
      <c r="F42" s="540">
        <f>SUMIF(123:123,E42,124:124)-SUMIF(123:123,C42,124:124)+100</f>
        <v>100</v>
      </c>
      <c r="G42" s="599" t="s">
        <v>3355</v>
      </c>
      <c r="H42" s="540">
        <f>SUMIF(123:123,G42,124:124)-SUMIF(123:123,C42,124:124)+100</f>
        <v>100</v>
      </c>
      <c r="I42" s="599" t="s">
        <v>3355</v>
      </c>
      <c r="J42" s="540">
        <f>SUMIF(123:123,I42,124:124)-SUMIF(123:123,C42,124:124)+100</f>
        <v>100</v>
      </c>
      <c r="K42" s="584">
        <v>2</v>
      </c>
      <c r="L42" s="2126"/>
      <c r="M42" s="2116"/>
      <c r="N42" s="2116"/>
      <c r="O42" s="2125"/>
      <c r="P42" s="3438"/>
      <c r="Q42" s="1557" t="str">
        <f t="shared" si="14"/>
        <v>临街宽度及深度</v>
      </c>
      <c r="R42" s="1558" t="s">
        <v>8</v>
      </c>
      <c r="S42" s="1559">
        <f t="shared" si="10"/>
        <v>100</v>
      </c>
      <c r="T42" s="1558" t="s">
        <v>8</v>
      </c>
      <c r="U42" s="1559">
        <f t="shared" si="11"/>
        <v>100</v>
      </c>
      <c r="V42" s="1558" t="s">
        <v>8</v>
      </c>
      <c r="W42" s="1559">
        <f t="shared" si="12"/>
        <v>100</v>
      </c>
      <c r="X42" s="1552"/>
      <c r="Y42" s="3438"/>
      <c r="Z42" s="1560" t="str">
        <f t="shared" si="13"/>
        <v>临街宽度及深度</v>
      </c>
      <c r="AA42" s="1561">
        <f t="shared" si="3"/>
        <v>1</v>
      </c>
      <c r="AB42" s="1561">
        <f t="shared" si="4"/>
        <v>1</v>
      </c>
      <c r="AC42" s="1561">
        <f t="shared" si="5"/>
        <v>1</v>
      </c>
    </row>
    <row r="43" spans="1:29" s="1216" customFormat="1" ht="20.25">
      <c r="A43" s="600"/>
      <c r="B43" s="1879" t="s">
        <v>2424</v>
      </c>
      <c r="C43" s="601" t="s">
        <v>3357</v>
      </c>
      <c r="D43" s="255">
        <v>100</v>
      </c>
      <c r="E43" s="601" t="s">
        <v>3357</v>
      </c>
      <c r="F43" s="540">
        <f>SUMIF(125:125,E43,126:126)-SUMIF(125:125,C43,126:126)+100</f>
        <v>100</v>
      </c>
      <c r="G43" s="601" t="s">
        <v>3357</v>
      </c>
      <c r="H43" s="540">
        <f>SUMIF(125:125,G43,126:126)-SUMIF(125:125,C43,126:126)+100</f>
        <v>100</v>
      </c>
      <c r="I43" s="601" t="s">
        <v>3357</v>
      </c>
      <c r="J43" s="540">
        <f>SUMIF(125:125,I43,126:126)-SUMIF(125:125,C43,126:126)+100</f>
        <v>100</v>
      </c>
      <c r="K43" s="584">
        <v>2</v>
      </c>
      <c r="L43" s="2119"/>
      <c r="M43" s="2116"/>
      <c r="N43" s="2116"/>
      <c r="O43" s="2121"/>
      <c r="P43" s="3438"/>
      <c r="Q43" s="1557" t="str">
        <f t="shared" si="14"/>
        <v>宗地开发程度</v>
      </c>
      <c r="R43" s="1553" t="s">
        <v>8</v>
      </c>
      <c r="S43" s="1554">
        <f t="shared" si="10"/>
        <v>100</v>
      </c>
      <c r="T43" s="1553" t="s">
        <v>8</v>
      </c>
      <c r="U43" s="1554">
        <f t="shared" si="11"/>
        <v>100</v>
      </c>
      <c r="V43" s="1553" t="s">
        <v>8</v>
      </c>
      <c r="W43" s="1554">
        <f t="shared" si="12"/>
        <v>100</v>
      </c>
      <c r="X43" s="1555"/>
      <c r="Y43" s="3438"/>
      <c r="Z43" s="1146" t="str">
        <f t="shared" si="13"/>
        <v>宗地开发程度</v>
      </c>
      <c r="AA43" s="1556">
        <f t="shared" si="3"/>
        <v>1</v>
      </c>
      <c r="AB43" s="1556">
        <f t="shared" si="4"/>
        <v>1</v>
      </c>
      <c r="AC43" s="1556">
        <f t="shared" si="5"/>
        <v>1</v>
      </c>
    </row>
    <row r="44" spans="1:29" ht="20.25">
      <c r="A44" s="594"/>
      <c r="B44" s="527" t="s">
        <v>555</v>
      </c>
      <c r="C44" s="599" t="s">
        <v>3294</v>
      </c>
      <c r="D44" s="540">
        <v>100</v>
      </c>
      <c r="E44" s="599" t="s">
        <v>3294</v>
      </c>
      <c r="F44" s="540">
        <f>SUMIF(127:127,E44,128:128)-SUMIF(127:127,C44,128:128)+100</f>
        <v>100</v>
      </c>
      <c r="G44" s="599" t="s">
        <v>3294</v>
      </c>
      <c r="H44" s="540">
        <f>SUMIF(127:127,G44,128:128)-SUMIF(127:127,C44,128:128)+100</f>
        <v>100</v>
      </c>
      <c r="I44" s="599" t="s">
        <v>3294</v>
      </c>
      <c r="J44" s="540">
        <f>SUMIF(127:127,I44,128:128)-SUMIF(127:127,C44,128:128)+100</f>
        <v>100</v>
      </c>
      <c r="K44" s="584">
        <v>2</v>
      </c>
      <c r="L44" s="2126"/>
      <c r="M44" s="2116"/>
      <c r="N44" s="2116"/>
      <c r="O44" s="2125"/>
      <c r="P44" s="3438" t="s">
        <v>550</v>
      </c>
      <c r="Q44" s="1557" t="str">
        <f t="shared" si="14"/>
        <v>工程地质条件</v>
      </c>
      <c r="R44" s="1558" t="s">
        <v>8</v>
      </c>
      <c r="S44" s="1559">
        <f t="shared" si="10"/>
        <v>100</v>
      </c>
      <c r="T44" s="1558" t="s">
        <v>8</v>
      </c>
      <c r="U44" s="1559">
        <f t="shared" si="11"/>
        <v>100</v>
      </c>
      <c r="V44" s="1558" t="s">
        <v>8</v>
      </c>
      <c r="W44" s="1559">
        <f t="shared" si="12"/>
        <v>100</v>
      </c>
      <c r="X44" s="1552"/>
      <c r="Y44" s="3438" t="s">
        <v>550</v>
      </c>
      <c r="Z44" s="1560" t="str">
        <f t="shared" si="13"/>
        <v>工程地质条件</v>
      </c>
      <c r="AA44" s="1561">
        <f t="shared" si="3"/>
        <v>1</v>
      </c>
      <c r="AB44" s="1561">
        <f t="shared" si="4"/>
        <v>1</v>
      </c>
      <c r="AC44" s="1561">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8"/>
      <c r="Q45" s="1557">
        <f t="shared" si="14"/>
        <v>0</v>
      </c>
      <c r="R45" s="1558" t="s">
        <v>8</v>
      </c>
      <c r="S45" s="1559">
        <f t="shared" si="10"/>
        <v>100</v>
      </c>
      <c r="T45" s="1558" t="s">
        <v>8</v>
      </c>
      <c r="U45" s="1559">
        <f t="shared" si="11"/>
        <v>100</v>
      </c>
      <c r="V45" s="1558" t="s">
        <v>8</v>
      </c>
      <c r="W45" s="1559">
        <f t="shared" si="12"/>
        <v>100</v>
      </c>
      <c r="X45" s="1552"/>
      <c r="Y45" s="3438"/>
      <c r="Z45" s="1560">
        <f t="shared" si="13"/>
        <v>0</v>
      </c>
      <c r="AA45" s="1561">
        <f t="shared" si="3"/>
        <v>1</v>
      </c>
      <c r="AB45" s="1561">
        <f t="shared" si="4"/>
        <v>1</v>
      </c>
      <c r="AC45" s="1561">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8"/>
      <c r="Q46" s="1557">
        <f t="shared" si="14"/>
        <v>0</v>
      </c>
      <c r="R46" s="1558" t="s">
        <v>8</v>
      </c>
      <c r="S46" s="1559">
        <f t="shared" si="10"/>
        <v>100</v>
      </c>
      <c r="T46" s="1558" t="s">
        <v>8</v>
      </c>
      <c r="U46" s="1559">
        <f t="shared" si="11"/>
        <v>100</v>
      </c>
      <c r="V46" s="1558" t="s">
        <v>8</v>
      </c>
      <c r="W46" s="1559">
        <f t="shared" si="12"/>
        <v>100</v>
      </c>
      <c r="X46" s="1552"/>
      <c r="Y46" s="3438"/>
      <c r="Z46" s="1560">
        <f t="shared" si="13"/>
        <v>0</v>
      </c>
      <c r="AA46" s="1561">
        <f t="shared" si="3"/>
        <v>1</v>
      </c>
      <c r="AB46" s="1561">
        <f t="shared" si="4"/>
        <v>1</v>
      </c>
      <c r="AC46" s="1561">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8"/>
      <c r="Q47" s="1557">
        <f t="shared" si="14"/>
        <v>0</v>
      </c>
      <c r="R47" s="1562" t="s">
        <v>8</v>
      </c>
      <c r="S47" s="1563">
        <f t="shared" si="10"/>
        <v>100</v>
      </c>
      <c r="T47" s="1562" t="s">
        <v>8</v>
      </c>
      <c r="U47" s="1563">
        <f t="shared" si="11"/>
        <v>100</v>
      </c>
      <c r="V47" s="1562" t="s">
        <v>8</v>
      </c>
      <c r="W47" s="1563">
        <f t="shared" si="12"/>
        <v>100</v>
      </c>
      <c r="X47" s="1564"/>
      <c r="Y47" s="3438"/>
      <c r="Z47" s="1565">
        <f t="shared" si="13"/>
        <v>0</v>
      </c>
      <c r="AA47" s="1561">
        <f t="shared" si="3"/>
        <v>1</v>
      </c>
      <c r="AB47" s="1561">
        <f t="shared" si="4"/>
        <v>1</v>
      </c>
      <c r="AC47" s="1561">
        <f t="shared" si="5"/>
        <v>1</v>
      </c>
    </row>
    <row r="48" spans="1:29" ht="20.25">
      <c r="A48" s="607" t="s">
        <v>556</v>
      </c>
      <c r="B48" s="608" t="s">
        <v>3350</v>
      </c>
      <c r="C48" s="609" t="s">
        <v>1</v>
      </c>
      <c r="D48" s="610"/>
      <c r="E48" s="611">
        <f>'[2]比较法-住宅、综合'!$E$48</f>
        <v>11611</v>
      </c>
      <c r="F48" s="612"/>
      <c r="G48" s="613">
        <f>'[2]比较法-住宅、综合'!$G$48</f>
        <v>10741</v>
      </c>
      <c r="H48" s="614"/>
      <c r="I48" s="611">
        <f>'[2]比较法-住宅、综合'!$I$48</f>
        <v>12141</v>
      </c>
      <c r="J48" s="614"/>
      <c r="K48" s="1336"/>
      <c r="L48" s="2128"/>
      <c r="M48" s="2116"/>
      <c r="N48" s="2116"/>
      <c r="O48" s="2129"/>
      <c r="P48" s="3401" t="str">
        <f>A48</f>
        <v>成交单价</v>
      </c>
      <c r="Q48" s="3401"/>
      <c r="R48" s="3402">
        <f>E48</f>
        <v>11611</v>
      </c>
      <c r="S48" s="3402"/>
      <c r="T48" s="3402">
        <f>G48</f>
        <v>10741</v>
      </c>
      <c r="U48" s="3402"/>
      <c r="V48" s="3402">
        <f>I48</f>
        <v>12141</v>
      </c>
      <c r="W48" s="3402"/>
      <c r="X48" s="1544"/>
      <c r="Y48" s="1566"/>
      <c r="Z48" s="1544"/>
      <c r="AA48" s="1544"/>
      <c r="AB48" s="1544"/>
      <c r="AC48" s="1544"/>
    </row>
    <row r="49" spans="1:29" ht="21" thickBot="1">
      <c r="A49" s="615" t="s">
        <v>2692</v>
      </c>
      <c r="B49" s="616"/>
      <c r="C49" s="617">
        <f>R50</f>
        <v>11247</v>
      </c>
      <c r="D49" s="618"/>
      <c r="E49" s="617">
        <f>R49</f>
        <v>11174</v>
      </c>
      <c r="F49" s="619"/>
      <c r="G49" s="620">
        <f>T49</f>
        <v>10593</v>
      </c>
      <c r="H49" s="618"/>
      <c r="I49" s="617">
        <f>V49</f>
        <v>11974</v>
      </c>
      <c r="J49" s="618"/>
      <c r="K49" s="1337"/>
      <c r="L49" s="2128"/>
      <c r="M49" s="2116"/>
      <c r="N49" s="2116"/>
      <c r="O49" s="2129"/>
      <c r="P49" s="3401" t="str">
        <f>A49</f>
        <v>比较价格（元/平方米）</v>
      </c>
      <c r="Q49" s="3401"/>
      <c r="R49" s="3403">
        <f>ROUND(PRODUCT(R48,AA9:AA47),0)</f>
        <v>11174</v>
      </c>
      <c r="S49" s="3403"/>
      <c r="T49" s="3403">
        <f>ROUND(PRODUCT(T48,AB9:AB47),0)</f>
        <v>10593</v>
      </c>
      <c r="U49" s="3403"/>
      <c r="V49" s="3403">
        <f>ROUND(PRODUCT(V48,AC9:AC47),0)</f>
        <v>11974</v>
      </c>
      <c r="W49" s="3403"/>
      <c r="X49" s="1544"/>
      <c r="Y49" s="1544"/>
      <c r="Z49" s="1544"/>
      <c r="AA49" s="1544"/>
      <c r="AB49" s="1544"/>
      <c r="AC49" s="1544"/>
    </row>
    <row r="50" spans="1:29" ht="21" thickBot="1">
      <c r="A50" s="621" t="s">
        <v>2934</v>
      </c>
      <c r="B50" s="622"/>
      <c r="C50" s="623">
        <f>R50</f>
        <v>11247</v>
      </c>
      <c r="D50" s="623"/>
      <c r="E50" s="623"/>
      <c r="F50" s="623"/>
      <c r="G50" s="623"/>
      <c r="H50" s="623"/>
      <c r="I50" s="623"/>
      <c r="J50" s="623"/>
      <c r="K50" s="1338"/>
      <c r="L50" s="2128"/>
      <c r="M50" s="2116"/>
      <c r="N50" s="2116"/>
      <c r="O50" s="2129"/>
      <c r="P50" s="3398" t="str">
        <f>A50</f>
        <v>估价对象XX用房的比较价格（楼面单价，元/平方米）</v>
      </c>
      <c r="Q50" s="3399"/>
      <c r="R50" s="3400">
        <f>ROUND(AVERAGE(R49:V49),0)</f>
        <v>11247</v>
      </c>
      <c r="S50" s="3400"/>
      <c r="T50" s="3400"/>
      <c r="U50" s="3400"/>
      <c r="V50" s="3400"/>
      <c r="W50" s="340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3.9108645068909986E-2</v>
      </c>
      <c r="F53" s="627" t="str">
        <f>IF(OR(E53&gt;=0.3,E53&lt;=-0.3),"超过30%","")</f>
        <v/>
      </c>
      <c r="G53" s="626">
        <f>IF(G48&lt;G49,G49/G48-1,G48/G49-1)</f>
        <v>1.3971490607004533E-2</v>
      </c>
      <c r="H53" s="627" t="str">
        <f>IF(OR(G53&gt;=0.3,G53&lt;=-0.3),"超过30%","")</f>
        <v/>
      </c>
      <c r="I53" s="626">
        <f>IF(I48&lt;I49,I49/I48-1,I48/I49-1)</f>
        <v>1.3946884917320768E-2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5.484754082884935E-2</v>
      </c>
      <c r="F54" s="627" t="str">
        <f>IF(OR(E54&gt;=0.2,E54&lt;=-0.2),"超过20%","")</f>
        <v/>
      </c>
      <c r="G54" s="626">
        <f>IF(G49&lt;I49,I49/G49-1,G49/I49-1)</f>
        <v>0.13036911167752296</v>
      </c>
      <c r="H54" s="627" t="str">
        <f>IF(OR(G54&gt;=0.2,G54&lt;=-0.2),"超过20%","")</f>
        <v/>
      </c>
      <c r="I54" s="626">
        <f>IF(I49&lt;E49,E49/I49-1,I49/E49-1)</f>
        <v>7.1594773581528548E-2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8.0998044874778907E-2</v>
      </c>
      <c r="F55" s="627" t="str">
        <f>IF(OR(E55&gt;=0.3,E55&lt;=-0.3),"超过30%","")</f>
        <v/>
      </c>
      <c r="G55" s="626">
        <f>IF(G48&lt;I48,I48/G48-1,G48/I48-1)</f>
        <v>0.13034168140769009</v>
      </c>
      <c r="H55" s="627" t="str">
        <f>IF(OR(G55&gt;=0.3,G55&lt;=-0.3),"超过30%","")</f>
        <v/>
      </c>
      <c r="I55" s="626">
        <f>IF(I48&lt;E48,E48/I48-1,I48/E48-1)</f>
        <v>4.5646369821720878E-2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427" t="s">
        <v>2281</v>
      </c>
      <c r="H57" s="3428"/>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11247</v>
      </c>
      <c r="C58" s="635">
        <v>1</v>
      </c>
      <c r="D58" s="2212">
        <v>1</v>
      </c>
      <c r="E58" s="635">
        <f>'数据-汇总表'!E8+'数据-汇总表'!E9</f>
        <v>289029</v>
      </c>
      <c r="F58" s="636">
        <f t="shared" ref="F58:F67" si="15">ROUND(B58*E58/10000,0)</f>
        <v>325071</v>
      </c>
      <c r="G58" s="3429"/>
      <c r="H58" s="343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31"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3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3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3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289029</v>
      </c>
      <c r="F68" s="644">
        <f>IF(B48="楼面地价",SUM(F58:F67),ROUND(C50*E68/10000,0))</f>
        <v>325071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北京市平均增长率2.23%</v>
      </c>
      <c r="C73" s="894">
        <v>100</v>
      </c>
      <c r="D73" s="3222">
        <f>C73-$C$74</f>
        <v>99</v>
      </c>
      <c r="E73" s="3222">
        <f t="shared" ref="E73:N73" si="20">D73-$C$74</f>
        <v>98</v>
      </c>
      <c r="F73" s="3222">
        <f t="shared" si="20"/>
        <v>97</v>
      </c>
      <c r="G73" s="3222">
        <f t="shared" si="20"/>
        <v>96</v>
      </c>
      <c r="H73" s="3222">
        <f t="shared" si="20"/>
        <v>95</v>
      </c>
      <c r="I73" s="3222">
        <f t="shared" si="20"/>
        <v>94</v>
      </c>
      <c r="J73" s="3222">
        <f t="shared" si="20"/>
        <v>93</v>
      </c>
      <c r="K73" s="3222">
        <f t="shared" si="20"/>
        <v>92</v>
      </c>
      <c r="L73" s="3222">
        <f t="shared" si="20"/>
        <v>91</v>
      </c>
      <c r="M73" s="3222">
        <f t="shared" si="20"/>
        <v>90</v>
      </c>
      <c r="N73" s="322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2646</v>
      </c>
      <c r="B74" s="2759"/>
      <c r="C74" s="2745">
        <f>'[2]比较法-住宅、综合'!$C$74</f>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85.25">
      <c r="A77" s="664" t="s">
        <v>577</v>
      </c>
      <c r="B77" s="665" t="s">
        <v>534</v>
      </c>
      <c r="C77" s="598" t="str">
        <f>面积表!E6</f>
        <v>二类居住用地（R2）</v>
      </c>
      <c r="D77" s="598" t="str">
        <f>土地案例!H13</f>
        <v>C1-26-02-1地块为二类居住用地兼容商业用地(R2/B1),C1-26-02-2地块为公共交通场站用地兼容商业用地(S41/B1),C1-26-05地块为二类居住用地(R2)</v>
      </c>
      <c r="E77" s="598" t="str">
        <f>土地案例!H14</f>
        <v>C1-23-03地块为公园绿地(G1),C1-23-05地块为二类居住用地(R2),C1-23-06地块为服务设施用地(R22)</v>
      </c>
      <c r="F77" s="598" t="str">
        <f>土地案例!H15</f>
        <v>二类居住用地(R2)</v>
      </c>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v>100</v>
      </c>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1（含）-2</v>
      </c>
      <c r="D81" s="682" t="str">
        <f t="shared" ref="D81:L81" si="21">D82&amp;"（含）"&amp;"-"&amp;E82</f>
        <v>2（含）-3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f>'[2]比较法-住宅、综合'!$C$82</f>
        <v>1</v>
      </c>
      <c r="D82" s="541">
        <f>'[2]比较法-住宅、综合'!$D$82</f>
        <v>2</v>
      </c>
      <c r="E82" s="541">
        <f>'[2]比较法-住宅、综合'!$E$82</f>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5" customFormat="1" ht="27.75" thickTop="1">
      <c r="A84" s="687"/>
      <c r="B84" s="673" t="str">
        <f>B14</f>
        <v>配建</v>
      </c>
      <c r="C84" s="688" t="str">
        <f>'[2]比较法-住宅、综合'!$C$84</f>
        <v>0-10%（含）</v>
      </c>
      <c r="D84" s="1370" t="str">
        <f>'[2]比较法-住宅、综合'!$D$84</f>
        <v>10%-30%（含）</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f>'[2]比较法-住宅、综合'!$C$85</f>
        <v>100</v>
      </c>
      <c r="D85" s="671">
        <f>'[2]比较法-住宅、综合'!$D$85</f>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87" t="s">
        <v>3360</v>
      </c>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50000</v>
      </c>
      <c r="E119" s="730">
        <v>100000</v>
      </c>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100.5</v>
      </c>
      <c r="E120" s="726">
        <v>101</v>
      </c>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8" t="s">
        <v>3354</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7" t="s">
        <v>3356</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2425</v>
      </c>
      <c r="C125" s="1370" t="s">
        <v>3358</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7" t="s">
        <v>3359</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topLeftCell="E1" workbookViewId="0">
      <selection sqref="A1:A1048576"/>
    </sheetView>
  </sheetViews>
  <sheetFormatPr defaultColWidth="8.875" defaultRowHeight="11.25"/>
  <cols>
    <col min="1" max="1" width="33" style="3215" hidden="1" customWidth="1"/>
    <col min="2" max="4" width="0" style="3215" hidden="1" customWidth="1"/>
    <col min="5" max="5" width="35.125" style="3215" customWidth="1"/>
    <col min="6" max="6" width="0" style="3215" hidden="1" customWidth="1"/>
    <col min="7" max="7" width="16.5" style="3215" customWidth="1"/>
    <col min="8" max="8" width="28.625" style="3215" customWidth="1"/>
    <col min="9" max="10" width="8.875" style="3215"/>
    <col min="11" max="11" width="22.625" style="3215" customWidth="1"/>
    <col min="12" max="12" width="11.375" style="3215" customWidth="1"/>
    <col min="13" max="13" width="14.625" style="3215" hidden="1" customWidth="1"/>
    <col min="14" max="14" width="14.625" style="3215" customWidth="1"/>
    <col min="15" max="18" width="8.875" style="3215"/>
    <col min="19" max="19" width="16.625" style="3215" customWidth="1"/>
    <col min="20" max="21" width="8.875" style="3215"/>
    <col min="22" max="22" width="76.125" style="3215" customWidth="1"/>
    <col min="23" max="23" width="8.875" style="3215"/>
    <col min="24" max="24" width="11.125" style="3215" bestFit="1" customWidth="1"/>
    <col min="25" max="16384" width="8.875" style="3215"/>
  </cols>
  <sheetData>
    <row r="1" spans="1:24" s="3211" customFormat="1" ht="22.5">
      <c r="A1" s="3211" t="s">
        <v>3012</v>
      </c>
      <c r="B1" s="3211" t="s">
        <v>3013</v>
      </c>
      <c r="C1" s="3211" t="s">
        <v>3014</v>
      </c>
      <c r="D1" s="3211" t="s">
        <v>3015</v>
      </c>
      <c r="E1" s="3211" t="s">
        <v>3016</v>
      </c>
      <c r="F1" s="3211" t="s">
        <v>3017</v>
      </c>
      <c r="G1" s="3211" t="s">
        <v>3018</v>
      </c>
      <c r="H1" s="3211" t="s">
        <v>3019</v>
      </c>
      <c r="I1" s="3211" t="s">
        <v>3020</v>
      </c>
      <c r="J1" s="3211" t="s">
        <v>3021</v>
      </c>
      <c r="K1" s="3211" t="s">
        <v>2032</v>
      </c>
      <c r="L1" s="3211" t="s">
        <v>3022</v>
      </c>
      <c r="M1" s="3211" t="s">
        <v>3023</v>
      </c>
      <c r="N1" s="3211" t="s">
        <v>3024</v>
      </c>
      <c r="O1" s="3211" t="s">
        <v>3025</v>
      </c>
      <c r="P1" s="3211" t="s">
        <v>3026</v>
      </c>
      <c r="Q1" s="3211" t="s">
        <v>3027</v>
      </c>
      <c r="R1" s="3211" t="s">
        <v>3028</v>
      </c>
      <c r="S1" s="3211" t="s">
        <v>3029</v>
      </c>
      <c r="T1" s="3211" t="s">
        <v>3030</v>
      </c>
      <c r="U1" s="3211" t="s">
        <v>3031</v>
      </c>
      <c r="V1" s="3211" t="s">
        <v>3032</v>
      </c>
      <c r="W1" s="3211" t="s">
        <v>3033</v>
      </c>
    </row>
    <row r="2" spans="1:24" s="3212" customFormat="1" ht="45">
      <c r="A2" s="3212" t="s">
        <v>3034</v>
      </c>
      <c r="B2" s="3212" t="s">
        <v>3035</v>
      </c>
      <c r="C2" s="3212" t="s">
        <v>3036</v>
      </c>
      <c r="D2" s="3212" t="s">
        <v>2817</v>
      </c>
      <c r="E2" s="3212" t="s">
        <v>3037</v>
      </c>
      <c r="F2" s="3212" t="s">
        <v>3038</v>
      </c>
      <c r="G2" s="3212" t="s">
        <v>3006</v>
      </c>
      <c r="H2" s="3212" t="s">
        <v>3039</v>
      </c>
      <c r="I2" s="3212">
        <v>126874</v>
      </c>
      <c r="J2" s="3212">
        <v>365357</v>
      </c>
      <c r="K2" s="3212" t="s">
        <v>3040</v>
      </c>
      <c r="L2" s="3212" t="s">
        <v>3041</v>
      </c>
      <c r="M2" s="3212" t="s">
        <v>3042</v>
      </c>
      <c r="N2" s="3212" t="s">
        <v>2817</v>
      </c>
      <c r="O2" s="3212" t="s">
        <v>2817</v>
      </c>
      <c r="P2" s="3212" t="s">
        <v>2817</v>
      </c>
      <c r="Q2" s="3212" t="s">
        <v>2817</v>
      </c>
      <c r="R2" s="3212" t="s">
        <v>2817</v>
      </c>
      <c r="S2" s="3212" t="s">
        <v>3043</v>
      </c>
      <c r="T2" s="3212" t="s">
        <v>3044</v>
      </c>
      <c r="W2" s="3212">
        <v>23000</v>
      </c>
      <c r="X2" s="3213">
        <f>W2/J2</f>
        <v>6.2952126276491216E-2</v>
      </c>
    </row>
    <row r="3" spans="1:24" s="3212" customFormat="1" ht="33.75">
      <c r="A3" s="3212" t="s">
        <v>3045</v>
      </c>
      <c r="B3" s="3212" t="s">
        <v>3035</v>
      </c>
      <c r="C3" s="3212" t="s">
        <v>3036</v>
      </c>
      <c r="D3" s="3212" t="s">
        <v>2817</v>
      </c>
      <c r="E3" s="3212" t="s">
        <v>3046</v>
      </c>
      <c r="F3" s="3212" t="s">
        <v>3038</v>
      </c>
      <c r="G3" s="3212" t="s">
        <v>3004</v>
      </c>
      <c r="H3" s="3212" t="s">
        <v>3047</v>
      </c>
      <c r="I3" s="3212">
        <v>107800</v>
      </c>
      <c r="J3" s="3212">
        <v>276650</v>
      </c>
      <c r="K3" s="3212" t="s">
        <v>3048</v>
      </c>
      <c r="L3" s="3212" t="s">
        <v>3041</v>
      </c>
      <c r="M3" s="3212" t="s">
        <v>3049</v>
      </c>
      <c r="N3" s="3212" t="s">
        <v>2817</v>
      </c>
      <c r="O3" s="3212" t="s">
        <v>2817</v>
      </c>
      <c r="P3" s="3212" t="s">
        <v>2817</v>
      </c>
      <c r="Q3" s="3212" t="s">
        <v>2817</v>
      </c>
      <c r="R3" s="3212" t="s">
        <v>2817</v>
      </c>
      <c r="S3" s="3212" t="s">
        <v>3043</v>
      </c>
      <c r="T3" s="3212" t="s">
        <v>3044</v>
      </c>
      <c r="W3" s="3212">
        <v>28000</v>
      </c>
      <c r="X3" s="3213">
        <f t="shared" ref="X3:X19" si="0">W3/J3</f>
        <v>0.10121091632026026</v>
      </c>
    </row>
    <row r="4" spans="1:24" s="3220" customFormat="1" ht="33.75">
      <c r="A4" s="3220" t="s">
        <v>3050</v>
      </c>
      <c r="B4" s="3220" t="s">
        <v>3035</v>
      </c>
      <c r="C4" s="3220" t="s">
        <v>3036</v>
      </c>
      <c r="D4" s="3220" t="s">
        <v>2817</v>
      </c>
      <c r="E4" s="3220" t="s">
        <v>3051</v>
      </c>
      <c r="F4" s="3220" t="s">
        <v>3038</v>
      </c>
      <c r="G4" s="3220" t="s">
        <v>3052</v>
      </c>
      <c r="H4" s="3220" t="s">
        <v>3053</v>
      </c>
      <c r="I4" s="3220">
        <v>55302</v>
      </c>
      <c r="J4" s="3220">
        <v>165906</v>
      </c>
      <c r="K4" s="3220" t="s">
        <v>3054</v>
      </c>
      <c r="L4" s="3220" t="s">
        <v>3041</v>
      </c>
      <c r="M4" s="3220" t="s">
        <v>3055</v>
      </c>
      <c r="N4" s="3220" t="s">
        <v>2817</v>
      </c>
      <c r="O4" s="3220" t="s">
        <v>2817</v>
      </c>
      <c r="P4" s="3220" t="s">
        <v>2817</v>
      </c>
      <c r="Q4" s="3220" t="s">
        <v>2817</v>
      </c>
      <c r="R4" s="3220" t="s">
        <v>2817</v>
      </c>
      <c r="S4" s="3220">
        <v>50</v>
      </c>
      <c r="T4" s="3220" t="s">
        <v>3056</v>
      </c>
      <c r="U4" s="3220">
        <v>6450.04</v>
      </c>
      <c r="V4" s="3220" t="s">
        <v>3057</v>
      </c>
      <c r="X4" s="3221">
        <f t="shared" si="0"/>
        <v>0</v>
      </c>
    </row>
    <row r="5" spans="1:24" s="3211" customFormat="1" ht="45">
      <c r="A5" s="3211" t="s">
        <v>3058</v>
      </c>
      <c r="B5" s="3211" t="s">
        <v>3035</v>
      </c>
      <c r="C5" s="3211" t="s">
        <v>3059</v>
      </c>
      <c r="D5" s="3211" t="s">
        <v>2817</v>
      </c>
      <c r="E5" s="3211" t="s">
        <v>3060</v>
      </c>
      <c r="F5" s="3211" t="s">
        <v>3038</v>
      </c>
      <c r="G5" s="3211" t="s">
        <v>3061</v>
      </c>
      <c r="H5" s="3211" t="s">
        <v>3062</v>
      </c>
      <c r="I5" s="3211">
        <v>40165</v>
      </c>
      <c r="J5" s="3211">
        <v>83349</v>
      </c>
      <c r="K5" s="3211" t="s">
        <v>3063</v>
      </c>
      <c r="L5" s="3211" t="s">
        <v>3064</v>
      </c>
      <c r="M5" s="3211" t="s">
        <v>3065</v>
      </c>
      <c r="N5" s="3211" t="s">
        <v>3066</v>
      </c>
      <c r="O5" s="3211">
        <v>118330</v>
      </c>
      <c r="P5" s="3211">
        <v>1964.06</v>
      </c>
      <c r="Q5" s="3211">
        <v>14196.93</v>
      </c>
      <c r="R5" s="3211">
        <v>22.84</v>
      </c>
      <c r="S5" s="3211" t="s">
        <v>3043</v>
      </c>
      <c r="T5" s="3211" t="s">
        <v>3056</v>
      </c>
      <c r="V5" s="3211" t="s">
        <v>3067</v>
      </c>
      <c r="X5" s="3216">
        <f t="shared" si="0"/>
        <v>0</v>
      </c>
    </row>
    <row r="6" spans="1:24" s="3211" customFormat="1" ht="45">
      <c r="A6" s="3211" t="s">
        <v>3068</v>
      </c>
      <c r="B6" s="3211" t="s">
        <v>3035</v>
      </c>
      <c r="C6" s="3211" t="s">
        <v>3059</v>
      </c>
      <c r="D6" s="3211" t="s">
        <v>2817</v>
      </c>
      <c r="E6" s="3211" t="s">
        <v>3069</v>
      </c>
      <c r="F6" s="3211" t="s">
        <v>3038</v>
      </c>
      <c r="G6" s="3211" t="s">
        <v>3070</v>
      </c>
      <c r="H6" s="3211" t="s">
        <v>3071</v>
      </c>
      <c r="I6" s="3211">
        <v>38314</v>
      </c>
      <c r="J6" s="3211">
        <v>79472</v>
      </c>
      <c r="K6" s="3211" t="s">
        <v>3072</v>
      </c>
      <c r="L6" s="3211" t="s">
        <v>3064</v>
      </c>
      <c r="M6" s="3211" t="s">
        <v>3073</v>
      </c>
      <c r="N6" s="3211" t="s">
        <v>3074</v>
      </c>
      <c r="O6" s="3211">
        <v>93511</v>
      </c>
      <c r="P6" s="3211">
        <v>1627.1</v>
      </c>
      <c r="Q6" s="3211">
        <v>11766.53</v>
      </c>
      <c r="R6" s="3211">
        <v>9.36</v>
      </c>
      <c r="S6" s="3211" t="s">
        <v>3043</v>
      </c>
      <c r="T6" s="3211" t="s">
        <v>3056</v>
      </c>
      <c r="V6" s="3211" t="s">
        <v>3075</v>
      </c>
      <c r="W6" s="3211">
        <v>4500</v>
      </c>
      <c r="X6" s="3216">
        <f t="shared" si="0"/>
        <v>5.6623716529092004E-2</v>
      </c>
    </row>
    <row r="7" spans="1:24" s="3211" customFormat="1" ht="33.75">
      <c r="A7" s="3211" t="s">
        <v>3076</v>
      </c>
      <c r="B7" s="3211" t="s">
        <v>3035</v>
      </c>
      <c r="C7" s="3211" t="s">
        <v>3036</v>
      </c>
      <c r="D7" s="3211" t="s">
        <v>2817</v>
      </c>
      <c r="E7" s="3211" t="s">
        <v>3077</v>
      </c>
      <c r="F7" s="3211" t="s">
        <v>3038</v>
      </c>
      <c r="G7" s="3211" t="s">
        <v>3078</v>
      </c>
      <c r="H7" s="3211" t="s">
        <v>3079</v>
      </c>
      <c r="I7" s="3211">
        <v>24945</v>
      </c>
      <c r="J7" s="3211">
        <v>87307</v>
      </c>
      <c r="K7" s="3211" t="s">
        <v>3080</v>
      </c>
      <c r="L7" s="3211" t="s">
        <v>3081</v>
      </c>
      <c r="M7" s="3211" t="s">
        <v>3082</v>
      </c>
      <c r="N7" s="3211" t="s">
        <v>3083</v>
      </c>
      <c r="O7" s="3211">
        <v>136990</v>
      </c>
      <c r="P7" s="3211">
        <v>3661.12</v>
      </c>
      <c r="Q7" s="3211">
        <v>15690.61</v>
      </c>
      <c r="R7" s="3211">
        <v>38.090000000000003</v>
      </c>
      <c r="S7" s="3211" t="s">
        <v>3043</v>
      </c>
      <c r="T7" s="3211" t="s">
        <v>3056</v>
      </c>
      <c r="V7" s="3211" t="s">
        <v>3084</v>
      </c>
      <c r="X7" s="3216">
        <f t="shared" si="0"/>
        <v>0</v>
      </c>
    </row>
    <row r="8" spans="1:24" s="3211" customFormat="1" ht="45">
      <c r="A8" s="3211" t="s">
        <v>3085</v>
      </c>
      <c r="B8" s="3211" t="s">
        <v>3035</v>
      </c>
      <c r="C8" s="3211" t="s">
        <v>3036</v>
      </c>
      <c r="D8" s="3211" t="s">
        <v>2817</v>
      </c>
      <c r="E8" s="3211" t="s">
        <v>3086</v>
      </c>
      <c r="F8" s="3211" t="s">
        <v>3038</v>
      </c>
      <c r="G8" s="3211" t="s">
        <v>3087</v>
      </c>
      <c r="H8" s="3211" t="s">
        <v>3088</v>
      </c>
      <c r="I8" s="3211">
        <v>47626</v>
      </c>
      <c r="J8" s="3211">
        <v>94960</v>
      </c>
      <c r="K8" s="3211" t="s">
        <v>3089</v>
      </c>
      <c r="L8" s="3211" t="s">
        <v>3081</v>
      </c>
      <c r="M8" s="3211" t="s">
        <v>3090</v>
      </c>
      <c r="N8" s="3211" t="s">
        <v>3091</v>
      </c>
      <c r="O8" s="3211">
        <v>148453</v>
      </c>
      <c r="P8" s="3211">
        <v>2078.04</v>
      </c>
      <c r="Q8" s="3211">
        <v>15633.2</v>
      </c>
      <c r="R8" s="3211">
        <v>34.35</v>
      </c>
      <c r="S8" s="3211" t="s">
        <v>3043</v>
      </c>
      <c r="T8" s="3211" t="s">
        <v>3092</v>
      </c>
      <c r="V8" s="3211" t="s">
        <v>3093</v>
      </c>
      <c r="W8" s="3211">
        <v>8800</v>
      </c>
      <c r="X8" s="3216">
        <f t="shared" si="0"/>
        <v>9.267059814658804E-2</v>
      </c>
    </row>
    <row r="9" spans="1:24" s="3211" customFormat="1" ht="45" hidden="1">
      <c r="A9" s="3211" t="s">
        <v>3094</v>
      </c>
      <c r="B9" s="3211" t="s">
        <v>3035</v>
      </c>
      <c r="C9" s="3211" t="s">
        <v>3036</v>
      </c>
      <c r="D9" s="3211" t="s">
        <v>2817</v>
      </c>
      <c r="E9" s="3211" t="s">
        <v>3095</v>
      </c>
      <c r="F9" s="3211" t="s">
        <v>3038</v>
      </c>
      <c r="G9" s="3211" t="s">
        <v>3096</v>
      </c>
      <c r="H9" s="3211" t="s">
        <v>3097</v>
      </c>
      <c r="I9" s="3211">
        <v>193081</v>
      </c>
      <c r="J9" s="3211">
        <v>665000</v>
      </c>
      <c r="K9" s="3211" t="s">
        <v>3098</v>
      </c>
      <c r="L9" s="3211" t="s">
        <v>3099</v>
      </c>
      <c r="M9" s="3211" t="s">
        <v>3100</v>
      </c>
      <c r="N9" s="3211" t="s">
        <v>3101</v>
      </c>
      <c r="O9" s="3211">
        <v>667870</v>
      </c>
      <c r="P9" s="3211">
        <v>2306.0100000000002</v>
      </c>
      <c r="Q9" s="3211">
        <v>10043.15</v>
      </c>
      <c r="R9" s="3211">
        <v>0</v>
      </c>
      <c r="S9" s="3211" t="s">
        <v>3043</v>
      </c>
      <c r="T9" s="3211" t="s">
        <v>3056</v>
      </c>
      <c r="V9" s="3211" t="s">
        <v>3102</v>
      </c>
      <c r="X9" s="3216">
        <f t="shared" si="0"/>
        <v>0</v>
      </c>
    </row>
    <row r="10" spans="1:24" s="3211" customFormat="1" ht="56.25" hidden="1">
      <c r="A10" s="3211" t="s">
        <v>3103</v>
      </c>
      <c r="B10" s="3211" t="s">
        <v>3035</v>
      </c>
      <c r="C10" s="3211" t="s">
        <v>3036</v>
      </c>
      <c r="D10" s="3211" t="s">
        <v>2817</v>
      </c>
      <c r="E10" s="3211" t="s">
        <v>3104</v>
      </c>
      <c r="F10" s="3211" t="s">
        <v>3038</v>
      </c>
      <c r="G10" s="3211" t="s">
        <v>3105</v>
      </c>
      <c r="H10" s="3211" t="s">
        <v>3106</v>
      </c>
      <c r="I10" s="3211">
        <v>146837</v>
      </c>
      <c r="J10" s="3211">
        <v>550297</v>
      </c>
      <c r="K10" s="3211" t="s">
        <v>3107</v>
      </c>
      <c r="L10" s="3211" t="s">
        <v>3108</v>
      </c>
      <c r="M10" s="3211" t="s">
        <v>3109</v>
      </c>
      <c r="N10" s="3211" t="s">
        <v>3110</v>
      </c>
      <c r="O10" s="3211">
        <v>525540</v>
      </c>
      <c r="P10" s="3211">
        <v>2386.0500000000002</v>
      </c>
      <c r="Q10" s="3211">
        <v>9550.1200000000008</v>
      </c>
      <c r="R10" s="3211">
        <v>0</v>
      </c>
      <c r="S10" s="3211" t="s">
        <v>3043</v>
      </c>
      <c r="T10" s="3211" t="s">
        <v>3056</v>
      </c>
      <c r="V10" s="3211" t="s">
        <v>3111</v>
      </c>
      <c r="X10" s="3216">
        <f t="shared" si="0"/>
        <v>0</v>
      </c>
    </row>
    <row r="11" spans="1:24" s="3218" customFormat="1" ht="33.75">
      <c r="A11" s="3218" t="s">
        <v>3112</v>
      </c>
      <c r="B11" s="3218" t="s">
        <v>3035</v>
      </c>
      <c r="C11" s="3218" t="s">
        <v>3059</v>
      </c>
      <c r="D11" s="3218" t="s">
        <v>2817</v>
      </c>
      <c r="E11" s="3218" t="s">
        <v>3113</v>
      </c>
      <c r="F11" s="3218" t="s">
        <v>3038</v>
      </c>
      <c r="G11" s="3218" t="s">
        <v>3114</v>
      </c>
      <c r="H11" s="3218" t="s">
        <v>3115</v>
      </c>
      <c r="I11" s="3218">
        <v>51709</v>
      </c>
      <c r="J11" s="3218">
        <v>165468</v>
      </c>
      <c r="K11" s="3218" t="s">
        <v>3116</v>
      </c>
      <c r="L11" s="3218" t="s">
        <v>3117</v>
      </c>
      <c r="M11" s="3218" t="s">
        <v>3118</v>
      </c>
      <c r="N11" s="3218" t="s">
        <v>3119</v>
      </c>
      <c r="O11" s="3218">
        <v>124620</v>
      </c>
      <c r="P11" s="3218">
        <v>1606.68</v>
      </c>
      <c r="Q11" s="3218">
        <v>7531.36</v>
      </c>
      <c r="R11" s="3218">
        <v>0</v>
      </c>
      <c r="S11" s="3218" t="s">
        <v>3043</v>
      </c>
      <c r="T11" s="3218" t="s">
        <v>3056</v>
      </c>
      <c r="V11" s="3218" t="s">
        <v>3351</v>
      </c>
      <c r="W11" s="3218">
        <v>36000</v>
      </c>
      <c r="X11" s="3219">
        <f t="shared" si="0"/>
        <v>0.217564725505838</v>
      </c>
    </row>
    <row r="12" spans="1:24" s="3211" customFormat="1" ht="45">
      <c r="A12" s="3211" t="s">
        <v>3120</v>
      </c>
      <c r="B12" s="3211" t="s">
        <v>3035</v>
      </c>
      <c r="C12" s="3211" t="s">
        <v>3036</v>
      </c>
      <c r="D12" s="3211" t="s">
        <v>2817</v>
      </c>
      <c r="E12" s="3211" t="s">
        <v>3120</v>
      </c>
      <c r="F12" s="3211" t="s">
        <v>3038</v>
      </c>
      <c r="G12" s="3211" t="s">
        <v>3121</v>
      </c>
      <c r="H12" s="3211" t="s">
        <v>3122</v>
      </c>
      <c r="I12" s="3211">
        <v>45093</v>
      </c>
      <c r="J12" s="3211">
        <v>78867</v>
      </c>
      <c r="K12" s="3211" t="s">
        <v>3123</v>
      </c>
      <c r="L12" s="3211" t="s">
        <v>3124</v>
      </c>
      <c r="M12" s="3211" t="s">
        <v>3125</v>
      </c>
      <c r="N12" s="3211" t="s">
        <v>3126</v>
      </c>
      <c r="O12" s="3211">
        <v>56950</v>
      </c>
      <c r="P12" s="3211">
        <v>841.96</v>
      </c>
      <c r="Q12" s="3211">
        <v>7221.02</v>
      </c>
      <c r="R12" s="3211">
        <v>0</v>
      </c>
      <c r="S12" s="3211" t="s">
        <v>3043</v>
      </c>
      <c r="T12" s="3211" t="s">
        <v>3056</v>
      </c>
      <c r="V12" s="3211" t="s">
        <v>3127</v>
      </c>
      <c r="W12" s="3211">
        <v>15300</v>
      </c>
      <c r="X12" s="3216">
        <f t="shared" si="0"/>
        <v>0.19399748944425424</v>
      </c>
    </row>
    <row r="13" spans="1:24" s="3214" customFormat="1" ht="45">
      <c r="A13" s="3214" t="s">
        <v>3128</v>
      </c>
      <c r="B13" s="3214" t="s">
        <v>3035</v>
      </c>
      <c r="C13" s="3214" t="s">
        <v>3036</v>
      </c>
      <c r="D13" s="3214" t="s">
        <v>2817</v>
      </c>
      <c r="E13" s="3214" t="s">
        <v>3129</v>
      </c>
      <c r="F13" s="3214" t="s">
        <v>3038</v>
      </c>
      <c r="G13" s="3214" t="s">
        <v>3130</v>
      </c>
      <c r="H13" s="3214" t="s">
        <v>3131</v>
      </c>
      <c r="I13" s="3214">
        <v>60556</v>
      </c>
      <c r="J13" s="3214">
        <v>104907</v>
      </c>
      <c r="K13" s="3214" t="s">
        <v>3132</v>
      </c>
      <c r="L13" s="3214" t="s">
        <v>3133</v>
      </c>
      <c r="M13" s="3214" t="s">
        <v>3134</v>
      </c>
      <c r="N13" s="3214" t="s">
        <v>3135</v>
      </c>
      <c r="O13" s="3214">
        <v>121810</v>
      </c>
      <c r="P13" s="3214">
        <v>1341.02</v>
      </c>
      <c r="Q13" s="3214">
        <v>11611.23</v>
      </c>
      <c r="R13" s="3214">
        <v>18.48</v>
      </c>
      <c r="S13" s="3214" t="s">
        <v>3043</v>
      </c>
      <c r="T13" s="3214" t="s">
        <v>3056</v>
      </c>
      <c r="V13" s="3214" t="s">
        <v>3136</v>
      </c>
      <c r="W13" s="3214">
        <v>12150</v>
      </c>
      <c r="X13" s="3217">
        <f t="shared" si="0"/>
        <v>0.11581686636735394</v>
      </c>
    </row>
    <row r="14" spans="1:24" s="3214" customFormat="1" ht="33.75">
      <c r="A14" s="3214" t="s">
        <v>3137</v>
      </c>
      <c r="B14" s="3214" t="s">
        <v>3035</v>
      </c>
      <c r="C14" s="3214" t="s">
        <v>3036</v>
      </c>
      <c r="D14" s="3214" t="s">
        <v>2817</v>
      </c>
      <c r="E14" s="3214" t="s">
        <v>3129</v>
      </c>
      <c r="F14" s="3214" t="s">
        <v>3038</v>
      </c>
      <c r="G14" s="3214" t="s">
        <v>3138</v>
      </c>
      <c r="H14" s="3214" t="s">
        <v>3139</v>
      </c>
      <c r="I14" s="3214">
        <v>40274</v>
      </c>
      <c r="J14" s="3214">
        <v>92309</v>
      </c>
      <c r="K14" s="3214" t="s">
        <v>3140</v>
      </c>
      <c r="L14" s="3214" t="s">
        <v>3133</v>
      </c>
      <c r="M14" s="3214" t="s">
        <v>3141</v>
      </c>
      <c r="N14" s="3214" t="s">
        <v>3142</v>
      </c>
      <c r="O14" s="3214">
        <v>99150</v>
      </c>
      <c r="P14" s="3214">
        <v>1641.26</v>
      </c>
      <c r="Q14" s="3214">
        <v>10741.1</v>
      </c>
      <c r="R14" s="3214">
        <v>8.7799999999999994</v>
      </c>
      <c r="S14" s="3214" t="s">
        <v>3043</v>
      </c>
      <c r="T14" s="3214" t="s">
        <v>3056</v>
      </c>
      <c r="V14" s="3214" t="s">
        <v>3143</v>
      </c>
      <c r="W14" s="3214">
        <v>10350</v>
      </c>
      <c r="X14" s="3217">
        <f t="shared" si="0"/>
        <v>0.11212341158500255</v>
      </c>
    </row>
    <row r="15" spans="1:24" s="3214" customFormat="1" ht="22.5">
      <c r="A15" s="3214" t="s">
        <v>3144</v>
      </c>
      <c r="B15" s="3214" t="s">
        <v>3035</v>
      </c>
      <c r="C15" s="3214" t="s">
        <v>3059</v>
      </c>
      <c r="D15" s="3214" t="s">
        <v>2817</v>
      </c>
      <c r="E15" s="3214" t="s">
        <v>3129</v>
      </c>
      <c r="F15" s="3214" t="s">
        <v>3038</v>
      </c>
      <c r="G15" s="3214" t="s">
        <v>3145</v>
      </c>
      <c r="H15" s="3214" t="s">
        <v>3146</v>
      </c>
      <c r="I15" s="3214">
        <v>32353</v>
      </c>
      <c r="J15" s="3214">
        <v>77648</v>
      </c>
      <c r="K15" s="3214" t="s">
        <v>3147</v>
      </c>
      <c r="L15" s="3214" t="s">
        <v>3133</v>
      </c>
      <c r="M15" s="3214" t="s">
        <v>3148</v>
      </c>
      <c r="N15" s="3214" t="s">
        <v>3149</v>
      </c>
      <c r="O15" s="3214">
        <v>94280</v>
      </c>
      <c r="P15" s="3214">
        <v>1942.74</v>
      </c>
      <c r="Q15" s="3214">
        <v>12141.96</v>
      </c>
      <c r="R15" s="3214">
        <v>18.920000000000002</v>
      </c>
      <c r="S15" s="3214">
        <v>70</v>
      </c>
      <c r="T15" s="3214" t="s">
        <v>3056</v>
      </c>
      <c r="V15" s="3214" t="s">
        <v>3150</v>
      </c>
      <c r="W15" s="3214">
        <v>9000</v>
      </c>
      <c r="X15" s="3217">
        <f t="shared" si="0"/>
        <v>0.11590768596744282</v>
      </c>
    </row>
    <row r="16" spans="1:24" s="3211" customFormat="1" ht="33.75">
      <c r="A16" s="3211" t="s">
        <v>3151</v>
      </c>
      <c r="B16" s="3211" t="s">
        <v>3035</v>
      </c>
      <c r="C16" s="3211" t="s">
        <v>3036</v>
      </c>
      <c r="D16" s="3211" t="s">
        <v>2817</v>
      </c>
      <c r="E16" s="3211" t="s">
        <v>3151</v>
      </c>
      <c r="F16" s="3211" t="s">
        <v>3038</v>
      </c>
      <c r="G16" s="3211" t="s">
        <v>3152</v>
      </c>
      <c r="H16" s="3211" t="s">
        <v>3153</v>
      </c>
      <c r="I16" s="3211">
        <v>20051</v>
      </c>
      <c r="J16" s="3211">
        <v>90230</v>
      </c>
      <c r="K16" s="3211" t="s">
        <v>3154</v>
      </c>
      <c r="L16" s="3211" t="s">
        <v>3155</v>
      </c>
      <c r="M16" s="3211" t="s">
        <v>3156</v>
      </c>
      <c r="N16" s="3211" t="s">
        <v>3157</v>
      </c>
      <c r="O16" s="3211">
        <v>95020</v>
      </c>
      <c r="P16" s="3211">
        <v>3159.28</v>
      </c>
      <c r="Q16" s="3211">
        <v>10530.87</v>
      </c>
      <c r="R16" s="3211">
        <v>0</v>
      </c>
      <c r="S16" s="3211" t="s">
        <v>3043</v>
      </c>
      <c r="T16" s="3211" t="s">
        <v>3056</v>
      </c>
      <c r="V16" s="3211" t="s">
        <v>3158</v>
      </c>
      <c r="W16" s="3211">
        <v>14850</v>
      </c>
      <c r="X16" s="3216">
        <f t="shared" si="0"/>
        <v>0.16457940817909786</v>
      </c>
    </row>
    <row r="17" spans="1:24" s="3211" customFormat="1" ht="22.5" hidden="1">
      <c r="A17" s="3211" t="s">
        <v>3159</v>
      </c>
      <c r="B17" s="3211" t="s">
        <v>3035</v>
      </c>
      <c r="C17" s="3211" t="s">
        <v>3059</v>
      </c>
      <c r="D17" s="3211" t="s">
        <v>2817</v>
      </c>
      <c r="E17" s="3211" t="s">
        <v>3160</v>
      </c>
      <c r="F17" s="3211" t="s">
        <v>3161</v>
      </c>
      <c r="G17" s="3211" t="s">
        <v>3162</v>
      </c>
      <c r="H17" s="3211" t="s">
        <v>3163</v>
      </c>
      <c r="I17" s="3211">
        <v>52992.1</v>
      </c>
      <c r="J17" s="3211">
        <v>31795.26</v>
      </c>
      <c r="K17" s="3211" t="s">
        <v>3164</v>
      </c>
      <c r="L17" s="3211" t="s">
        <v>2817</v>
      </c>
      <c r="M17" s="3211" t="s">
        <v>3165</v>
      </c>
      <c r="N17" s="3211" t="s">
        <v>2817</v>
      </c>
      <c r="O17" s="3211" t="s">
        <v>2817</v>
      </c>
      <c r="P17" s="3211" t="s">
        <v>2817</v>
      </c>
      <c r="Q17" s="3211" t="s">
        <v>2817</v>
      </c>
      <c r="R17" s="3211" t="s">
        <v>2817</v>
      </c>
      <c r="S17" s="3211" t="s">
        <v>3166</v>
      </c>
      <c r="T17" s="3211" t="s">
        <v>3092</v>
      </c>
      <c r="X17" s="3216">
        <f t="shared" si="0"/>
        <v>0</v>
      </c>
    </row>
    <row r="18" spans="1:24" s="3211" customFormat="1" ht="22.5">
      <c r="A18" s="3211" t="s">
        <v>3167</v>
      </c>
      <c r="B18" s="3211" t="s">
        <v>3035</v>
      </c>
      <c r="C18" s="3211" t="s">
        <v>3059</v>
      </c>
      <c r="D18" s="3211" t="s">
        <v>2817</v>
      </c>
      <c r="E18" s="3211" t="s">
        <v>3168</v>
      </c>
      <c r="F18" s="3211" t="s">
        <v>3038</v>
      </c>
      <c r="G18" s="3211" t="s">
        <v>3169</v>
      </c>
      <c r="H18" s="3211" t="s">
        <v>3146</v>
      </c>
      <c r="I18" s="3211">
        <v>56921</v>
      </c>
      <c r="J18" s="3211">
        <v>113842</v>
      </c>
      <c r="K18" s="3211" t="s">
        <v>3170</v>
      </c>
      <c r="L18" s="3211" t="s">
        <v>3171</v>
      </c>
      <c r="M18" s="3211" t="s">
        <v>3172</v>
      </c>
      <c r="N18" s="3211" t="s">
        <v>3149</v>
      </c>
      <c r="O18" s="3211">
        <v>148248</v>
      </c>
      <c r="P18" s="3211">
        <v>1736.3</v>
      </c>
      <c r="Q18" s="3211">
        <v>13022.26</v>
      </c>
      <c r="R18" s="3211">
        <v>45</v>
      </c>
      <c r="S18" s="3211">
        <v>70</v>
      </c>
      <c r="T18" s="3211" t="s">
        <v>3092</v>
      </c>
      <c r="V18" s="3211" t="s">
        <v>3173</v>
      </c>
      <c r="X18" s="3216">
        <f t="shared" si="0"/>
        <v>0</v>
      </c>
    </row>
    <row r="19" spans="1:24" s="3211" customFormat="1" ht="33.75">
      <c r="A19" s="3211" t="s">
        <v>3174</v>
      </c>
      <c r="B19" s="3211" t="s">
        <v>3035</v>
      </c>
      <c r="C19" s="3211" t="s">
        <v>3059</v>
      </c>
      <c r="D19" s="3211" t="s">
        <v>2817</v>
      </c>
      <c r="E19" s="3211" t="s">
        <v>3175</v>
      </c>
      <c r="F19" s="3211" t="s">
        <v>3038</v>
      </c>
      <c r="G19" s="3211" t="s">
        <v>3176</v>
      </c>
      <c r="H19" s="3211" t="s">
        <v>3146</v>
      </c>
      <c r="I19" s="3211">
        <v>64147</v>
      </c>
      <c r="J19" s="3211">
        <v>179612</v>
      </c>
      <c r="K19" s="3211" t="s">
        <v>3177</v>
      </c>
      <c r="L19" s="3211" t="s">
        <v>3171</v>
      </c>
      <c r="M19" s="3211" t="s">
        <v>3178</v>
      </c>
      <c r="N19" s="3211" t="s">
        <v>3179</v>
      </c>
      <c r="O19" s="3211">
        <v>87797</v>
      </c>
      <c r="P19" s="3211">
        <v>912.46</v>
      </c>
      <c r="Q19" s="3211">
        <v>4888.1400000000003</v>
      </c>
      <c r="R19" s="3211">
        <v>45</v>
      </c>
      <c r="S19" s="3211">
        <v>70</v>
      </c>
      <c r="T19" s="3211" t="s">
        <v>3044</v>
      </c>
      <c r="V19" s="3211" t="s">
        <v>3180</v>
      </c>
      <c r="X19" s="3216">
        <f t="shared" si="0"/>
        <v>0</v>
      </c>
    </row>
    <row r="20" spans="1:24" s="3211" customFormat="1" ht="22.5" hidden="1">
      <c r="A20" s="3211" t="s">
        <v>3181</v>
      </c>
      <c r="B20" s="3211" t="s">
        <v>3035</v>
      </c>
      <c r="C20" s="3211" t="s">
        <v>3059</v>
      </c>
      <c r="D20" s="3211" t="s">
        <v>2817</v>
      </c>
      <c r="E20" s="3211" t="s">
        <v>3182</v>
      </c>
      <c r="F20" s="3211" t="s">
        <v>3038</v>
      </c>
      <c r="G20" s="3211" t="s">
        <v>3183</v>
      </c>
      <c r="H20" s="3211" t="s">
        <v>3146</v>
      </c>
      <c r="I20" s="3211">
        <v>78951</v>
      </c>
      <c r="J20" s="3211">
        <v>157902</v>
      </c>
      <c r="K20" s="3211" t="s">
        <v>3170</v>
      </c>
      <c r="L20" s="3211" t="s">
        <v>3184</v>
      </c>
      <c r="M20" s="3211" t="s">
        <v>3185</v>
      </c>
      <c r="N20" s="3211" t="s">
        <v>3186</v>
      </c>
      <c r="O20" s="3211">
        <v>182378</v>
      </c>
      <c r="P20" s="3211">
        <v>1540.01</v>
      </c>
      <c r="Q20" s="3211">
        <v>11550.07</v>
      </c>
      <c r="R20" s="3211">
        <v>40</v>
      </c>
      <c r="S20" s="3211">
        <v>70</v>
      </c>
      <c r="T20" s="3211" t="s">
        <v>3056</v>
      </c>
    </row>
    <row r="21" spans="1:24" s="3211" customFormat="1" ht="22.5" hidden="1">
      <c r="A21" s="3211" t="s">
        <v>3187</v>
      </c>
      <c r="B21" s="3211" t="s">
        <v>3035</v>
      </c>
      <c r="C21" s="3211" t="s">
        <v>3036</v>
      </c>
      <c r="D21" s="3211" t="s">
        <v>2817</v>
      </c>
      <c r="E21" s="3211" t="s">
        <v>3187</v>
      </c>
      <c r="F21" s="3211" t="s">
        <v>3038</v>
      </c>
      <c r="G21" s="3211" t="s">
        <v>3188</v>
      </c>
      <c r="H21" s="3211" t="s">
        <v>3189</v>
      </c>
      <c r="I21" s="3211">
        <v>92579</v>
      </c>
      <c r="J21" s="3211">
        <v>291132</v>
      </c>
      <c r="K21" s="3211" t="s">
        <v>3190</v>
      </c>
      <c r="L21" s="3211" t="s">
        <v>3184</v>
      </c>
      <c r="M21" s="3211" t="s">
        <v>3191</v>
      </c>
      <c r="N21" s="3211" t="s">
        <v>3192</v>
      </c>
      <c r="O21" s="3211">
        <v>369824</v>
      </c>
      <c r="P21" s="3211">
        <v>2663.12</v>
      </c>
      <c r="Q21" s="3211">
        <v>12702.96</v>
      </c>
      <c r="R21" s="3211">
        <v>40</v>
      </c>
      <c r="S21" s="3211">
        <v>70</v>
      </c>
      <c r="T21" s="3211" t="s">
        <v>3056</v>
      </c>
    </row>
    <row r="22" spans="1:24" s="3211" customFormat="1" ht="22.5" hidden="1">
      <c r="A22" s="3211" t="s">
        <v>3193</v>
      </c>
      <c r="B22" s="3211" t="s">
        <v>3035</v>
      </c>
      <c r="C22" s="3211" t="s">
        <v>3059</v>
      </c>
      <c r="D22" s="3211" t="s">
        <v>2817</v>
      </c>
      <c r="E22" s="3211" t="s">
        <v>3194</v>
      </c>
      <c r="F22" s="3211" t="s">
        <v>3038</v>
      </c>
      <c r="G22" s="3211" t="s">
        <v>3195</v>
      </c>
      <c r="H22" s="3211" t="s">
        <v>3146</v>
      </c>
      <c r="I22" s="3211">
        <v>44902</v>
      </c>
      <c r="J22" s="3211">
        <v>98784</v>
      </c>
      <c r="K22" s="3211" t="s">
        <v>3196</v>
      </c>
      <c r="L22" s="3211" t="s">
        <v>3197</v>
      </c>
      <c r="M22" s="3211" t="s">
        <v>3198</v>
      </c>
      <c r="N22" s="3211" t="s">
        <v>3199</v>
      </c>
      <c r="O22" s="3211">
        <v>110922</v>
      </c>
      <c r="P22" s="3211">
        <v>1646.88</v>
      </c>
      <c r="Q22" s="3211">
        <v>11228.73</v>
      </c>
      <c r="R22" s="3211">
        <v>40</v>
      </c>
      <c r="S22" s="3211">
        <v>70</v>
      </c>
      <c r="T22" s="3211" t="s">
        <v>3092</v>
      </c>
    </row>
    <row r="23" spans="1:24" s="3211" customFormat="1" ht="33.75" hidden="1">
      <c r="A23" s="3211" t="s">
        <v>3200</v>
      </c>
      <c r="B23" s="3211" t="s">
        <v>3035</v>
      </c>
      <c r="C23" s="3211" t="s">
        <v>3059</v>
      </c>
      <c r="D23" s="3211" t="s">
        <v>2817</v>
      </c>
      <c r="E23" s="3211" t="s">
        <v>3201</v>
      </c>
      <c r="F23" s="3211" t="s">
        <v>3038</v>
      </c>
      <c r="G23" s="3211" t="s">
        <v>3202</v>
      </c>
      <c r="H23" s="3211" t="s">
        <v>3146</v>
      </c>
      <c r="I23" s="3211">
        <v>87819</v>
      </c>
      <c r="J23" s="3211">
        <v>233995</v>
      </c>
      <c r="K23" s="3211" t="s">
        <v>3203</v>
      </c>
      <c r="L23" s="3211" t="s">
        <v>3197</v>
      </c>
      <c r="M23" s="3211" t="s">
        <v>3204</v>
      </c>
      <c r="N23" s="3211" t="s">
        <v>3205</v>
      </c>
      <c r="O23" s="3211">
        <v>189324</v>
      </c>
      <c r="P23" s="3211">
        <v>1437.23</v>
      </c>
      <c r="Q23" s="3211">
        <v>8090.93</v>
      </c>
      <c r="R23" s="3211">
        <v>20</v>
      </c>
      <c r="S23" s="3211">
        <v>70</v>
      </c>
      <c r="T23" s="3211" t="s">
        <v>3056</v>
      </c>
    </row>
    <row r="24" spans="1:24" s="3211" customFormat="1" ht="45" hidden="1">
      <c r="A24" s="3211" t="s">
        <v>3206</v>
      </c>
      <c r="B24" s="3211" t="s">
        <v>3035</v>
      </c>
      <c r="C24" s="3211" t="s">
        <v>3036</v>
      </c>
      <c r="D24" s="3211" t="s">
        <v>2817</v>
      </c>
      <c r="E24" s="3211" t="s">
        <v>3207</v>
      </c>
      <c r="F24" s="3211" t="s">
        <v>3038</v>
      </c>
      <c r="G24" s="3211" t="s">
        <v>3208</v>
      </c>
      <c r="H24" s="3211" t="s">
        <v>3209</v>
      </c>
      <c r="I24" s="3211">
        <v>46722</v>
      </c>
      <c r="J24" s="3211">
        <v>133892</v>
      </c>
      <c r="K24" s="3211" t="s">
        <v>3210</v>
      </c>
      <c r="L24" s="3211" t="s">
        <v>3211</v>
      </c>
      <c r="M24" s="3211" t="s">
        <v>3212</v>
      </c>
      <c r="N24" s="3211" t="s">
        <v>3213</v>
      </c>
      <c r="O24" s="3211">
        <v>109540</v>
      </c>
      <c r="P24" s="3211">
        <v>1563</v>
      </c>
      <c r="Q24" s="3211">
        <v>8181.22</v>
      </c>
      <c r="R24" s="3211">
        <v>0</v>
      </c>
      <c r="S24" s="3211" t="s">
        <v>3214</v>
      </c>
      <c r="T24" s="3211" t="s">
        <v>3092</v>
      </c>
    </row>
    <row r="25" spans="1:24" s="3211" customFormat="1" ht="45" hidden="1">
      <c r="A25" s="3211" t="s">
        <v>3215</v>
      </c>
      <c r="B25" s="3211" t="s">
        <v>3035</v>
      </c>
      <c r="C25" s="3211" t="s">
        <v>3036</v>
      </c>
      <c r="D25" s="3211" t="s">
        <v>2817</v>
      </c>
      <c r="E25" s="3211" t="s">
        <v>3216</v>
      </c>
      <c r="F25" s="3211" t="s">
        <v>3038</v>
      </c>
      <c r="G25" s="3211" t="s">
        <v>3217</v>
      </c>
      <c r="H25" s="3211" t="s">
        <v>3209</v>
      </c>
      <c r="I25" s="3211">
        <v>59839.3</v>
      </c>
      <c r="J25" s="3211">
        <v>158260.6</v>
      </c>
      <c r="K25" s="3211" t="s">
        <v>3170</v>
      </c>
      <c r="L25" s="3211" t="s">
        <v>3211</v>
      </c>
      <c r="M25" s="3211" t="s">
        <v>3212</v>
      </c>
      <c r="N25" s="3211" t="s">
        <v>3218</v>
      </c>
      <c r="O25" s="3211">
        <v>128510</v>
      </c>
      <c r="P25" s="3211">
        <v>1431.72</v>
      </c>
      <c r="Q25" s="3211">
        <v>8120.14</v>
      </c>
      <c r="R25" s="3211">
        <v>0</v>
      </c>
      <c r="S25" s="3211" t="s">
        <v>3214</v>
      </c>
      <c r="T25" s="3211" t="s">
        <v>3092</v>
      </c>
    </row>
    <row r="26" spans="1:24" s="3211" customFormat="1" ht="45" hidden="1">
      <c r="A26" s="3211" t="s">
        <v>3219</v>
      </c>
      <c r="B26" s="3211" t="s">
        <v>3035</v>
      </c>
      <c r="C26" s="3211" t="s">
        <v>3036</v>
      </c>
      <c r="D26" s="3211" t="s">
        <v>2817</v>
      </c>
      <c r="E26" s="3211" t="s">
        <v>3220</v>
      </c>
      <c r="F26" s="3211" t="s">
        <v>3038</v>
      </c>
      <c r="G26" s="3211" t="s">
        <v>3221</v>
      </c>
      <c r="H26" s="3211" t="s">
        <v>3222</v>
      </c>
      <c r="I26" s="3211">
        <v>87317</v>
      </c>
      <c r="J26" s="3211">
        <v>199955</v>
      </c>
      <c r="K26" s="3211" t="s">
        <v>3223</v>
      </c>
      <c r="L26" s="3211" t="s">
        <v>3211</v>
      </c>
      <c r="M26" s="3211" t="s">
        <v>3212</v>
      </c>
      <c r="N26" s="3211" t="s">
        <v>3224</v>
      </c>
      <c r="O26" s="3211">
        <v>168390</v>
      </c>
      <c r="P26" s="3211">
        <v>1285.6600000000001</v>
      </c>
      <c r="Q26" s="3211">
        <v>8421.3799999999992</v>
      </c>
      <c r="R26" s="3211">
        <v>0</v>
      </c>
      <c r="S26" s="3211" t="s">
        <v>3214</v>
      </c>
      <c r="T26" s="3211" t="s">
        <v>3056</v>
      </c>
    </row>
    <row r="27" spans="1:24" s="3211" customFormat="1" ht="45" hidden="1">
      <c r="A27" s="3211" t="s">
        <v>3225</v>
      </c>
      <c r="B27" s="3211" t="s">
        <v>3035</v>
      </c>
      <c r="C27" s="3211" t="s">
        <v>3036</v>
      </c>
      <c r="D27" s="3211" t="s">
        <v>2817</v>
      </c>
      <c r="E27" s="3211" t="s">
        <v>3226</v>
      </c>
      <c r="F27" s="3211" t="s">
        <v>3038</v>
      </c>
      <c r="G27" s="3211" t="s">
        <v>3227</v>
      </c>
      <c r="H27" s="3211" t="s">
        <v>3228</v>
      </c>
      <c r="I27" s="3211">
        <v>92219</v>
      </c>
      <c r="J27" s="3211">
        <v>230547.5</v>
      </c>
      <c r="K27" s="3211" t="s">
        <v>3229</v>
      </c>
      <c r="L27" s="3211" t="s">
        <v>3211</v>
      </c>
      <c r="M27" s="3211" t="s">
        <v>3212</v>
      </c>
      <c r="N27" s="3211" t="s">
        <v>3230</v>
      </c>
      <c r="O27" s="3211">
        <v>184900</v>
      </c>
      <c r="P27" s="3211">
        <v>1336.67</v>
      </c>
      <c r="Q27" s="3211">
        <v>8020.03</v>
      </c>
      <c r="R27" s="3211">
        <v>0</v>
      </c>
      <c r="S27" s="3211" t="s">
        <v>3214</v>
      </c>
      <c r="T27" s="3211" t="s">
        <v>3044</v>
      </c>
    </row>
    <row r="28" spans="1:24" s="3211" customFormat="1" ht="45" hidden="1">
      <c r="A28" s="3211" t="s">
        <v>3231</v>
      </c>
      <c r="B28" s="3211" t="s">
        <v>3035</v>
      </c>
      <c r="C28" s="3211" t="s">
        <v>3059</v>
      </c>
      <c r="D28" s="3211" t="s">
        <v>2817</v>
      </c>
      <c r="E28" s="3211" t="s">
        <v>3231</v>
      </c>
      <c r="F28" s="3211" t="s">
        <v>3038</v>
      </c>
      <c r="G28" s="3211" t="s">
        <v>3232</v>
      </c>
      <c r="H28" s="3211" t="s">
        <v>3233</v>
      </c>
      <c r="I28" s="3211">
        <v>31334</v>
      </c>
      <c r="J28" s="3211">
        <v>94002</v>
      </c>
      <c r="K28" s="3211" t="s">
        <v>3054</v>
      </c>
      <c r="L28" s="3211" t="s">
        <v>3234</v>
      </c>
      <c r="M28" s="3211" t="s">
        <v>3235</v>
      </c>
      <c r="N28" s="3211" t="s">
        <v>3236</v>
      </c>
      <c r="O28" s="3211">
        <v>61850</v>
      </c>
      <c r="P28" s="3211">
        <v>1315.93</v>
      </c>
      <c r="Q28" s="3211">
        <v>6579.64</v>
      </c>
      <c r="R28" s="3211">
        <v>7.85</v>
      </c>
      <c r="S28" s="3211" t="s">
        <v>3237</v>
      </c>
      <c r="T28" s="3211" t="s">
        <v>3238</v>
      </c>
    </row>
    <row r="29" spans="1:24" s="3211" customFormat="1" ht="45" hidden="1">
      <c r="A29" s="3211" t="s">
        <v>3239</v>
      </c>
      <c r="B29" s="3211" t="s">
        <v>3035</v>
      </c>
      <c r="C29" s="3211" t="s">
        <v>3059</v>
      </c>
      <c r="D29" s="3211" t="s">
        <v>2817</v>
      </c>
      <c r="E29" s="3211" t="s">
        <v>3239</v>
      </c>
      <c r="F29" s="3211" t="s">
        <v>3038</v>
      </c>
      <c r="G29" s="3211" t="s">
        <v>3240</v>
      </c>
      <c r="H29" s="3211" t="s">
        <v>3241</v>
      </c>
      <c r="I29" s="3211">
        <v>49029</v>
      </c>
      <c r="J29" s="3211">
        <v>98058</v>
      </c>
      <c r="K29" s="3211" t="s">
        <v>3170</v>
      </c>
      <c r="L29" s="3211" t="s">
        <v>3234</v>
      </c>
      <c r="M29" s="3211" t="s">
        <v>3235</v>
      </c>
      <c r="N29" s="3211" t="s">
        <v>3242</v>
      </c>
      <c r="O29" s="3211">
        <v>87450</v>
      </c>
      <c r="P29" s="3211">
        <v>1189.0899999999999</v>
      </c>
      <c r="Q29" s="3211">
        <v>8918.19</v>
      </c>
      <c r="R29" s="3211">
        <v>45</v>
      </c>
      <c r="S29" s="3211" t="s">
        <v>3237</v>
      </c>
      <c r="T29" s="3211" t="s">
        <v>3056</v>
      </c>
    </row>
    <row r="30" spans="1:24" s="3211" customFormat="1" ht="45" hidden="1">
      <c r="A30" s="3211" t="s">
        <v>3243</v>
      </c>
      <c r="B30" s="3211" t="s">
        <v>3035</v>
      </c>
      <c r="C30" s="3211" t="s">
        <v>3059</v>
      </c>
      <c r="D30" s="3211" t="s">
        <v>2817</v>
      </c>
      <c r="E30" s="3211" t="s">
        <v>3243</v>
      </c>
      <c r="F30" s="3211" t="s">
        <v>3038</v>
      </c>
      <c r="G30" s="3211" t="s">
        <v>3244</v>
      </c>
      <c r="H30" s="3211" t="s">
        <v>3245</v>
      </c>
      <c r="I30" s="3211">
        <v>47059</v>
      </c>
      <c r="J30" s="3211">
        <v>94118</v>
      </c>
      <c r="K30" s="3211" t="s">
        <v>3170</v>
      </c>
      <c r="L30" s="3211" t="s">
        <v>3234</v>
      </c>
      <c r="M30" s="3211" t="s">
        <v>3235</v>
      </c>
      <c r="N30" s="3211" t="s">
        <v>3242</v>
      </c>
      <c r="O30" s="3211">
        <v>83941</v>
      </c>
      <c r="P30" s="3211">
        <v>1189.1600000000001</v>
      </c>
      <c r="Q30" s="3211">
        <v>8918.7000000000007</v>
      </c>
      <c r="R30" s="3211">
        <v>45</v>
      </c>
      <c r="S30" s="3211" t="s">
        <v>3237</v>
      </c>
      <c r="T30" s="3211" t="s">
        <v>3238</v>
      </c>
    </row>
    <row r="31" spans="1:24" s="3211" customFormat="1" ht="33.75" hidden="1">
      <c r="A31" s="3211" t="s">
        <v>3246</v>
      </c>
      <c r="B31" s="3211" t="s">
        <v>3035</v>
      </c>
      <c r="C31" s="3211" t="s">
        <v>3059</v>
      </c>
      <c r="D31" s="3211" t="s">
        <v>2817</v>
      </c>
      <c r="E31" s="3211" t="s">
        <v>3246</v>
      </c>
      <c r="F31" s="3211" t="s">
        <v>3038</v>
      </c>
      <c r="G31" s="3211" t="s">
        <v>3247</v>
      </c>
      <c r="H31" s="3211" t="s">
        <v>3245</v>
      </c>
      <c r="I31" s="3211">
        <v>58121</v>
      </c>
      <c r="J31" s="3211">
        <v>104618</v>
      </c>
      <c r="K31" s="3211" t="s">
        <v>3248</v>
      </c>
      <c r="L31" s="3211" t="s">
        <v>3249</v>
      </c>
      <c r="M31" s="3211" t="s">
        <v>3250</v>
      </c>
      <c r="N31" s="3211" t="s">
        <v>3251</v>
      </c>
      <c r="O31" s="3211">
        <v>91829</v>
      </c>
      <c r="P31" s="3211">
        <v>1053.31</v>
      </c>
      <c r="Q31" s="3211">
        <v>8777.5400000000009</v>
      </c>
      <c r="R31" s="3211">
        <v>45</v>
      </c>
      <c r="S31" s="3211" t="s">
        <v>3252</v>
      </c>
      <c r="T31" s="3211" t="s">
        <v>3056</v>
      </c>
    </row>
    <row r="32" spans="1:24" s="3211" customFormat="1" ht="67.5" hidden="1">
      <c r="A32" s="3211" t="s">
        <v>3253</v>
      </c>
      <c r="B32" s="3211" t="s">
        <v>3035</v>
      </c>
      <c r="C32" s="3211" t="s">
        <v>3059</v>
      </c>
      <c r="D32" s="3211" t="s">
        <v>2817</v>
      </c>
      <c r="E32" s="3211" t="s">
        <v>3253</v>
      </c>
      <c r="F32" s="3211" t="s">
        <v>3038</v>
      </c>
      <c r="G32" s="3211" t="s">
        <v>3254</v>
      </c>
      <c r="H32" s="3211" t="s">
        <v>3233</v>
      </c>
      <c r="I32" s="3211">
        <v>65777</v>
      </c>
      <c r="J32" s="3211">
        <v>197331</v>
      </c>
      <c r="K32" s="3211" t="s">
        <v>3054</v>
      </c>
      <c r="L32" s="3211" t="s">
        <v>3249</v>
      </c>
      <c r="M32" s="3211" t="s">
        <v>3250</v>
      </c>
      <c r="N32" s="3211" t="s">
        <v>3255</v>
      </c>
      <c r="O32" s="3211">
        <v>174551</v>
      </c>
      <c r="P32" s="3211">
        <v>1769.12</v>
      </c>
      <c r="Q32" s="3211">
        <v>8845.59</v>
      </c>
      <c r="R32" s="3211">
        <v>45</v>
      </c>
      <c r="S32" s="3211" t="s">
        <v>3252</v>
      </c>
      <c r="T32" s="3211" t="s">
        <v>3092</v>
      </c>
    </row>
    <row r="33" spans="1:20" s="3211" customFormat="1" ht="45" hidden="1">
      <c r="A33" s="3211" t="s">
        <v>3246</v>
      </c>
      <c r="B33" s="3211" t="s">
        <v>3035</v>
      </c>
      <c r="C33" s="3211" t="s">
        <v>3059</v>
      </c>
      <c r="D33" s="3211" t="s">
        <v>2817</v>
      </c>
      <c r="E33" s="3211" t="s">
        <v>3246</v>
      </c>
      <c r="F33" s="3211" t="s">
        <v>3038</v>
      </c>
      <c r="G33" s="3211" t="s">
        <v>3247</v>
      </c>
      <c r="H33" s="3211" t="s">
        <v>3245</v>
      </c>
      <c r="I33" s="3211">
        <v>58121</v>
      </c>
      <c r="J33" s="3211">
        <v>104618</v>
      </c>
      <c r="K33" s="3211" t="s">
        <v>3248</v>
      </c>
      <c r="L33" s="3211" t="s">
        <v>2817</v>
      </c>
      <c r="M33" s="3211" t="s">
        <v>3256</v>
      </c>
      <c r="N33" s="3211" t="s">
        <v>2817</v>
      </c>
      <c r="O33" s="3211" t="s">
        <v>2817</v>
      </c>
      <c r="P33" s="3211" t="s">
        <v>2817</v>
      </c>
      <c r="Q33" s="3211" t="s">
        <v>2817</v>
      </c>
      <c r="R33" s="3211" t="s">
        <v>2817</v>
      </c>
      <c r="S33" s="3211" t="s">
        <v>3237</v>
      </c>
      <c r="T33" s="3211" t="s">
        <v>3092</v>
      </c>
    </row>
    <row r="34" spans="1:20" s="3211" customFormat="1" ht="45" hidden="1">
      <c r="A34" s="3211" t="s">
        <v>3253</v>
      </c>
      <c r="B34" s="3211" t="s">
        <v>3035</v>
      </c>
      <c r="C34" s="3211" t="s">
        <v>3059</v>
      </c>
      <c r="D34" s="3211" t="s">
        <v>2817</v>
      </c>
      <c r="E34" s="3211" t="s">
        <v>3253</v>
      </c>
      <c r="F34" s="3211" t="s">
        <v>3038</v>
      </c>
      <c r="G34" s="3211" t="s">
        <v>3254</v>
      </c>
      <c r="H34" s="3211" t="s">
        <v>3233</v>
      </c>
      <c r="I34" s="3211">
        <v>65777</v>
      </c>
      <c r="J34" s="3211">
        <v>197331</v>
      </c>
      <c r="K34" s="3211" t="s">
        <v>3054</v>
      </c>
      <c r="L34" s="3211" t="s">
        <v>2817</v>
      </c>
      <c r="M34" s="3211" t="s">
        <v>3256</v>
      </c>
      <c r="N34" s="3211" t="s">
        <v>2817</v>
      </c>
      <c r="O34" s="3211" t="s">
        <v>2817</v>
      </c>
      <c r="P34" s="3211" t="s">
        <v>2817</v>
      </c>
      <c r="Q34" s="3211" t="s">
        <v>2817</v>
      </c>
      <c r="R34" s="3211" t="s">
        <v>2817</v>
      </c>
      <c r="S34" s="3211" t="s">
        <v>3237</v>
      </c>
      <c r="T34" s="3211" t="s">
        <v>3092</v>
      </c>
    </row>
  </sheetData>
  <phoneticPr fontId="228"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A4" workbookViewId="0">
      <selection activeCell="I35" sqref="I35"/>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377358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13056</v>
      </c>
      <c r="C3" s="2088"/>
      <c r="D3" s="2088"/>
      <c r="E3" s="2088"/>
      <c r="F3" s="2088"/>
      <c r="G3" s="2088"/>
      <c r="H3" s="2088"/>
      <c r="I3" s="2088"/>
      <c r="J3" s="2088"/>
      <c r="K3" s="2088"/>
    </row>
    <row r="4" spans="1:31" s="2025" customFormat="1" ht="18" customHeight="1">
      <c r="A4" s="426" t="s">
        <v>468</v>
      </c>
      <c r="B4" s="427">
        <f ca="1">ROUND(B2*10000/IF(B1="",'数据-汇总表'!D3,INDIRECT("'数据-取费表'!R"&amp;$K$1)),0)</f>
        <v>39168</v>
      </c>
      <c r="C4" s="428"/>
      <c r="D4" s="422"/>
      <c r="E4" s="422"/>
      <c r="F4" s="422"/>
      <c r="G4" s="422"/>
      <c r="H4" s="422"/>
      <c r="I4" s="422"/>
      <c r="J4" s="422"/>
      <c r="K4" s="422"/>
    </row>
    <row r="5" spans="1:31" s="2025" customFormat="1" ht="18" customHeight="1" thickBot="1">
      <c r="A5" s="429"/>
      <c r="B5" s="430">
        <f ca="1">ROUND(B2/(IF(B1="",'数据-汇总表'!D3,INDIRECT("'数据-取费表'!R"&amp;$K$1))/666.67),0)</f>
        <v>2611</v>
      </c>
      <c r="C5" s="431" t="s">
        <v>469</v>
      </c>
      <c r="D5" s="422"/>
      <c r="E5" s="422"/>
      <c r="F5" s="422"/>
      <c r="G5" s="422"/>
      <c r="H5" s="422"/>
      <c r="I5" s="422"/>
      <c r="J5" s="422"/>
      <c r="K5" s="422"/>
    </row>
    <row r="6" spans="1:31" s="2095" customFormat="1" ht="16.5" customHeight="1">
      <c r="A6" s="2782" t="s">
        <v>1842</v>
      </c>
      <c r="B6" s="2783"/>
      <c r="C6" s="2784">
        <f ca="1">SUM(C10:K10)</f>
        <v>629446</v>
      </c>
      <c r="D6" s="2783"/>
      <c r="E6" s="2783"/>
      <c r="F6" s="2783"/>
      <c r="G6" s="2783"/>
      <c r="H6" s="2783"/>
      <c r="I6" s="2783"/>
      <c r="J6" s="2783"/>
      <c r="K6" s="2785"/>
    </row>
    <row r="7" spans="1:31" s="2097" customFormat="1" ht="25.5">
      <c r="A7" s="2786" t="s">
        <v>470</v>
      </c>
      <c r="B7" s="2787" t="s">
        <v>471</v>
      </c>
      <c r="C7" s="436" t="s">
        <v>923</v>
      </c>
      <c r="D7" s="436" t="s">
        <v>3367</v>
      </c>
      <c r="E7" s="436" t="s">
        <v>3002</v>
      </c>
      <c r="F7" s="436" t="s">
        <v>1677</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'[2]剩余法-待开发'!$C$8</f>
        <v>23945</v>
      </c>
      <c r="D8" s="2788">
        <v>3500</v>
      </c>
      <c r="E8" s="2788">
        <f ca="1">'[2]剩余法-待开发'!$E$8</f>
        <v>20170</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258779</v>
      </c>
      <c r="D9" s="441">
        <f>SUMIF('数据-汇总表'!$C19:$C33,'剩余法-待开发'!D7,'数据-汇总表'!$E19:$E33)</f>
        <v>28000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ROUND(C8*C9/10000,0)</f>
        <v>619646</v>
      </c>
      <c r="D10" s="2980">
        <f>ROUND(D8*D9/10000,0)</f>
        <v>9800</v>
      </c>
      <c r="E10" s="2980">
        <f ca="1">ROUND(E8*E9/10000,0)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91769</v>
      </c>
      <c r="D13" s="2798"/>
      <c r="E13" s="2799"/>
      <c r="F13" s="2800"/>
      <c r="G13" s="2766"/>
      <c r="H13" s="2767"/>
      <c r="I13" s="2767"/>
      <c r="J13" s="2767"/>
      <c r="K13" s="2768"/>
    </row>
    <row r="14" spans="1:31" s="2100" customFormat="1" ht="13.5" customHeight="1">
      <c r="A14" s="2796" t="s">
        <v>1849</v>
      </c>
      <c r="B14" s="2797" t="s">
        <v>480</v>
      </c>
      <c r="C14" s="53">
        <f ca="1">ROUND(C13*F14,0)</f>
        <v>2753</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3671</v>
      </c>
      <c r="D15" s="2798"/>
      <c r="E15" s="2799"/>
      <c r="F15" s="2801">
        <f>'数据-取费表'!B34</f>
        <v>0.04</v>
      </c>
      <c r="G15" s="2766" t="s">
        <v>483</v>
      </c>
      <c r="H15" s="2767"/>
      <c r="I15" s="2767"/>
      <c r="J15" s="2767"/>
      <c r="K15" s="2768"/>
    </row>
    <row r="16" spans="1:31" s="2101" customFormat="1" ht="13.5" customHeight="1">
      <c r="A16" s="2796" t="s">
        <v>1851</v>
      </c>
      <c r="B16" s="2797" t="s">
        <v>484</v>
      </c>
      <c r="C16" s="53">
        <f ca="1">ROUND(D16*E16/10000,0)</f>
        <v>5781</v>
      </c>
      <c r="D16" s="2798">
        <f ca="1">IF(B1="",'数据-汇总表'!E3,INDIRECT("'数据-取费表'!K"&amp;$K$1)+INDIRECT("'数据-取费表'!S"&amp;$K$1))</f>
        <v>289029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1377</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105351</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289029</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4711</v>
      </c>
      <c r="D20" s="2808"/>
      <c r="E20" s="2762"/>
      <c r="F20" s="2809"/>
      <c r="G20" s="3039"/>
      <c r="H20" s="2764"/>
      <c r="I20" s="2765" t="s">
        <v>2650</v>
      </c>
      <c r="J20" s="2771"/>
      <c r="K20" s="2772"/>
    </row>
    <row r="21" spans="1:14" s="2100" customFormat="1" ht="13.5" customHeight="1">
      <c r="A21" s="2796" t="s">
        <v>1856</v>
      </c>
      <c r="B21" s="2797" t="s">
        <v>491</v>
      </c>
      <c r="C21" s="53">
        <f ca="1">ROUND(D21*E21/10000,0)</f>
        <v>4674</v>
      </c>
      <c r="D21" s="2798">
        <f ca="1">IF(B1="",'数据-汇总表'!E5,IF(INDIRECT("'数据-取费表'!c"&amp;$K$1)="住宅",INDIRECT("'数据-取费表'!k"&amp;$K$1),0))</f>
        <v>286779</v>
      </c>
      <c r="E21" s="53">
        <f>'数据-取费表'!B27</f>
        <v>163</v>
      </c>
      <c r="F21" s="2801"/>
      <c r="G21" s="26"/>
      <c r="H21" s="51"/>
      <c r="I21" s="51"/>
      <c r="J21" s="51"/>
      <c r="K21" s="2773"/>
    </row>
    <row r="22" spans="1:14" s="2100" customFormat="1" ht="13.5" customHeight="1">
      <c r="A22" s="2796" t="s">
        <v>1857</v>
      </c>
      <c r="B22" s="2797" t="s">
        <v>492</v>
      </c>
      <c r="C22" s="53">
        <f ca="1">ROUND(D22*E22/10000,0)</f>
        <v>37</v>
      </c>
      <c r="D22" s="2798">
        <f ca="1">IF(B1="",'数据-汇总表'!E6,IF(INDIRECT("'数据-取费表'!c"&amp;$K$1)="住宅",INDIRECT("'数据-取费表'!s"&amp;$K$1),INDIRECT("'数据-取费表'!k"&amp;$K$1)+INDIRECT("'数据-取费表'!s"&amp;$K$1)))</f>
        <v>2250</v>
      </c>
      <c r="E22" s="53">
        <f>'数据-取费表'!B28</f>
        <v>163</v>
      </c>
      <c r="F22" s="2801"/>
      <c r="G22" s="26"/>
      <c r="H22" s="51"/>
      <c r="I22" s="51"/>
      <c r="J22" s="51"/>
      <c r="K22" s="2773"/>
    </row>
    <row r="23" spans="1:14" s="2100" customFormat="1" ht="13.5" customHeight="1">
      <c r="A23" s="2804" t="s">
        <v>1858</v>
      </c>
      <c r="B23" s="2986" t="s">
        <v>2833</v>
      </c>
      <c r="C23" s="2806">
        <f ca="1">ROUND((C18+C19+C20)*F23,0)</f>
        <v>2201</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2836</v>
      </c>
      <c r="C24" s="2806">
        <f ca="1">ROUND(C6*F24,0)</f>
        <v>6294</v>
      </c>
      <c r="D24" s="475"/>
      <c r="E24" s="473"/>
      <c r="F24" s="2810">
        <f>'数据-取费表'!B38</f>
        <v>0.01</v>
      </c>
      <c r="G24" s="2775" t="s">
        <v>499</v>
      </c>
      <c r="H24" s="2769"/>
      <c r="I24" s="2769"/>
      <c r="J24" s="2769"/>
      <c r="K24" s="279"/>
      <c r="L24" s="2102"/>
      <c r="M24" s="2102"/>
      <c r="N24" s="2102"/>
    </row>
    <row r="25" spans="1:14" s="2103" customFormat="1" ht="13.5" customHeight="1">
      <c r="A25" s="2804" t="s">
        <v>1860</v>
      </c>
      <c r="B25" s="2986" t="s">
        <v>2834</v>
      </c>
      <c r="C25" s="467">
        <f>ROUND(F25/(1+'数据-取费表'!C42),4)</f>
        <v>2.9000000000000001E-2</v>
      </c>
      <c r="D25" s="462" t="s">
        <v>2828</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2835</v>
      </c>
      <c r="C26" s="2811">
        <f ca="1">C28</f>
        <v>5631</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2837</v>
      </c>
      <c r="C28" s="2814">
        <f ca="1">ROUND(IF('数据-取费表'!B22&lt;=1,(C18+C19+C20+C23+C24)*F26*'数据-取费表'!B24/2,(C18+C19+C20+C23+C24)*(POWER((1+F26),'数据-取费表'!B24/2)-1)),0)</f>
        <v>5631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33570</v>
      </c>
      <c r="D29" s="468"/>
      <c r="E29" s="468"/>
      <c r="F29" s="2988">
        <f>'数据-取费表'!B41</f>
        <v>5.6000000000000001E-2</v>
      </c>
      <c r="G29" s="2775" t="s">
        <v>498</v>
      </c>
      <c r="H29" s="2767"/>
      <c r="I29" s="2767"/>
      <c r="J29" s="2767"/>
      <c r="K29" s="2768"/>
    </row>
    <row r="30" spans="1:14" s="2105" customFormat="1" ht="13.5" customHeight="1">
      <c r="A30" s="1619" t="s">
        <v>1863</v>
      </c>
      <c r="B30" s="2816" t="s">
        <v>500</v>
      </c>
      <c r="C30" s="2811">
        <f ca="1">C31</f>
        <v>157758</v>
      </c>
      <c r="D30" s="477">
        <f ca="1">C32</f>
        <v>0.12909999999999999</v>
      </c>
      <c r="E30" s="469" t="s">
        <v>495</v>
      </c>
      <c r="F30" s="471"/>
      <c r="G30" s="2774" t="s">
        <v>2970</v>
      </c>
      <c r="H30" s="2767"/>
      <c r="I30" s="2767"/>
      <c r="J30" s="2767"/>
      <c r="K30" s="2768"/>
    </row>
    <row r="31" spans="1:14" s="2104" customFormat="1" ht="13.5" customHeight="1">
      <c r="A31" s="803" t="s">
        <v>1856</v>
      </c>
      <c r="B31" s="2812"/>
      <c r="C31" s="450">
        <f ca="1">C18+C19+C20+C23+C24+C26+C29</f>
        <v>157758</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5" t="s">
        <v>2832</v>
      </c>
      <c r="B33" s="2983" t="s">
        <v>2830</v>
      </c>
      <c r="C33" s="478">
        <f ca="1">C35</f>
        <v>10670</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2290</v>
      </c>
      <c r="H34" s="2769"/>
      <c r="I34" s="2769"/>
      <c r="J34" s="2769"/>
      <c r="K34" s="279"/>
    </row>
    <row r="35" spans="1:11" s="2107" customFormat="1" ht="13.5" customHeight="1" thickBot="1">
      <c r="A35" s="1620" t="s">
        <v>1857</v>
      </c>
      <c r="B35" s="2984" t="s">
        <v>2838</v>
      </c>
      <c r="C35" s="1612">
        <f ca="1">ROUND((C18+C19+C20+C23+C24)*F33,0)</f>
        <v>10670</v>
      </c>
      <c r="D35" s="1613"/>
      <c r="E35" s="2818"/>
      <c r="F35" s="1614"/>
      <c r="G35" s="2776"/>
      <c r="H35" s="2777"/>
      <c r="I35" s="2777"/>
      <c r="J35" s="2777"/>
      <c r="K35" s="2778"/>
    </row>
    <row r="36" spans="1:11" s="2069" customFormat="1" ht="13.5" customHeight="1" thickBot="1">
      <c r="A36" s="284" t="s">
        <v>1844</v>
      </c>
      <c r="B36" s="2780"/>
      <c r="C36" s="2819">
        <f ca="1">ROUND((C6-C30-C33)/(1+D30+D33),0)</f>
        <v>377358</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2651</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91769</v>
      </c>
      <c r="D13" s="451"/>
      <c r="E13" s="365"/>
      <c r="F13" s="452"/>
      <c r="G13" s="444"/>
      <c r="H13" s="447"/>
      <c r="I13" s="447"/>
      <c r="J13" s="447"/>
      <c r="K13" s="448"/>
    </row>
    <row r="14" spans="1:41" s="2100" customFormat="1" ht="13.5" customHeight="1">
      <c r="A14" s="1617" t="s">
        <v>1849</v>
      </c>
      <c r="B14" s="449" t="s">
        <v>480</v>
      </c>
      <c r="C14" s="53">
        <f ca="1">ROUND(C13*F14,0)</f>
        <v>2753</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3671</v>
      </c>
      <c r="D15" s="451"/>
      <c r="E15" s="365"/>
      <c r="F15" s="453">
        <f>'数据-取费表'!B34</f>
        <v>0.04</v>
      </c>
      <c r="G15" s="444" t="s">
        <v>502</v>
      </c>
      <c r="H15" s="447"/>
      <c r="I15" s="447"/>
      <c r="J15" s="447"/>
      <c r="K15" s="448"/>
    </row>
    <row r="16" spans="1:41" s="2101" customFormat="1" ht="13.5" customHeight="1">
      <c r="A16" s="1617" t="s">
        <v>1851</v>
      </c>
      <c r="B16" s="449" t="s">
        <v>484</v>
      </c>
      <c r="C16" s="53">
        <f ca="1">ROUND(D16*E16/10000,0)</f>
        <v>5781</v>
      </c>
      <c r="D16" s="451">
        <f ca="1">IF(B1="",'数据-汇总表'!E3,INDIRECT("'数据-取费表'!K"&amp;$K$1)+INDIRECT("'数据-取费表'!S"&amp;$K$1))</f>
        <v>289029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1377</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105351</v>
      </c>
      <c r="D18" s="461"/>
      <c r="E18" s="462"/>
      <c r="F18" s="462"/>
      <c r="G18" s="1323" t="s">
        <v>2432</v>
      </c>
      <c r="H18" s="447"/>
      <c r="I18" s="447"/>
      <c r="J18" s="447"/>
      <c r="K18" s="448"/>
    </row>
    <row r="19" spans="1:14" s="2103" customFormat="1" ht="13.5" customHeight="1">
      <c r="A19" s="1618" t="s">
        <v>1854</v>
      </c>
      <c r="B19" s="459" t="s">
        <v>493</v>
      </c>
      <c r="C19" s="460">
        <f ca="1">ROUND(C18*F19,0)</f>
        <v>2107</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0.01</v>
      </c>
      <c r="D20" s="469" t="s">
        <v>505</v>
      </c>
      <c r="E20" s="469"/>
      <c r="F20" s="486">
        <f>'数据-取费表'!B38</f>
        <v>0.01</v>
      </c>
      <c r="G20" s="1323" t="s">
        <v>506</v>
      </c>
      <c r="H20" s="447"/>
      <c r="I20" s="447"/>
      <c r="J20" s="447"/>
      <c r="K20" s="448"/>
      <c r="L20" s="2105"/>
      <c r="M20" s="2105"/>
      <c r="N20" s="2105"/>
    </row>
    <row r="21" spans="1:14" s="2105" customFormat="1" ht="13.5" customHeight="1">
      <c r="A21" s="1618" t="s">
        <v>1858</v>
      </c>
      <c r="B21" s="461" t="s">
        <v>494</v>
      </c>
      <c r="C21" s="470">
        <f ca="1">C22</f>
        <v>5104</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4" t="s">
        <v>2435</v>
      </c>
      <c r="C22" s="487">
        <f ca="1">ROUND(IF('数据-取费表'!B22&lt;=1,(C18+C19)*F21*'数据-取费表'!B20/2,(C18+C19)*(POWER((1+F21),'数据-取费表'!B20/2)-1)),0)</f>
        <v>5104</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2831</v>
      </c>
      <c r="C24" s="478">
        <f ca="1">C25</f>
        <v>9671</v>
      </c>
      <c r="D24" s="489">
        <f ca="1">C26</f>
        <v>8.9999999999999998E-4</v>
      </c>
      <c r="E24" s="469" t="s">
        <v>507</v>
      </c>
      <c r="F24" s="479">
        <f ca="1">IF(B1="",'数据-取费表'!Q16,INDIRECT("'数据-取费表'!q"&amp;$K$1))</f>
        <v>0.09</v>
      </c>
      <c r="G24" s="444"/>
      <c r="H24" s="447"/>
      <c r="I24" s="447"/>
      <c r="J24" s="447"/>
      <c r="K24" s="448"/>
    </row>
    <row r="25" spans="1:14" s="2104" customFormat="1" ht="13.5" customHeight="1">
      <c r="A25" s="1617" t="s">
        <v>1848</v>
      </c>
      <c r="B25" s="1324" t="s">
        <v>2436</v>
      </c>
      <c r="C25" s="490">
        <f ca="1">ROUND((C18+C19)*F24,0)</f>
        <v>9671</v>
      </c>
      <c r="D25" s="472"/>
      <c r="E25" s="473"/>
      <c r="F25" s="480"/>
      <c r="G25" s="1322" t="s">
        <v>2433</v>
      </c>
      <c r="H25" s="457"/>
      <c r="I25" s="457"/>
      <c r="J25" s="457"/>
      <c r="K25" s="458"/>
    </row>
    <row r="26" spans="1:14" s="2104" customFormat="1" ht="13.5" customHeight="1">
      <c r="A26" s="1617" t="s">
        <v>1849</v>
      </c>
      <c r="B26" s="1324" t="s">
        <v>509</v>
      </c>
      <c r="C26" s="491">
        <f ca="1">ROUND(F20*F24,4)</f>
        <v>8.9999999999999998E-4</v>
      </c>
      <c r="D26" s="472"/>
      <c r="E26" s="481"/>
      <c r="F26" s="480"/>
      <c r="G26" s="1322" t="s">
        <v>510</v>
      </c>
      <c r="H26" s="457"/>
      <c r="I26" s="457"/>
      <c r="J26" s="457"/>
      <c r="K26" s="458"/>
    </row>
    <row r="27" spans="1:14" s="2104" customFormat="1" ht="13.5" customHeight="1">
      <c r="A27" s="1621" t="s">
        <v>1867</v>
      </c>
      <c r="B27" s="459" t="s">
        <v>511</v>
      </c>
      <c r="C27" s="2982">
        <f>ROUND(F27/(1+'数据-取费表'!C42),4)</f>
        <v>5.33E-2</v>
      </c>
      <c r="D27" s="462" t="s">
        <v>2829</v>
      </c>
      <c r="E27" s="462"/>
      <c r="F27" s="466">
        <f>'数据-取费表'!B41</f>
        <v>5.6000000000000001E-2</v>
      </c>
      <c r="G27" s="1944" t="s">
        <v>2291</v>
      </c>
      <c r="H27" s="447"/>
      <c r="I27" s="447"/>
      <c r="J27" s="447"/>
      <c r="K27" s="448"/>
    </row>
    <row r="28" spans="1:14" s="2105" customFormat="1" ht="13.5" customHeight="1">
      <c r="A28" s="1621" t="s">
        <v>1868</v>
      </c>
      <c r="B28" s="476" t="s">
        <v>512</v>
      </c>
      <c r="C28" s="470">
        <f ca="1">ROUND((C18+C19+C21+C24)/(1-C20-D21-D24-C27),0)</f>
        <v>130689</v>
      </c>
      <c r="D28" s="477"/>
      <c r="E28" s="469"/>
      <c r="F28" s="471"/>
      <c r="G28" s="1323"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07" t="s">
        <v>522</v>
      </c>
      <c r="D6" s="3408"/>
      <c r="E6" s="3441" t="s">
        <v>523</v>
      </c>
      <c r="F6" s="3442"/>
      <c r="G6" s="3407" t="s">
        <v>524</v>
      </c>
      <c r="H6" s="3408"/>
      <c r="I6" s="3407" t="s">
        <v>525</v>
      </c>
      <c r="J6" s="3408"/>
      <c r="K6" s="514" t="s">
        <v>526</v>
      </c>
      <c r="L6" s="2117"/>
      <c r="M6" s="2118"/>
      <c r="N6" s="2118"/>
      <c r="O6" s="2118"/>
      <c r="P6" s="3409" t="s">
        <v>527</v>
      </c>
      <c r="Q6" s="3410"/>
      <c r="R6" s="3415" t="s">
        <v>523</v>
      </c>
      <c r="S6" s="3416"/>
      <c r="T6" s="3415" t="s">
        <v>524</v>
      </c>
      <c r="U6" s="3416"/>
      <c r="V6" s="3402" t="s">
        <v>525</v>
      </c>
      <c r="W6" s="3402"/>
      <c r="X6" s="1552"/>
      <c r="Y6" s="3415" t="s">
        <v>527</v>
      </c>
      <c r="Z6" s="3416"/>
      <c r="AA6" s="3404" t="s">
        <v>523</v>
      </c>
      <c r="AB6" s="3405" t="s">
        <v>524</v>
      </c>
      <c r="AC6" s="3404" t="s">
        <v>525</v>
      </c>
    </row>
    <row r="7" spans="1:29" ht="15">
      <c r="A7" s="515"/>
      <c r="B7" s="516"/>
      <c r="C7" s="3423" t="s">
        <v>2928</v>
      </c>
      <c r="D7" s="3424"/>
      <c r="E7" s="3443" t="s">
        <v>2929</v>
      </c>
      <c r="F7" s="3444"/>
      <c r="G7" s="3423" t="s">
        <v>2930</v>
      </c>
      <c r="H7" s="3424"/>
      <c r="I7" s="3423" t="s">
        <v>2931</v>
      </c>
      <c r="J7" s="3424"/>
      <c r="K7" s="514"/>
      <c r="L7" s="2117"/>
      <c r="M7" s="2118"/>
      <c r="N7" s="2118"/>
      <c r="O7" s="2118"/>
      <c r="P7" s="3411"/>
      <c r="Q7" s="3412"/>
      <c r="R7" s="3417"/>
      <c r="S7" s="3418"/>
      <c r="T7" s="3417"/>
      <c r="U7" s="3418"/>
      <c r="V7" s="3402"/>
      <c r="W7" s="3402"/>
      <c r="X7" s="1552"/>
      <c r="Y7" s="3417"/>
      <c r="Z7" s="3418"/>
      <c r="AA7" s="3405"/>
      <c r="AB7" s="3405"/>
      <c r="AC7" s="3405"/>
    </row>
    <row r="8" spans="1:29" ht="15.75" thickBot="1">
      <c r="A8" s="517"/>
      <c r="B8" s="518"/>
      <c r="C8" s="3421" t="s">
        <v>2932</v>
      </c>
      <c r="D8" s="3422"/>
      <c r="E8" s="3439" t="s">
        <v>2932</v>
      </c>
      <c r="F8" s="3440"/>
      <c r="G8" s="3421" t="s">
        <v>2932</v>
      </c>
      <c r="H8" s="3422"/>
      <c r="I8" s="3421" t="s">
        <v>2932</v>
      </c>
      <c r="J8" s="3422"/>
      <c r="K8" s="514" t="s">
        <v>528</v>
      </c>
      <c r="L8" s="2117"/>
      <c r="M8" s="2118"/>
      <c r="N8" s="2118"/>
      <c r="O8" s="2118"/>
      <c r="P8" s="3413"/>
      <c r="Q8" s="3414"/>
      <c r="R8" s="3417"/>
      <c r="S8" s="3418"/>
      <c r="T8" s="3419"/>
      <c r="U8" s="3420"/>
      <c r="V8" s="3402"/>
      <c r="W8" s="3402"/>
      <c r="X8" s="1552"/>
      <c r="Y8" s="3419"/>
      <c r="Z8" s="3420"/>
      <c r="AA8" s="3406"/>
      <c r="AB8" s="3406"/>
      <c r="AC8" s="3406"/>
    </row>
    <row r="9" spans="1:29" s="1216" customFormat="1" ht="15.75" thickBot="1">
      <c r="A9" s="2866"/>
      <c r="B9" s="2873" t="s">
        <v>529</v>
      </c>
      <c r="C9" s="519">
        <f>'数据-取费表'!B2</f>
        <v>43689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2" t="s">
        <v>530</v>
      </c>
      <c r="Q9" s="3434"/>
      <c r="R9" s="1553" t="s">
        <v>8</v>
      </c>
      <c r="S9" s="1554">
        <f t="shared" ref="S9:S17" si="0">F9</f>
        <v>0</v>
      </c>
      <c r="T9" s="1553" t="s">
        <v>8</v>
      </c>
      <c r="U9" s="1554">
        <f t="shared" ref="U9:U17" si="1">H9</f>
        <v>0</v>
      </c>
      <c r="V9" s="1553" t="s">
        <v>8</v>
      </c>
      <c r="W9" s="1554">
        <f t="shared" ref="W9:W17" si="2">J9</f>
        <v>0</v>
      </c>
      <c r="X9" s="1555"/>
      <c r="Y9" s="3432" t="s">
        <v>530</v>
      </c>
      <c r="Z9" s="3433"/>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2" t="s">
        <v>533</v>
      </c>
      <c r="Q10" s="3433"/>
      <c r="R10" s="1553" t="s">
        <v>8</v>
      </c>
      <c r="S10" s="1554">
        <f t="shared" si="0"/>
        <v>0</v>
      </c>
      <c r="T10" s="1553" t="s">
        <v>8</v>
      </c>
      <c r="U10" s="1554">
        <f t="shared" si="1"/>
        <v>0</v>
      </c>
      <c r="V10" s="1553" t="s">
        <v>8</v>
      </c>
      <c r="W10" s="1554">
        <f t="shared" si="2"/>
        <v>0</v>
      </c>
      <c r="X10" s="1555"/>
      <c r="Y10" s="3432" t="s">
        <v>533</v>
      </c>
      <c r="Z10" s="3433"/>
      <c r="AA10" s="1556" t="e">
        <f t="shared" ref="AA10:AA42" si="3">D10/F10</f>
        <v>#DIV/0!</v>
      </c>
      <c r="AB10" s="1556" t="e">
        <f t="shared" ref="AB10:AB42" si="4">D10/H10</f>
        <v>#DIV/0!</v>
      </c>
      <c r="AC10" s="1556"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1" t="s">
        <v>535</v>
      </c>
      <c r="Q11" s="1147" t="str">
        <f t="shared" ref="Q11:Q17" si="6">B11</f>
        <v>用途</v>
      </c>
      <c r="R11" s="1553" t="s">
        <v>8</v>
      </c>
      <c r="S11" s="1554">
        <f t="shared" si="0"/>
        <v>100</v>
      </c>
      <c r="T11" s="1553" t="s">
        <v>8</v>
      </c>
      <c r="U11" s="1554">
        <f t="shared" si="1"/>
        <v>100</v>
      </c>
      <c r="V11" s="1553" t="s">
        <v>8</v>
      </c>
      <c r="W11" s="1554">
        <f t="shared" si="2"/>
        <v>100</v>
      </c>
      <c r="X11" s="1555"/>
      <c r="Y11" s="3347" t="s">
        <v>536</v>
      </c>
      <c r="Z11" s="1146" t="str">
        <f t="shared" ref="Z11:Z17" si="7">Q11</f>
        <v>用途</v>
      </c>
      <c r="AA11" s="1556">
        <f t="shared" si="3"/>
        <v>1</v>
      </c>
      <c r="AB11" s="1556">
        <f t="shared" si="4"/>
        <v>1</v>
      </c>
      <c r="AC11" s="1556">
        <f t="shared" si="5"/>
        <v>1</v>
      </c>
    </row>
    <row r="12" spans="1:29" s="1334" customFormat="1" ht="27">
      <c r="A12" s="2869"/>
      <c r="B12" s="2874" t="s">
        <v>2756</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1"/>
      <c r="Q13" s="1147" t="str">
        <f t="shared" si="6"/>
        <v>容积率</v>
      </c>
      <c r="R13" s="1553" t="s">
        <v>8</v>
      </c>
      <c r="S13" s="1554" t="e">
        <f t="shared" si="0"/>
        <v>#N/A</v>
      </c>
      <c r="T13" s="1553" t="s">
        <v>8</v>
      </c>
      <c r="U13" s="1554" t="e">
        <f t="shared" si="1"/>
        <v>#N/A</v>
      </c>
      <c r="V13" s="1553" t="s">
        <v>8</v>
      </c>
      <c r="W13" s="1554" t="e">
        <f t="shared" si="2"/>
        <v>#N/A</v>
      </c>
      <c r="X13" s="1555"/>
      <c r="Y13" s="3347"/>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 t="shared" si="3"/>
        <v>1</v>
      </c>
      <c r="AB16" s="1556">
        <f t="shared" si="4"/>
        <v>1</v>
      </c>
      <c r="AC16" s="1556">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5" t="s">
        <v>540</v>
      </c>
      <c r="Q17" s="1557" t="str">
        <f t="shared" si="6"/>
        <v>产业集聚程度</v>
      </c>
      <c r="R17" s="1558" t="s">
        <v>8</v>
      </c>
      <c r="S17" s="1559">
        <f t="shared" si="0"/>
        <v>100</v>
      </c>
      <c r="T17" s="1558" t="s">
        <v>8</v>
      </c>
      <c r="U17" s="1559">
        <f t="shared" si="1"/>
        <v>100</v>
      </c>
      <c r="V17" s="1558" t="s">
        <v>8</v>
      </c>
      <c r="W17" s="1559">
        <f t="shared" si="2"/>
        <v>100</v>
      </c>
      <c r="X17" s="1552"/>
      <c r="Y17" s="3435"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36"/>
      <c r="Q18" s="1557"/>
      <c r="R18" s="1558"/>
      <c r="S18" s="1559"/>
      <c r="T18" s="1558"/>
      <c r="U18" s="1559"/>
      <c r="V18" s="1558"/>
      <c r="W18" s="1559"/>
      <c r="X18" s="1552"/>
      <c r="Y18" s="3436"/>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6"/>
      <c r="Q19" s="1557" t="str">
        <f>B19</f>
        <v>交通便捷度</v>
      </c>
      <c r="R19" s="1558" t="s">
        <v>8</v>
      </c>
      <c r="S19" s="1559">
        <f>F19</f>
        <v>100</v>
      </c>
      <c r="T19" s="1558" t="s">
        <v>8</v>
      </c>
      <c r="U19" s="1559">
        <f>H19</f>
        <v>100</v>
      </c>
      <c r="V19" s="1558" t="s">
        <v>8</v>
      </c>
      <c r="W19" s="1559">
        <f>J19</f>
        <v>100</v>
      </c>
      <c r="X19" s="1552"/>
      <c r="Y19" s="3436"/>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36"/>
      <c r="Q21" s="1557" t="str">
        <f t="shared" ref="Q21:Q35" si="8">B21</f>
        <v>区域土地利用方向</v>
      </c>
      <c r="R21" s="1558" t="s">
        <v>8</v>
      </c>
      <c r="S21" s="1559">
        <f>F21</f>
        <v>100</v>
      </c>
      <c r="T21" s="1558" t="s">
        <v>8</v>
      </c>
      <c r="U21" s="1559">
        <f>H21</f>
        <v>100</v>
      </c>
      <c r="V21" s="1558" t="s">
        <v>8</v>
      </c>
      <c r="W21" s="1559">
        <f>J21</f>
        <v>100</v>
      </c>
      <c r="X21" s="1552"/>
      <c r="Y21" s="343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36"/>
      <c r="Q22" s="1557"/>
      <c r="R22" s="1558"/>
      <c r="S22" s="1559"/>
      <c r="T22" s="1558"/>
      <c r="U22" s="1559"/>
      <c r="V22" s="1558"/>
      <c r="W22" s="1559"/>
      <c r="X22" s="1552"/>
      <c r="Y22" s="3436"/>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6"/>
      <c r="Q23" s="1557" t="str">
        <f t="shared" si="8"/>
        <v>环境状况</v>
      </c>
      <c r="R23" s="1558" t="s">
        <v>8</v>
      </c>
      <c r="S23" s="1559">
        <f>F23</f>
        <v>100</v>
      </c>
      <c r="T23" s="1558" t="s">
        <v>8</v>
      </c>
      <c r="U23" s="1559">
        <f>H23</f>
        <v>100</v>
      </c>
      <c r="V23" s="1558" t="s">
        <v>8</v>
      </c>
      <c r="W23" s="1559">
        <f>J23</f>
        <v>100</v>
      </c>
      <c r="X23" s="1552"/>
      <c r="Y23" s="343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36"/>
      <c r="Q24" s="1557"/>
      <c r="R24" s="1558"/>
      <c r="S24" s="1559"/>
      <c r="T24" s="1558"/>
      <c r="U24" s="1559"/>
      <c r="V24" s="1558"/>
      <c r="W24" s="1559"/>
      <c r="X24" s="1552"/>
      <c r="Y24" s="3436"/>
      <c r="Z24" s="1560"/>
      <c r="AA24" s="1561">
        <v>1</v>
      </c>
      <c r="AB24" s="1561">
        <v>1</v>
      </c>
      <c r="AC24" s="1561">
        <v>1</v>
      </c>
    </row>
    <row r="25" spans="1:29" s="1216" customFormat="1" ht="42.75">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6"/>
      <c r="Q25" s="1147" t="str">
        <f t="shared" si="8"/>
        <v>公共配套设施</v>
      </c>
      <c r="R25" s="1553" t="s">
        <v>8</v>
      </c>
      <c r="S25" s="1554">
        <f>F25</f>
        <v>100</v>
      </c>
      <c r="T25" s="1553" t="s">
        <v>8</v>
      </c>
      <c r="U25" s="1554">
        <f>H25</f>
        <v>100</v>
      </c>
      <c r="V25" s="1553" t="s">
        <v>8</v>
      </c>
      <c r="W25" s="1554">
        <f>J25</f>
        <v>100</v>
      </c>
      <c r="X25" s="1555"/>
      <c r="Y25" s="3436"/>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36"/>
      <c r="Q26" s="1147"/>
      <c r="R26" s="1553"/>
      <c r="S26" s="1554"/>
      <c r="T26" s="1553"/>
      <c r="U26" s="1554"/>
      <c r="V26" s="1553"/>
      <c r="W26" s="1554"/>
      <c r="X26" s="1555"/>
      <c r="Y26" s="3436"/>
      <c r="Z26" s="1146"/>
      <c r="AA26" s="1556">
        <v>1</v>
      </c>
      <c r="AB26" s="1556">
        <v>1</v>
      </c>
      <c r="AC26" s="1556">
        <v>1</v>
      </c>
    </row>
    <row r="27" spans="1:29" s="1216" customFormat="1" ht="28.5">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6"/>
      <c r="Q27" s="2541" t="str">
        <f t="shared" ref="Q27" si="9">B27</f>
        <v>基础设施水平</v>
      </c>
      <c r="R27" s="1553" t="s">
        <v>8</v>
      </c>
      <c r="S27" s="1554">
        <f>F27</f>
        <v>100</v>
      </c>
      <c r="T27" s="1553" t="s">
        <v>8</v>
      </c>
      <c r="U27" s="1554">
        <f>H27</f>
        <v>100</v>
      </c>
      <c r="V27" s="1553" t="s">
        <v>8</v>
      </c>
      <c r="W27" s="1554">
        <f>J27</f>
        <v>100</v>
      </c>
      <c r="X27" s="1555"/>
      <c r="Y27" s="3436"/>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36"/>
      <c r="Q28" s="2541"/>
      <c r="R28" s="1553"/>
      <c r="S28" s="1554"/>
      <c r="T28" s="1553"/>
      <c r="U28" s="1554"/>
      <c r="V28" s="1553"/>
      <c r="W28" s="1554"/>
      <c r="X28" s="1555"/>
      <c r="Y28" s="3436"/>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6"/>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6"/>
      <c r="Q30" s="1557" t="str">
        <f t="shared" si="8"/>
        <v>毗邻道路的类型与等级</v>
      </c>
      <c r="R30" s="1558" t="s">
        <v>8</v>
      </c>
      <c r="S30" s="1559">
        <f t="shared" si="10"/>
        <v>100</v>
      </c>
      <c r="T30" s="1558" t="s">
        <v>8</v>
      </c>
      <c r="U30" s="1559">
        <f t="shared" si="11"/>
        <v>100</v>
      </c>
      <c r="V30" s="1558" t="s">
        <v>8</v>
      </c>
      <c r="W30" s="1559">
        <f t="shared" si="12"/>
        <v>100</v>
      </c>
      <c r="X30" s="1552"/>
      <c r="Y30" s="343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36"/>
      <c r="Q31" s="1557"/>
      <c r="R31" s="1558"/>
      <c r="S31" s="1559"/>
      <c r="T31" s="1558"/>
      <c r="U31" s="1559"/>
      <c r="V31" s="1558"/>
      <c r="W31" s="1559"/>
      <c r="X31" s="1552"/>
      <c r="Y31" s="3436"/>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6"/>
      <c r="Q32" s="1557" t="str">
        <f t="shared" si="8"/>
        <v>土地级别</v>
      </c>
      <c r="R32" s="1558" t="s">
        <v>8</v>
      </c>
      <c r="S32" s="1559">
        <f t="shared" si="10"/>
        <v>100</v>
      </c>
      <c r="T32" s="1558" t="s">
        <v>8</v>
      </c>
      <c r="U32" s="1559">
        <f t="shared" si="11"/>
        <v>100</v>
      </c>
      <c r="V32" s="1558" t="s">
        <v>8</v>
      </c>
      <c r="W32" s="1559">
        <f t="shared" si="12"/>
        <v>100</v>
      </c>
      <c r="X32" s="1552"/>
      <c r="Y32" s="3436"/>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6"/>
      <c r="Q33" s="1557">
        <f t="shared" si="8"/>
        <v>111</v>
      </c>
      <c r="R33" s="1558" t="s">
        <v>8</v>
      </c>
      <c r="S33" s="1559">
        <f t="shared" si="10"/>
        <v>100</v>
      </c>
      <c r="T33" s="1558" t="s">
        <v>8</v>
      </c>
      <c r="U33" s="1559">
        <f t="shared" si="11"/>
        <v>100</v>
      </c>
      <c r="V33" s="1558" t="s">
        <v>8</v>
      </c>
      <c r="W33" s="1559">
        <f t="shared" si="12"/>
        <v>100</v>
      </c>
      <c r="X33" s="1552"/>
      <c r="Y33" s="343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7" t="s">
        <v>550</v>
      </c>
      <c r="Q34" s="1557">
        <f t="shared" si="8"/>
        <v>111</v>
      </c>
      <c r="R34" s="1558" t="s">
        <v>8</v>
      </c>
      <c r="S34" s="1559">
        <f t="shared" si="10"/>
        <v>100</v>
      </c>
      <c r="T34" s="1558" t="s">
        <v>8</v>
      </c>
      <c r="U34" s="1559">
        <f t="shared" si="11"/>
        <v>100</v>
      </c>
      <c r="V34" s="1558" t="s">
        <v>8</v>
      </c>
      <c r="W34" s="1559">
        <f t="shared" si="12"/>
        <v>100</v>
      </c>
      <c r="X34" s="1552"/>
      <c r="Y34" s="3438"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8"/>
      <c r="Q35" s="1557">
        <f t="shared" si="8"/>
        <v>111</v>
      </c>
      <c r="R35" s="1562" t="s">
        <v>8</v>
      </c>
      <c r="S35" s="1563">
        <f t="shared" si="10"/>
        <v>100</v>
      </c>
      <c r="T35" s="1562" t="s">
        <v>8</v>
      </c>
      <c r="U35" s="1563">
        <f t="shared" si="11"/>
        <v>100</v>
      </c>
      <c r="V35" s="1562" t="s">
        <v>8</v>
      </c>
      <c r="W35" s="1563">
        <f t="shared" si="12"/>
        <v>100</v>
      </c>
      <c r="X35" s="1564"/>
      <c r="Y35" s="3438"/>
      <c r="Z35" s="1565">
        <f t="shared" si="13"/>
        <v>111</v>
      </c>
      <c r="AA35" s="1561">
        <f t="shared" si="3"/>
        <v>1</v>
      </c>
      <c r="AB35" s="1561">
        <f t="shared" si="4"/>
        <v>1</v>
      </c>
      <c r="AC35" s="1561">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8"/>
      <c r="Q36" s="1557" t="str">
        <f>B36</f>
        <v>宗地面积</v>
      </c>
      <c r="R36" s="1558" t="s">
        <v>8</v>
      </c>
      <c r="S36" s="1559" t="e">
        <f t="shared" si="10"/>
        <v>#N/A</v>
      </c>
      <c r="T36" s="1558" t="s">
        <v>8</v>
      </c>
      <c r="U36" s="1559" t="e">
        <f t="shared" si="11"/>
        <v>#N/A</v>
      </c>
      <c r="V36" s="1558" t="s">
        <v>8</v>
      </c>
      <c r="W36" s="1559" t="e">
        <f t="shared" si="12"/>
        <v>#N/A</v>
      </c>
      <c r="X36" s="1552"/>
      <c r="Y36" s="3438"/>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8"/>
      <c r="Q37" s="1557" t="str">
        <f t="shared" ref="Q37:Q42" si="14">B37</f>
        <v>宗地形状</v>
      </c>
      <c r="R37" s="1558" t="s">
        <v>8</v>
      </c>
      <c r="S37" s="1559">
        <f t="shared" si="10"/>
        <v>100</v>
      </c>
      <c r="T37" s="1558" t="s">
        <v>8</v>
      </c>
      <c r="U37" s="1559">
        <f t="shared" si="11"/>
        <v>100</v>
      </c>
      <c r="V37" s="1558" t="s">
        <v>8</v>
      </c>
      <c r="W37" s="1559">
        <f t="shared" si="12"/>
        <v>100</v>
      </c>
      <c r="X37" s="1552"/>
      <c r="Y37" s="3438"/>
      <c r="Z37" s="1560" t="str">
        <f t="shared" si="13"/>
        <v>宗地形状</v>
      </c>
      <c r="AA37" s="1561">
        <f t="shared" si="3"/>
        <v>1</v>
      </c>
      <c r="AB37" s="1561">
        <f t="shared" si="4"/>
        <v>1</v>
      </c>
      <c r="AC37" s="1561">
        <f t="shared" si="5"/>
        <v>1</v>
      </c>
    </row>
    <row r="38" spans="1:29" s="1216"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8"/>
      <c r="Q38" s="1557" t="str">
        <f t="shared" si="14"/>
        <v>宗地开发程度</v>
      </c>
      <c r="R38" s="1553" t="s">
        <v>8</v>
      </c>
      <c r="S38" s="1554">
        <f t="shared" si="10"/>
        <v>100</v>
      </c>
      <c r="T38" s="1553" t="s">
        <v>8</v>
      </c>
      <c r="U38" s="1554">
        <f t="shared" si="11"/>
        <v>100</v>
      </c>
      <c r="V38" s="1553" t="s">
        <v>8</v>
      </c>
      <c r="W38" s="1554">
        <f t="shared" si="12"/>
        <v>100</v>
      </c>
      <c r="X38" s="1555"/>
      <c r="Y38" s="3438"/>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t="s">
        <v>601</v>
      </c>
      <c r="Q39" s="1557" t="str">
        <f t="shared" si="14"/>
        <v>工程地质条件</v>
      </c>
      <c r="R39" s="1558" t="s">
        <v>8</v>
      </c>
      <c r="S39" s="1559">
        <f t="shared" si="10"/>
        <v>100</v>
      </c>
      <c r="T39" s="1558" t="s">
        <v>8</v>
      </c>
      <c r="U39" s="1559">
        <f t="shared" si="11"/>
        <v>100</v>
      </c>
      <c r="V39" s="1558" t="s">
        <v>8</v>
      </c>
      <c r="W39" s="1559">
        <f t="shared" si="12"/>
        <v>100</v>
      </c>
      <c r="X39" s="1552"/>
      <c r="Y39" s="3438"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8"/>
      <c r="Q40" s="1557">
        <f t="shared" si="14"/>
        <v>111</v>
      </c>
      <c r="R40" s="1558" t="s">
        <v>8</v>
      </c>
      <c r="S40" s="1559">
        <f t="shared" si="10"/>
        <v>100</v>
      </c>
      <c r="T40" s="1558" t="s">
        <v>8</v>
      </c>
      <c r="U40" s="1559">
        <f t="shared" si="11"/>
        <v>100</v>
      </c>
      <c r="V40" s="1558" t="s">
        <v>8</v>
      </c>
      <c r="W40" s="1559">
        <f t="shared" si="12"/>
        <v>100</v>
      </c>
      <c r="X40" s="1552"/>
      <c r="Y40" s="343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8"/>
      <c r="Q41" s="1557">
        <f t="shared" si="14"/>
        <v>111</v>
      </c>
      <c r="R41" s="1558" t="s">
        <v>8</v>
      </c>
      <c r="S41" s="1559">
        <f t="shared" si="10"/>
        <v>100</v>
      </c>
      <c r="T41" s="1558" t="s">
        <v>8</v>
      </c>
      <c r="U41" s="1559">
        <f t="shared" si="11"/>
        <v>100</v>
      </c>
      <c r="V41" s="1558" t="s">
        <v>8</v>
      </c>
      <c r="W41" s="1559">
        <f t="shared" si="12"/>
        <v>100</v>
      </c>
      <c r="X41" s="1552"/>
      <c r="Y41" s="3438"/>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8"/>
      <c r="Q42" s="1557">
        <f t="shared" si="14"/>
        <v>111</v>
      </c>
      <c r="R42" s="1562" t="s">
        <v>8</v>
      </c>
      <c r="S42" s="1563">
        <f t="shared" si="10"/>
        <v>100</v>
      </c>
      <c r="T42" s="1562" t="s">
        <v>8</v>
      </c>
      <c r="U42" s="1563">
        <f t="shared" si="11"/>
        <v>100</v>
      </c>
      <c r="V42" s="1562" t="s">
        <v>8</v>
      </c>
      <c r="W42" s="1563">
        <f t="shared" si="12"/>
        <v>100</v>
      </c>
      <c r="X42" s="1564"/>
      <c r="Y42" s="3438"/>
      <c r="Z42" s="1565">
        <f t="shared" si="13"/>
        <v>111</v>
      </c>
      <c r="AA42" s="1561">
        <f t="shared" si="3"/>
        <v>1</v>
      </c>
      <c r="AB42" s="1561">
        <f t="shared" si="4"/>
        <v>1</v>
      </c>
      <c r="AC42" s="1561">
        <f t="shared" si="5"/>
        <v>1</v>
      </c>
    </row>
    <row r="43" spans="1:29" ht="15">
      <c r="A43" s="607" t="s">
        <v>556</v>
      </c>
      <c r="B43" s="608" t="s">
        <v>2933</v>
      </c>
      <c r="C43" s="609" t="s">
        <v>1</v>
      </c>
      <c r="D43" s="610"/>
      <c r="E43" s="611"/>
      <c r="F43" s="612"/>
      <c r="G43" s="613"/>
      <c r="H43" s="614"/>
      <c r="I43" s="611"/>
      <c r="J43" s="614"/>
      <c r="K43" s="1336"/>
      <c r="L43" s="2128"/>
      <c r="M43" s="2118"/>
      <c r="N43" s="2118"/>
      <c r="O43" s="2129"/>
      <c r="P43" s="3401" t="str">
        <f>A43</f>
        <v>成交单价</v>
      </c>
      <c r="Q43" s="3401"/>
      <c r="R43" s="3402">
        <f>E43</f>
        <v>0</v>
      </c>
      <c r="S43" s="3402"/>
      <c r="T43" s="3402">
        <f>G43</f>
        <v>0</v>
      </c>
      <c r="U43" s="3402"/>
      <c r="V43" s="3402">
        <f>I43</f>
        <v>0</v>
      </c>
      <c r="W43" s="3402"/>
      <c r="X43" s="1544"/>
      <c r="Y43" s="1566"/>
      <c r="Z43" s="1544"/>
      <c r="AA43" s="1544"/>
      <c r="AB43" s="1544"/>
      <c r="AC43" s="1544"/>
    </row>
    <row r="44" spans="1:29" ht="15.75" thickBot="1">
      <c r="A44" s="615" t="s">
        <v>2692</v>
      </c>
      <c r="B44" s="616"/>
      <c r="C44" s="617" t="e">
        <f>R45</f>
        <v>#DIV/0!</v>
      </c>
      <c r="D44" s="618"/>
      <c r="E44" s="617" t="e">
        <f>R44</f>
        <v>#DIV/0!</v>
      </c>
      <c r="F44" s="619"/>
      <c r="G44" s="620" t="e">
        <f>T44</f>
        <v>#DIV/0!</v>
      </c>
      <c r="H44" s="618"/>
      <c r="I44" s="617" t="e">
        <f>V44</f>
        <v>#DIV/0!</v>
      </c>
      <c r="J44" s="618"/>
      <c r="K44" s="1337"/>
      <c r="L44" s="2128"/>
      <c r="M44" s="2118"/>
      <c r="N44" s="2118"/>
      <c r="O44" s="2129"/>
      <c r="P44" s="3401" t="str">
        <f>A44</f>
        <v>比较价格（元/平方米）</v>
      </c>
      <c r="Q44" s="3401"/>
      <c r="R44" s="3403" t="e">
        <f>ROUND(PRODUCT(R43,AA9:AA42),0)</f>
        <v>#DIV/0!</v>
      </c>
      <c r="S44" s="3403"/>
      <c r="T44" s="3403" t="e">
        <f>ROUND(PRODUCT(T43,AB9:AB42),0)</f>
        <v>#DIV/0!</v>
      </c>
      <c r="U44" s="3403"/>
      <c r="V44" s="3403" t="e">
        <f>ROUND(PRODUCT(V43,AC9:AC42),0)</f>
        <v>#DIV/0!</v>
      </c>
      <c r="W44" s="3403"/>
      <c r="X44" s="1544"/>
      <c r="Y44" s="1544"/>
      <c r="Z44" s="1544"/>
      <c r="AA44" s="1544"/>
      <c r="AB44" s="1544"/>
      <c r="AC44" s="1544"/>
    </row>
    <row r="45" spans="1:29" ht="15.75" thickBot="1">
      <c r="A45" s="621" t="s">
        <v>2934</v>
      </c>
      <c r="B45" s="622"/>
      <c r="C45" s="623" t="e">
        <f>R45</f>
        <v>#DIV/0!</v>
      </c>
      <c r="D45" s="623"/>
      <c r="E45" s="623"/>
      <c r="F45" s="623"/>
      <c r="G45" s="623"/>
      <c r="H45" s="623"/>
      <c r="I45" s="623"/>
      <c r="J45" s="623"/>
      <c r="K45" s="1338"/>
      <c r="L45" s="2128"/>
      <c r="M45" s="2118"/>
      <c r="N45" s="2118"/>
      <c r="O45" s="2129"/>
      <c r="P45" s="3398" t="str">
        <f>A45</f>
        <v>估价对象XX用房的比较价格（楼面单价，元/平方米）</v>
      </c>
      <c r="Q45" s="3399"/>
      <c r="R45" s="3400" t="e">
        <f>ROUND(AVERAGE(R44:V44),0)</f>
        <v>#DIV/0!</v>
      </c>
      <c r="S45" s="3400"/>
      <c r="T45" s="3400"/>
      <c r="U45" s="3400"/>
      <c r="V45" s="3400"/>
      <c r="W45" s="340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45" t="s">
        <v>2284</v>
      </c>
      <c r="H52" s="3446"/>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289029</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49"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96343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2648</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2425</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2761</v>
      </c>
      <c r="S1" s="2890" t="s">
        <v>2762</v>
      </c>
      <c r="T1" s="2890" t="s">
        <v>2783</v>
      </c>
      <c r="U1" s="2890" t="s">
        <v>2784</v>
      </c>
      <c r="V1" s="2890" t="s">
        <v>2785</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0</v>
      </c>
      <c r="H3" s="1409" t="s">
        <v>929</v>
      </c>
      <c r="I3" s="1040">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1" t="str">
        <f>IF(E2="商业",IF(C8="不临58条商业街","",2),"")</f>
        <v/>
      </c>
      <c r="B7" s="1422" t="s">
        <v>932</v>
      </c>
      <c r="C7" s="1043" t="e">
        <f>IF(C8="不临58条商业街",1,ROUND(1+(1.6*E8+1.2*E9+0.8*E10+0.4*E11)*C9,4))</f>
        <v>#DIV/0!</v>
      </c>
      <c r="D7" s="1423" t="s">
        <v>933</v>
      </c>
      <c r="E7" s="1044"/>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2764</v>
      </c>
      <c r="X7" s="2881">
        <f>G2</f>
        <v>0</v>
      </c>
      <c r="Y7" s="2881" t="s">
        <v>2765</v>
      </c>
      <c r="Z7" s="2882">
        <f>G3</f>
        <v>0</v>
      </c>
      <c r="AA7" s="2176"/>
      <c r="AB7" s="2176"/>
      <c r="AC7" s="2177"/>
      <c r="AD7" s="2883"/>
      <c r="AE7" s="2883"/>
      <c r="AF7" s="2883"/>
      <c r="AG7" s="2883"/>
      <c r="AH7" s="2883"/>
      <c r="AI7" s="2883"/>
      <c r="AJ7" s="2884"/>
    </row>
    <row r="8" spans="1:39" ht="15">
      <c r="A8" s="3462"/>
      <c r="B8" s="1409" t="s">
        <v>934</v>
      </c>
      <c r="C8" s="1515"/>
      <c r="D8" s="1045" t="s">
        <v>935</v>
      </c>
      <c r="E8" s="1046"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1" t="s">
        <v>2782</v>
      </c>
      <c r="X8" s="3452"/>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3462"/>
      <c r="B9" s="1409" t="s">
        <v>937</v>
      </c>
      <c r="C9" s="1047">
        <f>SUMIF(修正!C59:C119,C8,修正!E59:E119)</f>
        <v>0</v>
      </c>
      <c r="D9" s="1048" t="s">
        <v>938</v>
      </c>
      <c r="E9" s="1048"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2"/>
      <c r="B10" s="1409" t="s">
        <v>940</v>
      </c>
      <c r="C10" s="1048">
        <f>SUMIF(修正!C59:C119,C8,修正!F59:F119)</f>
        <v>0</v>
      </c>
      <c r="D10" s="1048" t="s">
        <v>941</v>
      </c>
      <c r="E10" s="1048"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2"/>
      <c r="B11" s="1430" t="s">
        <v>943</v>
      </c>
      <c r="C11" s="1049">
        <f>C10/4</f>
        <v>0</v>
      </c>
      <c r="D11" s="1049" t="s">
        <v>944</v>
      </c>
      <c r="E11" s="1049"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0" t="s">
        <v>2780</v>
      </c>
      <c r="X11" s="1048" t="s">
        <v>2765</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61" t="s">
        <v>1871</v>
      </c>
      <c r="B12" s="1434" t="s">
        <v>946</v>
      </c>
      <c r="C12" s="1043">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3"/>
      <c r="B13" s="1439" t="s">
        <v>1696</v>
      </c>
      <c r="C13" s="1440" t="s">
        <v>1697</v>
      </c>
      <c r="D13" s="1085" t="s">
        <v>1698</v>
      </c>
      <c r="E13" s="1085"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5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3"/>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1" t="s">
        <v>1838</v>
      </c>
      <c r="B16" s="1422" t="s">
        <v>950</v>
      </c>
      <c r="C16" s="1052" t="e">
        <f>ROUND(IF(F17="与级别开发程度一致",0,(G17-E17)/C17),0)</f>
        <v>#DIV/0!</v>
      </c>
      <c r="D16" s="3458" t="s">
        <v>954</v>
      </c>
      <c r="E16" s="3459"/>
      <c r="F16" s="3458" t="s">
        <v>951</v>
      </c>
      <c r="G16" s="3459"/>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ROUND(IF(H19="按公示增长率计算",SUMPRODUCT((地价!A3:A27=YEAR(G19)&amp;"-"&amp;ROUNDUP(MONTH(G19)/3,0))*(地价!X2:AB2=E2)*(地价!X3:AB27)),IF(H19="地价指数",M20/M19,(1+I19)^O19)),4)</f>
        <v>0</v>
      </c>
      <c r="D19" s="1461" t="s">
        <v>957</v>
      </c>
      <c r="E19" s="1054">
        <v>41640</v>
      </c>
      <c r="F19" s="1461" t="s">
        <v>958</v>
      </c>
      <c r="G19" s="1055">
        <f>'数据-取费表'!B2</f>
        <v>43689</v>
      </c>
      <c r="H19" s="1462" t="s">
        <v>2994</v>
      </c>
      <c r="I19" s="2739" t="str">
        <f>IF(H19="季度增幅（自定义）",SUMIF(N21:N24,E2,O21:O24),"")</f>
        <v/>
      </c>
      <c r="J19" s="1458"/>
      <c r="K19" s="3148"/>
      <c r="L19" s="2991" t="s">
        <v>2840</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2841</v>
      </c>
      <c r="M20" s="3157">
        <f>ROUND(SUMPRODUCT((地价!A4:A27=YEAR(G19)&amp;"-"&amp;ROUNDUP(MONTH(G19)/3,0))*(地价!B2:F2=E2)*(地价!B4:F27)),0)</f>
        <v>0</v>
      </c>
      <c r="N20" s="2744" t="s">
        <v>2645</v>
      </c>
      <c r="O20" s="2742" t="s">
        <v>2644</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4">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2647</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8" t="s">
        <v>2959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9"/>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9"/>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0"/>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9" t="e">
        <f>ROUND(POWER(1+E41,H41-G41)*(POWER(1+E41,G41)-1)/(POWER(1+E41,H41)-1),4)</f>
        <v>#DIV/0!</v>
      </c>
      <c r="D41" s="378" t="s">
        <v>2984</v>
      </c>
      <c r="E41" s="3145">
        <f>G20</f>
        <v>0</v>
      </c>
      <c r="F41" s="378" t="s">
        <v>2985</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6" t="s">
        <v>1633</v>
      </c>
      <c r="B90" s="3466"/>
      <c r="C90" s="3466"/>
      <c r="D90" s="3466"/>
      <c r="E90" s="3466"/>
      <c r="F90" s="3466"/>
      <c r="G90" s="3466"/>
      <c r="H90" s="3466"/>
      <c r="I90" s="3466"/>
      <c r="J90" s="3466"/>
      <c r="K90" s="2413"/>
      <c r="L90" s="2413"/>
      <c r="M90" s="2413"/>
      <c r="N90" s="2413"/>
    </row>
    <row r="91" spans="1:40">
      <c r="A91" s="3467" t="s">
        <v>1443</v>
      </c>
      <c r="B91" s="3467" t="s">
        <v>1634</v>
      </c>
      <c r="C91" s="1136" t="s">
        <v>1635</v>
      </c>
      <c r="D91" s="1137"/>
      <c r="E91" s="1137"/>
      <c r="F91" s="1137"/>
      <c r="G91" s="1137"/>
      <c r="H91" s="1137"/>
      <c r="I91" s="1137"/>
      <c r="J91" s="1138"/>
      <c r="K91" s="1130"/>
      <c r="L91" s="1130"/>
      <c r="M91" s="1130"/>
      <c r="N91" s="1130"/>
    </row>
    <row r="92" spans="1:40">
      <c r="A92" s="3467"/>
      <c r="B92" s="346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0" t="s">
        <v>1639</v>
      </c>
      <c r="B110" s="3460"/>
      <c r="C110" s="3460"/>
      <c r="D110" s="3460"/>
      <c r="E110" s="3460"/>
      <c r="F110" s="3460"/>
      <c r="G110" s="3460"/>
      <c r="H110" s="3460"/>
      <c r="I110" s="3460"/>
      <c r="J110" s="3460"/>
      <c r="K110" s="2411"/>
      <c r="L110" s="2411"/>
      <c r="M110" s="2411"/>
      <c r="N110" s="2411"/>
    </row>
    <row r="112" spans="1:14" ht="12.75" thickBot="1"/>
    <row r="113" spans="1:13" ht="25.5" thickBot="1">
      <c r="A113" s="1016" t="s">
        <v>896</v>
      </c>
      <c r="B113" s="2414">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67" t="s">
        <v>1007</v>
      </c>
      <c r="B18" s="1150" t="s">
        <v>1446</v>
      </c>
      <c r="C18" s="1127" t="s">
        <v>1447</v>
      </c>
      <c r="D18" s="1128"/>
      <c r="E18" s="1150">
        <v>1</v>
      </c>
      <c r="F18" s="1129" t="s">
        <v>1448</v>
      </c>
      <c r="G18" s="1130"/>
      <c r="H18" s="1101"/>
      <c r="I18" s="1101"/>
    </row>
    <row r="19" spans="1:9" s="1583" customFormat="1" ht="19.5" customHeight="1">
      <c r="A19" s="3467"/>
      <c r="B19" s="3467" t="s">
        <v>1449</v>
      </c>
      <c r="C19" s="1127" t="s">
        <v>1450</v>
      </c>
      <c r="D19" s="1128"/>
      <c r="E19" s="1150">
        <v>0.9</v>
      </c>
      <c r="F19" s="1129" t="s">
        <v>1451</v>
      </c>
      <c r="G19" s="1130"/>
      <c r="H19" s="1101"/>
      <c r="I19" s="1101"/>
    </row>
    <row r="20" spans="1:9" s="1583" customFormat="1" ht="19.5" customHeight="1">
      <c r="A20" s="3467"/>
      <c r="B20" s="3467"/>
      <c r="C20" s="1127" t="s">
        <v>1452</v>
      </c>
      <c r="D20" s="1128"/>
      <c r="E20" s="1150">
        <v>1.1000000000000001</v>
      </c>
      <c r="F20" s="1129" t="s">
        <v>1453</v>
      </c>
      <c r="G20" s="1130"/>
      <c r="H20" s="1101"/>
      <c r="I20" s="1101"/>
    </row>
    <row r="21" spans="1:9" s="1583" customFormat="1" ht="19.5" customHeight="1">
      <c r="A21" s="3467"/>
      <c r="B21" s="3467"/>
      <c r="C21" s="1127" t="s">
        <v>1454</v>
      </c>
      <c r="D21" s="1128"/>
      <c r="E21" s="1150">
        <v>0.8</v>
      </c>
      <c r="F21" s="1129" t="s">
        <v>1455</v>
      </c>
      <c r="G21" s="1130"/>
      <c r="H21" s="1101"/>
      <c r="I21" s="1101"/>
    </row>
    <row r="22" spans="1:9" s="1583" customFormat="1" ht="19.5" customHeight="1">
      <c r="A22" s="3467"/>
      <c r="B22" s="3467"/>
      <c r="C22" s="1127" t="s">
        <v>1456</v>
      </c>
      <c r="D22" s="1128"/>
      <c r="E22" s="1150">
        <v>0.5</v>
      </c>
      <c r="F22" s="1129"/>
      <c r="G22" s="1130"/>
      <c r="H22" s="1101"/>
      <c r="I22" s="1101"/>
    </row>
    <row r="23" spans="1:9" s="1583" customFormat="1" ht="19.5" customHeight="1">
      <c r="A23" s="3467" t="s">
        <v>1029</v>
      </c>
      <c r="B23" s="1150" t="s">
        <v>1446</v>
      </c>
      <c r="C23" s="1127" t="s">
        <v>1457</v>
      </c>
      <c r="D23" s="1128"/>
      <c r="E23" s="1150">
        <v>1</v>
      </c>
      <c r="F23" s="1129" t="s">
        <v>1458</v>
      </c>
      <c r="G23" s="1130"/>
      <c r="H23" s="1101"/>
      <c r="I23" s="1101"/>
    </row>
    <row r="24" spans="1:9" s="1583" customFormat="1" ht="19.5" customHeight="1">
      <c r="A24" s="3467"/>
      <c r="B24" s="3467" t="s">
        <v>1449</v>
      </c>
      <c r="C24" s="1127" t="s">
        <v>1459</v>
      </c>
      <c r="D24" s="1128"/>
      <c r="E24" s="1150">
        <v>0.5</v>
      </c>
      <c r="F24" s="1129"/>
      <c r="G24" s="1130"/>
      <c r="H24" s="1101"/>
      <c r="I24" s="1101"/>
    </row>
    <row r="25" spans="1:9" s="1583" customFormat="1" ht="19.5" customHeight="1">
      <c r="A25" s="3467"/>
      <c r="B25" s="3467"/>
      <c r="C25" s="1127" t="s">
        <v>1460</v>
      </c>
      <c r="D25" s="1128"/>
      <c r="E25" s="1150">
        <v>1.1000000000000001</v>
      </c>
      <c r="F25" s="1129"/>
      <c r="G25" s="1130"/>
      <c r="H25" s="1101"/>
      <c r="I25" s="1101"/>
    </row>
    <row r="26" spans="1:9" s="1583" customFormat="1" ht="19.5" customHeight="1">
      <c r="A26" s="3467"/>
      <c r="B26" s="3467"/>
      <c r="C26" s="1127" t="s">
        <v>1461</v>
      </c>
      <c r="D26" s="1128"/>
      <c r="E26" s="1150">
        <v>1.1000000000000001</v>
      </c>
      <c r="F26" s="1129"/>
      <c r="G26" s="1130"/>
      <c r="H26" s="1101"/>
      <c r="I26" s="1101"/>
    </row>
    <row r="27" spans="1:9" s="1583" customFormat="1" ht="19.5" customHeight="1">
      <c r="A27" s="3467"/>
      <c r="B27" s="3467"/>
      <c r="C27" s="1127" t="s">
        <v>1462</v>
      </c>
      <c r="D27" s="1128"/>
      <c r="E27" s="1150">
        <v>0.9</v>
      </c>
      <c r="F27" s="1129" t="s">
        <v>1463</v>
      </c>
      <c r="G27" s="1130"/>
      <c r="H27" s="1101"/>
      <c r="I27" s="1101"/>
    </row>
    <row r="28" spans="1:9" s="1583" customFormat="1" ht="19.5" customHeight="1">
      <c r="A28" s="3467"/>
      <c r="B28" s="3467"/>
      <c r="C28" s="1127" t="s">
        <v>1464</v>
      </c>
      <c r="D28" s="1128"/>
      <c r="E28" s="1150">
        <v>0.9</v>
      </c>
      <c r="F28" s="1129" t="s">
        <v>1465</v>
      </c>
      <c r="G28" s="1130"/>
      <c r="H28" s="1101"/>
      <c r="I28" s="1101"/>
    </row>
    <row r="29" spans="1:9" s="1583" customFormat="1" ht="19.5" customHeight="1">
      <c r="A29" s="3467"/>
      <c r="B29" s="3467"/>
      <c r="C29" s="1127" t="s">
        <v>1466</v>
      </c>
      <c r="D29" s="1128"/>
      <c r="E29" s="1150">
        <v>0.9</v>
      </c>
      <c r="F29" s="1129" t="s">
        <v>1467</v>
      </c>
      <c r="G29" s="1130"/>
      <c r="H29" s="1101"/>
      <c r="I29" s="1101"/>
    </row>
    <row r="30" spans="1:9" s="1583" customFormat="1" ht="19.5" customHeight="1">
      <c r="A30" s="3467"/>
      <c r="B30" s="3467"/>
      <c r="C30" s="1127" t="s">
        <v>1468</v>
      </c>
      <c r="D30" s="1128"/>
      <c r="E30" s="1150">
        <v>0.9</v>
      </c>
      <c r="F30" s="1129" t="s">
        <v>1469</v>
      </c>
      <c r="G30" s="1130"/>
      <c r="H30" s="1101"/>
      <c r="I30" s="1101"/>
    </row>
    <row r="31" spans="1:9" s="1583" customFormat="1" ht="19.5" customHeight="1">
      <c r="A31" s="3467"/>
      <c r="B31" s="3467"/>
      <c r="C31" s="1127" t="s">
        <v>1470</v>
      </c>
      <c r="D31" s="1128"/>
      <c r="E31" s="1150">
        <v>0.8</v>
      </c>
      <c r="F31" s="1129" t="s">
        <v>1471</v>
      </c>
      <c r="G31" s="1130"/>
      <c r="H31" s="1101"/>
      <c r="I31" s="1101"/>
    </row>
    <row r="32" spans="1:9" s="1583" customFormat="1" ht="19.5" customHeight="1">
      <c r="A32" s="3467"/>
      <c r="B32" s="3467"/>
      <c r="C32" s="1127" t="s">
        <v>1472</v>
      </c>
      <c r="D32" s="1128"/>
      <c r="E32" s="1150">
        <v>0.8</v>
      </c>
      <c r="F32" s="1129" t="s">
        <v>1473</v>
      </c>
      <c r="G32" s="1130"/>
      <c r="H32" s="1101"/>
      <c r="I32" s="1101"/>
    </row>
    <row r="33" spans="1:9" s="1583" customFormat="1" ht="19.5" customHeight="1">
      <c r="A33" s="3467" t="s">
        <v>1474</v>
      </c>
      <c r="B33" s="1150" t="s">
        <v>1446</v>
      </c>
      <c r="C33" s="1127" t="s">
        <v>1475</v>
      </c>
      <c r="D33" s="1128"/>
      <c r="E33" s="1150">
        <v>1</v>
      </c>
      <c r="F33" s="1129" t="s">
        <v>1476</v>
      </c>
      <c r="G33" s="1130"/>
      <c r="H33" s="1101"/>
      <c r="I33" s="1101"/>
    </row>
    <row r="34" spans="1:9" s="1583" customFormat="1" ht="19.5" customHeight="1">
      <c r="A34" s="3467"/>
      <c r="B34" s="1150" t="s">
        <v>1449</v>
      </c>
      <c r="C34" s="1127" t="s">
        <v>1477</v>
      </c>
      <c r="D34" s="1128"/>
      <c r="E34" s="1150">
        <v>1.5</v>
      </c>
      <c r="F34" s="1129" t="s">
        <v>1478</v>
      </c>
      <c r="G34" s="1130"/>
      <c r="H34" s="1101"/>
      <c r="I34" s="1101"/>
    </row>
    <row r="35" spans="1:9" s="1583" customFormat="1" ht="19.5" customHeight="1">
      <c r="A35" s="3467" t="s">
        <v>1432</v>
      </c>
      <c r="B35" s="1150" t="s">
        <v>1446</v>
      </c>
      <c r="C35" s="1127" t="s">
        <v>1479</v>
      </c>
      <c r="D35" s="1128"/>
      <c r="E35" s="1150">
        <v>1</v>
      </c>
      <c r="F35" s="1129" t="s">
        <v>1480</v>
      </c>
      <c r="G35" s="1130"/>
      <c r="H35" s="1101"/>
      <c r="I35" s="1101"/>
    </row>
    <row r="36" spans="1:9" s="1583" customFormat="1" ht="19.5" customHeight="1">
      <c r="A36" s="3467"/>
      <c r="B36" s="3467" t="s">
        <v>1449</v>
      </c>
      <c r="C36" s="1127" t="s">
        <v>1481</v>
      </c>
      <c r="D36" s="1128"/>
      <c r="E36" s="1150">
        <v>1</v>
      </c>
      <c r="F36" s="1129" t="s">
        <v>1482</v>
      </c>
      <c r="G36" s="1130"/>
      <c r="H36" s="1101"/>
      <c r="I36" s="1101"/>
    </row>
    <row r="37" spans="1:9" s="1583" customFormat="1" ht="19.5" customHeight="1">
      <c r="A37" s="3467"/>
      <c r="B37" s="3467"/>
      <c r="C37" s="1127" t="s">
        <v>1483</v>
      </c>
      <c r="D37" s="1128"/>
      <c r="E37" s="1150">
        <v>1.5</v>
      </c>
      <c r="F37" s="1129" t="s">
        <v>1484</v>
      </c>
      <c r="G37" s="1130"/>
      <c r="H37" s="1101"/>
      <c r="I37" s="1101"/>
    </row>
    <row r="38" spans="1:9" s="1583" customFormat="1" ht="19.5" customHeight="1">
      <c r="A38" s="3467"/>
      <c r="B38" s="3467"/>
      <c r="C38" s="1127" t="s">
        <v>1485</v>
      </c>
      <c r="D38" s="1128"/>
      <c r="E38" s="1150">
        <v>1</v>
      </c>
      <c r="F38" s="1129" t="s">
        <v>1486</v>
      </c>
      <c r="G38" s="1130"/>
      <c r="H38" s="1101"/>
      <c r="I38" s="1101"/>
    </row>
    <row r="39" spans="1:9" s="1583" customFormat="1" ht="19.5" customHeight="1">
      <c r="A39" s="3467"/>
      <c r="B39" s="3467"/>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7" t="s">
        <v>1501</v>
      </c>
      <c r="C61" s="1064" t="s">
        <v>1502</v>
      </c>
      <c r="D61" s="1064" t="s">
        <v>1503</v>
      </c>
      <c r="E61" s="1135">
        <v>0.5</v>
      </c>
      <c r="F61" s="1150">
        <v>80</v>
      </c>
      <c r="H61" s="1101">
        <f>SUMIF(C59:C119,基准地价!C8,E59:E119)</f>
        <v>0</v>
      </c>
    </row>
    <row r="62" spans="1:8" s="1101" customFormat="1" ht="24">
      <c r="A62" s="1150">
        <v>2</v>
      </c>
      <c r="B62" s="3467"/>
      <c r="C62" s="1064" t="s">
        <v>1504</v>
      </c>
      <c r="D62" s="1064" t="s">
        <v>1505</v>
      </c>
      <c r="E62" s="1135">
        <v>0.5</v>
      </c>
      <c r="F62" s="1150">
        <v>80</v>
      </c>
    </row>
    <row r="63" spans="1:8" s="1101" customFormat="1" ht="36">
      <c r="A63" s="1150">
        <v>3</v>
      </c>
      <c r="B63" s="3467"/>
      <c r="C63" s="1064" t="s">
        <v>1506</v>
      </c>
      <c r="D63" s="1064" t="s">
        <v>1507</v>
      </c>
      <c r="E63" s="1135">
        <v>0.5</v>
      </c>
      <c r="F63" s="1150">
        <v>80</v>
      </c>
    </row>
    <row r="64" spans="1:8" s="1101" customFormat="1" ht="36">
      <c r="A64" s="1150">
        <v>4</v>
      </c>
      <c r="B64" s="3467"/>
      <c r="C64" s="1064" t="s">
        <v>1508</v>
      </c>
      <c r="D64" s="1064" t="s">
        <v>1509</v>
      </c>
      <c r="E64" s="1135">
        <v>0.4</v>
      </c>
      <c r="F64" s="1150">
        <v>60</v>
      </c>
    </row>
    <row r="65" spans="1:6" s="1101" customFormat="1" ht="36">
      <c r="A65" s="1150">
        <v>5</v>
      </c>
      <c r="B65" s="3467"/>
      <c r="C65" s="1064" t="s">
        <v>1510</v>
      </c>
      <c r="D65" s="1064" t="s">
        <v>1511</v>
      </c>
      <c r="E65" s="1135">
        <v>0.2</v>
      </c>
      <c r="F65" s="1150">
        <v>30</v>
      </c>
    </row>
    <row r="66" spans="1:6" s="1101" customFormat="1" ht="36">
      <c r="A66" s="1150">
        <v>6</v>
      </c>
      <c r="B66" s="3467"/>
      <c r="C66" s="1064" t="s">
        <v>1512</v>
      </c>
      <c r="D66" s="1064" t="s">
        <v>1513</v>
      </c>
      <c r="E66" s="1135">
        <v>0.3</v>
      </c>
      <c r="F66" s="1150">
        <v>50</v>
      </c>
    </row>
    <row r="67" spans="1:6" s="1101" customFormat="1" ht="36">
      <c r="A67" s="1150">
        <v>7</v>
      </c>
      <c r="B67" s="3467"/>
      <c r="C67" s="1064" t="s">
        <v>1514</v>
      </c>
      <c r="D67" s="1064" t="s">
        <v>1515</v>
      </c>
      <c r="E67" s="1135">
        <v>0.2</v>
      </c>
      <c r="F67" s="1150">
        <v>30</v>
      </c>
    </row>
    <row r="68" spans="1:6" s="1101" customFormat="1" ht="36">
      <c r="A68" s="1150">
        <v>8</v>
      </c>
      <c r="B68" s="3467"/>
      <c r="C68" s="1064" t="s">
        <v>1516</v>
      </c>
      <c r="D68" s="1064" t="s">
        <v>1517</v>
      </c>
      <c r="E68" s="1135">
        <v>0.2</v>
      </c>
      <c r="F68" s="1150">
        <v>30</v>
      </c>
    </row>
    <row r="69" spans="1:6" s="1101" customFormat="1" ht="36">
      <c r="A69" s="1150">
        <v>9</v>
      </c>
      <c r="B69" s="3467"/>
      <c r="C69" s="1064" t="s">
        <v>1518</v>
      </c>
      <c r="D69" s="1064" t="s">
        <v>1519</v>
      </c>
      <c r="E69" s="1135">
        <v>0.2</v>
      </c>
      <c r="F69" s="1150">
        <v>30</v>
      </c>
    </row>
    <row r="70" spans="1:6" s="1101" customFormat="1" ht="48">
      <c r="A70" s="1150">
        <v>10</v>
      </c>
      <c r="B70" s="3467"/>
      <c r="C70" s="1064" t="s">
        <v>1520</v>
      </c>
      <c r="D70" s="1064" t="s">
        <v>1521</v>
      </c>
      <c r="E70" s="1135">
        <v>0.2</v>
      </c>
      <c r="F70" s="1150">
        <v>30</v>
      </c>
    </row>
    <row r="71" spans="1:6" s="1101" customFormat="1" ht="48">
      <c r="A71" s="1150">
        <v>11</v>
      </c>
      <c r="B71" s="3467"/>
      <c r="C71" s="1064" t="s">
        <v>1522</v>
      </c>
      <c r="D71" s="1064" t="s">
        <v>1523</v>
      </c>
      <c r="E71" s="1135">
        <v>0.2</v>
      </c>
      <c r="F71" s="1150">
        <v>30</v>
      </c>
    </row>
    <row r="72" spans="1:6" s="1101" customFormat="1" ht="36">
      <c r="A72" s="1150">
        <v>12</v>
      </c>
      <c r="B72" s="3467"/>
      <c r="C72" s="1064" t="s">
        <v>1524</v>
      </c>
      <c r="D72" s="1064" t="s">
        <v>1525</v>
      </c>
      <c r="E72" s="1135">
        <v>0.5</v>
      </c>
      <c r="F72" s="1150">
        <v>80</v>
      </c>
    </row>
    <row r="73" spans="1:6" s="1101" customFormat="1" ht="24">
      <c r="A73" s="1150">
        <v>13</v>
      </c>
      <c r="B73" s="3467"/>
      <c r="C73" s="1064" t="s">
        <v>1526</v>
      </c>
      <c r="D73" s="1064" t="s">
        <v>1527</v>
      </c>
      <c r="E73" s="1135">
        <v>0.4</v>
      </c>
      <c r="F73" s="1150">
        <v>60</v>
      </c>
    </row>
    <row r="74" spans="1:6" s="1101" customFormat="1" ht="24">
      <c r="A74" s="1150">
        <v>14</v>
      </c>
      <c r="B74" s="3467"/>
      <c r="C74" s="1064" t="s">
        <v>1528</v>
      </c>
      <c r="D74" s="1064" t="s">
        <v>1529</v>
      </c>
      <c r="E74" s="1135">
        <v>0.2</v>
      </c>
      <c r="F74" s="1150">
        <v>30</v>
      </c>
    </row>
    <row r="75" spans="1:6" s="1101" customFormat="1" ht="24">
      <c r="A75" s="1150">
        <v>15</v>
      </c>
      <c r="B75" s="3467"/>
      <c r="C75" s="1064" t="s">
        <v>1530</v>
      </c>
      <c r="D75" s="1064" t="s">
        <v>1531</v>
      </c>
      <c r="E75" s="1135">
        <v>0.2</v>
      </c>
      <c r="F75" s="1150">
        <v>30</v>
      </c>
    </row>
    <row r="76" spans="1:6" s="1101" customFormat="1" ht="24">
      <c r="A76" s="1150">
        <v>16</v>
      </c>
      <c r="B76" s="3467" t="s">
        <v>1532</v>
      </c>
      <c r="C76" s="1064" t="s">
        <v>1533</v>
      </c>
      <c r="D76" s="1064" t="s">
        <v>1534</v>
      </c>
      <c r="E76" s="1135">
        <v>0.5</v>
      </c>
      <c r="F76" s="1150">
        <v>80</v>
      </c>
    </row>
    <row r="77" spans="1:6" s="1101" customFormat="1" ht="24">
      <c r="A77" s="1150">
        <v>17</v>
      </c>
      <c r="B77" s="3467"/>
      <c r="C77" s="1064" t="s">
        <v>1535</v>
      </c>
      <c r="D77" s="1064" t="s">
        <v>1536</v>
      </c>
      <c r="E77" s="1135">
        <v>0.5</v>
      </c>
      <c r="F77" s="1150">
        <v>80</v>
      </c>
    </row>
    <row r="78" spans="1:6" s="1101" customFormat="1" ht="24">
      <c r="A78" s="1150">
        <v>18</v>
      </c>
      <c r="B78" s="3467"/>
      <c r="C78" s="1064" t="s">
        <v>1537</v>
      </c>
      <c r="D78" s="1064" t="s">
        <v>1538</v>
      </c>
      <c r="E78" s="1135">
        <v>0.2</v>
      </c>
      <c r="F78" s="1150">
        <v>30</v>
      </c>
    </row>
    <row r="79" spans="1:6" s="1101" customFormat="1" ht="24">
      <c r="A79" s="1150">
        <v>19</v>
      </c>
      <c r="B79" s="3467"/>
      <c r="C79" s="1064" t="s">
        <v>1539</v>
      </c>
      <c r="D79" s="1064" t="s">
        <v>1540</v>
      </c>
      <c r="E79" s="1135">
        <v>0.5</v>
      </c>
      <c r="F79" s="1150">
        <v>80</v>
      </c>
    </row>
    <row r="80" spans="1:6" s="1101" customFormat="1" ht="36">
      <c r="A80" s="1150">
        <v>20</v>
      </c>
      <c r="B80" s="3467"/>
      <c r="C80" s="1064" t="s">
        <v>1541</v>
      </c>
      <c r="D80" s="1064" t="s">
        <v>1542</v>
      </c>
      <c r="E80" s="1135">
        <v>0.2</v>
      </c>
      <c r="F80" s="1150">
        <v>30</v>
      </c>
    </row>
    <row r="81" spans="1:6" s="1101" customFormat="1" ht="36">
      <c r="A81" s="1150">
        <v>21</v>
      </c>
      <c r="B81" s="3467"/>
      <c r="C81" s="1064" t="s">
        <v>1543</v>
      </c>
      <c r="D81" s="1064" t="s">
        <v>1544</v>
      </c>
      <c r="E81" s="1135">
        <v>0.2</v>
      </c>
      <c r="F81" s="1150">
        <v>30</v>
      </c>
    </row>
    <row r="82" spans="1:6" s="1101" customFormat="1" ht="48">
      <c r="A82" s="1150">
        <v>22</v>
      </c>
      <c r="B82" s="3467"/>
      <c r="C82" s="1064" t="s">
        <v>1545</v>
      </c>
      <c r="D82" s="1064" t="s">
        <v>1546</v>
      </c>
      <c r="E82" s="1135">
        <v>0.2</v>
      </c>
      <c r="F82" s="1150">
        <v>30</v>
      </c>
    </row>
    <row r="83" spans="1:6" s="1101" customFormat="1" ht="48">
      <c r="A83" s="1150">
        <v>23</v>
      </c>
      <c r="B83" s="3467"/>
      <c r="C83" s="1064" t="s">
        <v>1547</v>
      </c>
      <c r="D83" s="1064" t="s">
        <v>1548</v>
      </c>
      <c r="E83" s="1135">
        <v>0.2</v>
      </c>
      <c r="F83" s="1150">
        <v>30</v>
      </c>
    </row>
    <row r="84" spans="1:6" s="1101" customFormat="1" ht="36">
      <c r="A84" s="1150">
        <v>24</v>
      </c>
      <c r="B84" s="3467"/>
      <c r="C84" s="1064" t="s">
        <v>1549</v>
      </c>
      <c r="D84" s="1064" t="s">
        <v>1550</v>
      </c>
      <c r="E84" s="1135">
        <v>0.2</v>
      </c>
      <c r="F84" s="1150">
        <v>30</v>
      </c>
    </row>
    <row r="85" spans="1:6" s="1101" customFormat="1" ht="36">
      <c r="A85" s="1150">
        <v>25</v>
      </c>
      <c r="B85" s="3467"/>
      <c r="C85" s="1064" t="s">
        <v>1551</v>
      </c>
      <c r="D85" s="1064" t="s">
        <v>1552</v>
      </c>
      <c r="E85" s="1135">
        <v>0.5</v>
      </c>
      <c r="F85" s="1150">
        <v>80</v>
      </c>
    </row>
    <row r="86" spans="1:6" s="1101" customFormat="1" ht="36">
      <c r="A86" s="1150">
        <v>26</v>
      </c>
      <c r="B86" s="3467"/>
      <c r="C86" s="1064" t="s">
        <v>1553</v>
      </c>
      <c r="D86" s="1064" t="s">
        <v>1554</v>
      </c>
      <c r="E86" s="1135">
        <v>0.2</v>
      </c>
      <c r="F86" s="1150">
        <v>30</v>
      </c>
    </row>
    <row r="87" spans="1:6" s="1101" customFormat="1" ht="36">
      <c r="A87" s="1150">
        <v>27</v>
      </c>
      <c r="B87" s="3467"/>
      <c r="C87" s="1064" t="s">
        <v>1555</v>
      </c>
      <c r="D87" s="1064" t="s">
        <v>1556</v>
      </c>
      <c r="E87" s="1135">
        <v>0.2</v>
      </c>
      <c r="F87" s="1150">
        <v>30</v>
      </c>
    </row>
    <row r="88" spans="1:6" s="1101" customFormat="1" ht="36">
      <c r="A88" s="1150">
        <v>28</v>
      </c>
      <c r="B88" s="3467"/>
      <c r="C88" s="1064" t="s">
        <v>1557</v>
      </c>
      <c r="D88" s="1064" t="s">
        <v>1558</v>
      </c>
      <c r="E88" s="1135">
        <v>0.2</v>
      </c>
      <c r="F88" s="1150">
        <v>30</v>
      </c>
    </row>
    <row r="89" spans="1:6" s="1101" customFormat="1" ht="24">
      <c r="A89" s="1150">
        <v>29</v>
      </c>
      <c r="B89" s="3467"/>
      <c r="C89" s="1064" t="s">
        <v>1559</v>
      </c>
      <c r="D89" s="1064" t="s">
        <v>1560</v>
      </c>
      <c r="E89" s="1135">
        <v>0.2</v>
      </c>
      <c r="F89" s="1150">
        <v>30</v>
      </c>
    </row>
    <row r="90" spans="1:6" s="1101" customFormat="1" ht="24">
      <c r="A90" s="1150">
        <v>30</v>
      </c>
      <c r="B90" s="3467"/>
      <c r="C90" s="1064" t="s">
        <v>1561</v>
      </c>
      <c r="D90" s="1064" t="s">
        <v>1562</v>
      </c>
      <c r="E90" s="1135">
        <v>0.2</v>
      </c>
      <c r="F90" s="1150">
        <v>30</v>
      </c>
    </row>
    <row r="91" spans="1:6" s="1101" customFormat="1" ht="36">
      <c r="A91" s="1150">
        <v>31</v>
      </c>
      <c r="B91" s="3467"/>
      <c r="C91" s="1064" t="s">
        <v>1563</v>
      </c>
      <c r="D91" s="1064" t="s">
        <v>1564</v>
      </c>
      <c r="E91" s="1135">
        <v>0.2</v>
      </c>
      <c r="F91" s="1150">
        <v>30</v>
      </c>
    </row>
    <row r="92" spans="1:6" s="1101" customFormat="1" ht="24">
      <c r="A92" s="1150">
        <v>32</v>
      </c>
      <c r="B92" s="3467" t="s">
        <v>1565</v>
      </c>
      <c r="C92" s="1150" t="s">
        <v>1566</v>
      </c>
      <c r="D92" s="1064" t="s">
        <v>1567</v>
      </c>
      <c r="E92" s="1135">
        <v>0.2</v>
      </c>
      <c r="F92" s="1150">
        <v>30</v>
      </c>
    </row>
    <row r="93" spans="1:6" s="1101" customFormat="1" ht="36">
      <c r="A93" s="1150">
        <v>33</v>
      </c>
      <c r="B93" s="3467"/>
      <c r="C93" s="1150" t="s">
        <v>1568</v>
      </c>
      <c r="D93" s="1064" t="s">
        <v>1569</v>
      </c>
      <c r="E93" s="1135">
        <v>0.2</v>
      </c>
      <c r="F93" s="1150">
        <v>30</v>
      </c>
    </row>
    <row r="94" spans="1:6" s="1101" customFormat="1" ht="48">
      <c r="A94" s="1150">
        <v>34</v>
      </c>
      <c r="B94" s="3467"/>
      <c r="C94" s="1150" t="s">
        <v>1570</v>
      </c>
      <c r="D94" s="1064" t="s">
        <v>1571</v>
      </c>
      <c r="E94" s="1135">
        <v>0.2</v>
      </c>
      <c r="F94" s="1150">
        <v>30</v>
      </c>
    </row>
    <row r="95" spans="1:6" s="1101" customFormat="1" ht="36">
      <c r="A95" s="1150">
        <v>35</v>
      </c>
      <c r="B95" s="3467"/>
      <c r="C95" s="1150" t="s">
        <v>1572</v>
      </c>
      <c r="D95" s="1064" t="s">
        <v>1573</v>
      </c>
      <c r="E95" s="1135">
        <v>0.2</v>
      </c>
      <c r="F95" s="1150">
        <v>30</v>
      </c>
    </row>
    <row r="96" spans="1:6" s="1101" customFormat="1" ht="48">
      <c r="A96" s="1150">
        <v>36</v>
      </c>
      <c r="B96" s="3467"/>
      <c r="C96" s="1064" t="s">
        <v>1574</v>
      </c>
      <c r="D96" s="1064" t="s">
        <v>1575</v>
      </c>
      <c r="E96" s="1135">
        <v>0.2</v>
      </c>
      <c r="F96" s="1150">
        <v>30</v>
      </c>
    </row>
    <row r="97" spans="1:6" s="1101" customFormat="1" ht="36">
      <c r="A97" s="1150">
        <v>37</v>
      </c>
      <c r="B97" s="3467"/>
      <c r="C97" s="1150" t="s">
        <v>1576</v>
      </c>
      <c r="D97" s="1064" t="s">
        <v>1577</v>
      </c>
      <c r="E97" s="1135">
        <v>0.2</v>
      </c>
      <c r="F97" s="1150">
        <v>30</v>
      </c>
    </row>
    <row r="98" spans="1:6" s="1101" customFormat="1" ht="36">
      <c r="A98" s="1150">
        <v>38</v>
      </c>
      <c r="B98" s="3467"/>
      <c r="C98" s="1150" t="s">
        <v>1578</v>
      </c>
      <c r="D98" s="1064" t="s">
        <v>1579</v>
      </c>
      <c r="E98" s="1135">
        <v>0.2</v>
      </c>
      <c r="F98" s="1150">
        <v>30</v>
      </c>
    </row>
    <row r="99" spans="1:6" s="1101" customFormat="1" ht="36">
      <c r="A99" s="1150">
        <v>39</v>
      </c>
      <c r="B99" s="3467" t="s">
        <v>1580</v>
      </c>
      <c r="C99" s="1150" t="s">
        <v>1581</v>
      </c>
      <c r="D99" s="1064" t="s">
        <v>1582</v>
      </c>
      <c r="E99" s="1135">
        <v>0.3</v>
      </c>
      <c r="F99" s="1150">
        <v>50</v>
      </c>
    </row>
    <row r="100" spans="1:6" s="1101" customFormat="1" ht="24">
      <c r="A100" s="1150">
        <v>40</v>
      </c>
      <c r="B100" s="3467"/>
      <c r="C100" s="1150" t="s">
        <v>1583</v>
      </c>
      <c r="D100" s="1064" t="s">
        <v>1584</v>
      </c>
      <c r="E100" s="1135">
        <v>0.2</v>
      </c>
      <c r="F100" s="1150">
        <v>30</v>
      </c>
    </row>
    <row r="101" spans="1:6" s="1101" customFormat="1" ht="36">
      <c r="A101" s="1150">
        <v>41</v>
      </c>
      <c r="B101" s="346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7" t="s">
        <v>1595</v>
      </c>
      <c r="C105" s="1150" t="s">
        <v>1596</v>
      </c>
      <c r="D105" s="1064" t="s">
        <v>1597</v>
      </c>
      <c r="E105" s="1135">
        <v>0.2</v>
      </c>
      <c r="F105" s="1150">
        <v>30</v>
      </c>
    </row>
    <row r="106" spans="1:6" s="1101" customFormat="1" ht="36">
      <c r="A106" s="1150">
        <v>46</v>
      </c>
      <c r="B106" s="3467"/>
      <c r="C106" s="1150" t="s">
        <v>1598</v>
      </c>
      <c r="D106" s="1064" t="s">
        <v>1599</v>
      </c>
      <c r="E106" s="1135">
        <v>0.2</v>
      </c>
      <c r="F106" s="1150">
        <v>30</v>
      </c>
    </row>
    <row r="107" spans="1:6" s="1101" customFormat="1" ht="36">
      <c r="A107" s="1150">
        <v>47</v>
      </c>
      <c r="B107" s="3467" t="s">
        <v>1600</v>
      </c>
      <c r="C107" s="1150" t="s">
        <v>1601</v>
      </c>
      <c r="D107" s="1064" t="s">
        <v>1602</v>
      </c>
      <c r="E107" s="1135">
        <v>0.3</v>
      </c>
      <c r="F107" s="1150">
        <v>50</v>
      </c>
    </row>
    <row r="108" spans="1:6" s="1101" customFormat="1" ht="36">
      <c r="A108" s="1150">
        <v>48</v>
      </c>
      <c r="B108" s="346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7" t="s">
        <v>1611</v>
      </c>
      <c r="C111" s="1150" t="s">
        <v>1612</v>
      </c>
      <c r="D111" s="1064" t="s">
        <v>1613</v>
      </c>
      <c r="E111" s="1135">
        <v>0.2</v>
      </c>
      <c r="F111" s="1150">
        <v>30</v>
      </c>
    </row>
    <row r="112" spans="1:6" s="1101" customFormat="1" ht="24">
      <c r="A112" s="1150">
        <v>52</v>
      </c>
      <c r="B112" s="3467"/>
      <c r="C112" s="1150" t="s">
        <v>1614</v>
      </c>
      <c r="D112" s="1064" t="s">
        <v>1615</v>
      </c>
      <c r="E112" s="1135">
        <v>0.2</v>
      </c>
      <c r="F112" s="1150">
        <v>30</v>
      </c>
    </row>
    <row r="113" spans="1:14" s="1101" customFormat="1" ht="24">
      <c r="A113" s="1150">
        <v>53</v>
      </c>
      <c r="B113" s="346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7" t="s">
        <v>1624</v>
      </c>
      <c r="C116" s="1150" t="s">
        <v>1625</v>
      </c>
      <c r="D116" s="1064" t="s">
        <v>1626</v>
      </c>
      <c r="E116" s="1135">
        <v>0.2</v>
      </c>
      <c r="F116" s="1150">
        <v>30</v>
      </c>
    </row>
    <row r="117" spans="1:14" ht="36">
      <c r="A117" s="1150">
        <v>57</v>
      </c>
      <c r="B117" s="346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6" t="s">
        <v>1633</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75" t="s">
        <v>2079</v>
      </c>
      <c r="B1" s="347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2093</v>
      </c>
      <c r="C72" s="1853"/>
      <c r="D72" s="1853"/>
      <c r="E72" s="1853"/>
      <c r="F72" s="1845">
        <v>0.05</v>
      </c>
    </row>
    <row r="73" spans="1:6" ht="24.75" thickBot="1">
      <c r="A73" s="1839" t="s">
        <v>925</v>
      </c>
      <c r="B73" s="1843" t="s">
        <v>2094</v>
      </c>
      <c r="C73" s="1853"/>
      <c r="D73" s="1853"/>
      <c r="E73" s="1853"/>
      <c r="F73" s="1845">
        <v>0.05</v>
      </c>
    </row>
    <row r="74" spans="1:6" ht="24.75" thickBot="1">
      <c r="A74" s="1839" t="s">
        <v>925</v>
      </c>
      <c r="B74" s="1843" t="s">
        <v>2095</v>
      </c>
      <c r="C74" s="1853"/>
      <c r="D74" s="1853"/>
      <c r="E74" s="1853"/>
      <c r="F74" s="1845">
        <v>0.05</v>
      </c>
    </row>
    <row r="75" spans="1:6" ht="24.7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24.7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56.25">
      <c r="A7" s="1779" t="s">
        <v>2746</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0"/>
  <sheetViews>
    <sheetView zoomScale="80" zoomScaleNormal="80" zoomScalePageLayoutView="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3" t="s">
        <v>2576</v>
      </c>
      <c r="C1" s="3483"/>
      <c r="D1" s="3483"/>
      <c r="E1" s="3483"/>
      <c r="F1" s="3483"/>
      <c r="G1" s="3482" t="s">
        <v>2577</v>
      </c>
      <c r="H1" s="3482"/>
      <c r="I1" s="3482"/>
      <c r="J1" s="3482"/>
      <c r="K1" s="3482"/>
      <c r="L1" s="3482"/>
      <c r="N1" s="3482" t="s">
        <v>2578</v>
      </c>
      <c r="O1" s="3482"/>
      <c r="P1" s="3482"/>
      <c r="Q1" s="3482"/>
      <c r="R1" s="2617"/>
      <c r="S1" s="3482" t="s">
        <v>2579</v>
      </c>
      <c r="T1" s="3482"/>
      <c r="U1" s="3482"/>
      <c r="V1" s="3482"/>
      <c r="X1" s="3481" t="s">
        <v>2639</v>
      </c>
      <c r="Y1" s="3482"/>
      <c r="Z1" s="3482"/>
      <c r="AA1" s="3482"/>
      <c r="AB1" s="3482"/>
      <c r="AD1" s="3481" t="s">
        <v>2643</v>
      </c>
      <c r="AE1" s="3482"/>
      <c r="AF1" s="3482"/>
      <c r="AG1" s="3482"/>
      <c r="AH1" s="3482"/>
    </row>
    <row r="2" spans="1:34" s="2718" customFormat="1" ht="14.25" thickBot="1">
      <c r="B2" s="2726" t="s">
        <v>2580</v>
      </c>
      <c r="C2" s="2726" t="s">
        <v>2641</v>
      </c>
      <c r="D2" s="2719" t="s">
        <v>1644</v>
      </c>
      <c r="E2" s="2719" t="s">
        <v>1949</v>
      </c>
      <c r="F2" s="2726" t="s">
        <v>2642</v>
      </c>
      <c r="G2" s="2722"/>
      <c r="H2" s="2721"/>
      <c r="I2" s="2726" t="s">
        <v>2954</v>
      </c>
      <c r="J2" s="2719" t="s">
        <v>2956</v>
      </c>
      <c r="K2" s="2719" t="s">
        <v>2957</v>
      </c>
      <c r="L2" s="2726" t="s">
        <v>2958</v>
      </c>
      <c r="N2" s="2726" t="s">
        <v>2580</v>
      </c>
      <c r="O2" s="2719" t="s">
        <v>2955</v>
      </c>
      <c r="P2" s="2719" t="s">
        <v>1949</v>
      </c>
      <c r="Q2" s="2726" t="s">
        <v>2642</v>
      </c>
      <c r="R2" s="2720"/>
      <c r="S2" s="2726" t="s">
        <v>2580</v>
      </c>
      <c r="T2" s="2719" t="s">
        <v>2955</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77">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77"/>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77"/>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78"/>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47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77"/>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77"/>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78"/>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7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77"/>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77"/>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80"/>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47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77"/>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77"/>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80"/>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47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77"/>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77"/>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80"/>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2583</v>
      </c>
      <c r="B28" s="2623">
        <v>299</v>
      </c>
      <c r="C28" s="2623">
        <v>252</v>
      </c>
      <c r="D28" s="2623">
        <f t="shared" si="87"/>
        <v>252</v>
      </c>
      <c r="E28" s="2623">
        <v>409</v>
      </c>
      <c r="F28" s="2624">
        <v>227</v>
      </c>
      <c r="G28" s="3484">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85"/>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85"/>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86"/>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2587</v>
      </c>
      <c r="B32" s="2661">
        <v>278</v>
      </c>
      <c r="C32" s="2661">
        <v>234</v>
      </c>
      <c r="D32" s="2661">
        <f t="shared" si="87"/>
        <v>234</v>
      </c>
      <c r="E32" s="2661">
        <v>379</v>
      </c>
      <c r="F32" s="2662">
        <v>220</v>
      </c>
      <c r="G32" s="347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77"/>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77"/>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2590</v>
      </c>
      <c r="B35" s="2631">
        <f>B34/(1+N34)</f>
        <v>275.19025476197027</v>
      </c>
      <c r="C35" s="2663">
        <v>232</v>
      </c>
      <c r="D35" s="2663">
        <f t="shared" si="87"/>
        <v>232</v>
      </c>
      <c r="E35" s="2631">
        <f t="shared" si="98"/>
        <v>375.65990977608692</v>
      </c>
      <c r="F35" s="2631">
        <f t="shared" si="98"/>
        <v>214.12518283971252</v>
      </c>
      <c r="G35" s="3480"/>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2591</v>
      </c>
      <c r="B36" s="2623">
        <v>275</v>
      </c>
      <c r="C36" s="2623">
        <v>232</v>
      </c>
      <c r="D36" s="2623">
        <f t="shared" si="87"/>
        <v>232</v>
      </c>
      <c r="E36" s="2623">
        <v>376</v>
      </c>
      <c r="F36" s="2624">
        <v>213</v>
      </c>
      <c r="G36" s="347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77">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77">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80">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2595</v>
      </c>
      <c r="B40" s="2623">
        <v>269</v>
      </c>
      <c r="C40" s="2623">
        <v>221</v>
      </c>
      <c r="D40" s="2623">
        <f t="shared" si="87"/>
        <v>221</v>
      </c>
      <c r="E40" s="2623">
        <v>373</v>
      </c>
      <c r="F40" s="2624">
        <v>196</v>
      </c>
      <c r="G40" s="347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77">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77">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80">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2599</v>
      </c>
      <c r="B44" s="2623">
        <v>220</v>
      </c>
      <c r="C44" s="2623">
        <v>187</v>
      </c>
      <c r="D44" s="2623">
        <f t="shared" si="87"/>
        <v>187</v>
      </c>
      <c r="E44" s="2623">
        <v>301</v>
      </c>
      <c r="F44" s="2624">
        <v>168</v>
      </c>
      <c r="G44" s="347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77">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77">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80">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2603</v>
      </c>
      <c r="B48" s="2661">
        <v>214</v>
      </c>
      <c r="C48" s="2661">
        <v>188</v>
      </c>
      <c r="D48" s="2661">
        <f t="shared" si="87"/>
        <v>188</v>
      </c>
      <c r="E48" s="2661">
        <v>289</v>
      </c>
      <c r="F48" s="2662">
        <v>166</v>
      </c>
      <c r="G48" s="347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77">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77">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80">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2607</v>
      </c>
      <c r="B52" s="2623">
        <v>188</v>
      </c>
      <c r="C52" s="2623">
        <v>165</v>
      </c>
      <c r="D52" s="2623">
        <f t="shared" si="87"/>
        <v>165</v>
      </c>
      <c r="E52" s="2623">
        <v>254</v>
      </c>
      <c r="F52" s="2624">
        <v>148</v>
      </c>
      <c r="G52" s="347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77">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77">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80">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2611</v>
      </c>
      <c r="B56" s="2645">
        <v>159</v>
      </c>
      <c r="C56" s="2645">
        <v>141</v>
      </c>
      <c r="D56" s="2645">
        <f t="shared" si="87"/>
        <v>141</v>
      </c>
      <c r="E56" s="2645">
        <v>195</v>
      </c>
      <c r="F56" s="2646">
        <v>122</v>
      </c>
      <c r="G56" s="347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77">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77">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80">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2615</v>
      </c>
      <c r="B60" s="2645">
        <v>138</v>
      </c>
      <c r="C60" s="2645">
        <v>131</v>
      </c>
      <c r="D60" s="2645">
        <f t="shared" si="87"/>
        <v>131</v>
      </c>
      <c r="E60" s="2645">
        <v>155</v>
      </c>
      <c r="F60" s="2646">
        <v>114</v>
      </c>
      <c r="G60" s="347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77">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77">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80">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2619</v>
      </c>
      <c r="B64" s="2661">
        <v>121</v>
      </c>
      <c r="C64" s="2661">
        <v>122</v>
      </c>
      <c r="D64" s="2661">
        <f t="shared" si="87"/>
        <v>122</v>
      </c>
      <c r="E64" s="2661">
        <v>124</v>
      </c>
      <c r="F64" s="2662">
        <v>107</v>
      </c>
      <c r="G64" s="347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77">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77">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80">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2623</v>
      </c>
      <c r="B68" s="2682">
        <v>111</v>
      </c>
      <c r="C68" s="2682">
        <v>114</v>
      </c>
      <c r="D68" s="2682">
        <f t="shared" si="87"/>
        <v>114</v>
      </c>
      <c r="E68" s="2682">
        <v>108</v>
      </c>
      <c r="F68" s="2683">
        <v>104</v>
      </c>
      <c r="G68" s="3479">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77">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77">
        <v>2003</v>
      </c>
      <c r="H70" s="2622">
        <v>2</v>
      </c>
      <c r="I70" s="2684"/>
      <c r="J70" s="2684"/>
      <c r="K70" s="2684"/>
      <c r="L70" s="2684"/>
      <c r="X70" s="2676"/>
      <c r="Y70" s="2676"/>
      <c r="Z70" s="2676"/>
    </row>
    <row r="71" spans="1:26" ht="13.5" thickBot="1">
      <c r="A71" s="2618" t="s">
        <v>2626</v>
      </c>
      <c r="B71" s="2686">
        <f t="shared" si="123"/>
        <v>107.25</v>
      </c>
      <c r="C71" s="2686">
        <f t="shared" si="123"/>
        <v>108.75</v>
      </c>
      <c r="D71" s="2686">
        <f t="shared" si="87"/>
        <v>108.75</v>
      </c>
      <c r="E71" s="2686">
        <f t="shared" si="124"/>
        <v>105.75</v>
      </c>
      <c r="F71" s="2686">
        <f t="shared" si="124"/>
        <v>102.5</v>
      </c>
      <c r="G71" s="3480">
        <v>2003</v>
      </c>
      <c r="H71" s="2687">
        <v>1</v>
      </c>
      <c r="I71" s="2684"/>
      <c r="J71" s="2684"/>
      <c r="K71" s="2684"/>
      <c r="L71" s="2684"/>
      <c r="S71" s="2626"/>
      <c r="T71" s="2627"/>
      <c r="U71" s="2627"/>
      <c r="X71" s="2676"/>
      <c r="Y71" s="2676"/>
      <c r="Z71" s="2676"/>
    </row>
    <row r="72" spans="1:26" ht="13.5" thickBot="1">
      <c r="A72" s="2618" t="s">
        <v>2627</v>
      </c>
      <c r="B72" s="2688">
        <v>106</v>
      </c>
      <c r="C72" s="2688">
        <v>107</v>
      </c>
      <c r="D72" s="2688">
        <f t="shared" si="87"/>
        <v>107</v>
      </c>
      <c r="E72" s="2688">
        <v>105</v>
      </c>
      <c r="F72" s="2689">
        <v>102</v>
      </c>
      <c r="G72" s="3479">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77">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77">
        <v>2002</v>
      </c>
      <c r="H74" s="2622">
        <v>2</v>
      </c>
      <c r="I74" s="2684"/>
      <c r="J74" s="2684"/>
      <c r="K74" s="2684"/>
      <c r="L74" s="2684"/>
      <c r="X74" s="2676"/>
      <c r="Y74" s="2676"/>
      <c r="Z74" s="2676"/>
    </row>
    <row r="75" spans="1:26" s="2653" customFormat="1" ht="13.5" thickBot="1">
      <c r="A75" s="2649" t="s">
        <v>2630</v>
      </c>
      <c r="B75" s="2690">
        <f t="shared" si="125"/>
        <v>103</v>
      </c>
      <c r="C75" s="2690">
        <f t="shared" si="125"/>
        <v>104</v>
      </c>
      <c r="D75" s="2690">
        <f t="shared" si="87"/>
        <v>104</v>
      </c>
      <c r="E75" s="2690">
        <f t="shared" si="126"/>
        <v>103.5</v>
      </c>
      <c r="F75" s="2690">
        <f t="shared" si="126"/>
        <v>100.5</v>
      </c>
      <c r="G75" s="3480">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5"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owBreaks count="1" manualBreakCount="1">
    <brk id="51"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60"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5"/>
      <c r="E9" s="3062" t="e">
        <f t="shared" ca="1" si="1"/>
        <v>#REF!</v>
      </c>
      <c r="F9" s="3062" t="e">
        <f t="shared" ca="1" si="2"/>
        <v>#REF!</v>
      </c>
    </row>
    <row r="10" spans="1:6" ht="14.25">
      <c r="A10" s="260"/>
      <c r="B10" s="3061" t="e">
        <f t="shared" ca="1" si="0"/>
        <v>#REF!</v>
      </c>
      <c r="C10" s="3057" t="s">
        <v>2943</v>
      </c>
      <c r="D10" s="1865"/>
      <c r="E10" s="3062" t="e">
        <f t="shared" ca="1" si="1"/>
        <v>#REF!</v>
      </c>
      <c r="F10" s="3062" t="e">
        <f t="shared" ca="1" si="2"/>
        <v>#REF!</v>
      </c>
    </row>
    <row r="11" spans="1:6" ht="14.25">
      <c r="A11" s="260"/>
      <c r="B11" s="3061" t="e">
        <f t="shared" ca="1" si="0"/>
        <v>#REF!</v>
      </c>
      <c r="C11" s="3057" t="s">
        <v>2943</v>
      </c>
      <c r="D11" s="1865"/>
      <c r="E11" s="3062" t="e">
        <f t="shared" ca="1" si="1"/>
        <v>#REF!</v>
      </c>
      <c r="F11" s="3062" t="e">
        <f t="shared" ca="1" si="2"/>
        <v>#REF!</v>
      </c>
    </row>
    <row r="12" spans="1:6" ht="14.25">
      <c r="A12" s="260"/>
      <c r="B12" s="3061" t="e">
        <f t="shared" ca="1" si="0"/>
        <v>#REF!</v>
      </c>
      <c r="C12" s="3057" t="s">
        <v>2943</v>
      </c>
      <c r="D12" s="1865"/>
      <c r="E12" s="3062" t="e">
        <f t="shared" ca="1" si="1"/>
        <v>#REF!</v>
      </c>
      <c r="F12" s="3062" t="e">
        <f t="shared" ca="1" si="2"/>
        <v>#REF!</v>
      </c>
    </row>
    <row r="13" spans="1:6" ht="14.25">
      <c r="A13" s="260"/>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-2</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88" t="s">
        <v>2463</v>
      </c>
      <c r="C8" s="1809">
        <f ca="1">ROUND(F8*F10*F9*(1-F11)/10000,0)</f>
        <v>0</v>
      </c>
      <c r="D8" s="1806" t="s">
        <v>2534</v>
      </c>
      <c r="E8" s="61" t="s">
        <v>637</v>
      </c>
      <c r="F8" s="785">
        <f ca="1">INDIRECT("'数据-取费表'!u"&amp;$G$1)</f>
        <v>0</v>
      </c>
      <c r="G8" s="1577"/>
      <c r="H8" s="2467" t="s">
        <v>1824</v>
      </c>
      <c r="I8" s="3488" t="s">
        <v>2463</v>
      </c>
      <c r="J8" s="783">
        <f ca="1">ROUND(M8*M10*M9*(1-M11)/10000,0)</f>
        <v>0</v>
      </c>
      <c r="K8" s="341" t="s">
        <v>2534</v>
      </c>
      <c r="L8" s="784" t="s">
        <v>1738</v>
      </c>
      <c r="M8" s="785">
        <f ca="1">INDIRECT("'数据-取费表'!z"&amp;$G$1)</f>
        <v>0</v>
      </c>
    </row>
    <row r="9" spans="1:25" ht="18" customHeight="1">
      <c r="A9" s="2463"/>
      <c r="B9" s="3489"/>
      <c r="C9" s="1810"/>
      <c r="D9" s="1807"/>
      <c r="E9" s="61" t="s">
        <v>638</v>
      </c>
      <c r="F9" s="785">
        <f ca="1">IF(INDIRECT("'数据-取费表'!ah"&amp;$G$1)="",INDIRECT("'数据-取费表'!k"&amp;$G$1),INDIRECT("'数据-取费表'!ah"&amp;$G$1))</f>
        <v>0</v>
      </c>
      <c r="G9" s="1577"/>
      <c r="H9" s="2452"/>
      <c r="I9" s="3489"/>
      <c r="J9" s="788"/>
      <c r="K9" s="789"/>
      <c r="L9" s="784" t="s">
        <v>1739</v>
      </c>
      <c r="M9" s="785">
        <f ca="1">F9</f>
        <v>0</v>
      </c>
    </row>
    <row r="10" spans="1:25" ht="18" customHeight="1">
      <c r="A10" s="2456"/>
      <c r="B10" s="3490"/>
      <c r="C10" s="1810"/>
      <c r="D10" s="1807"/>
      <c r="E10" s="61" t="s">
        <v>639</v>
      </c>
      <c r="F10" s="785">
        <f ca="1">INDIRECT("'数据-取费表'!ai"&amp;$G$1)</f>
        <v>0</v>
      </c>
      <c r="G10" s="1577"/>
      <c r="H10" s="2452"/>
      <c r="I10" s="3490"/>
      <c r="J10" s="788"/>
      <c r="K10" s="789"/>
      <c r="L10" s="784" t="s">
        <v>1740</v>
      </c>
      <c r="M10" s="785">
        <f ca="1">INDIRECT("'数据-取费表'!ai"&amp;$G$1)</f>
        <v>0</v>
      </c>
    </row>
    <row r="11" spans="1:25" ht="18" customHeight="1">
      <c r="A11" s="786"/>
      <c r="B11" s="3491"/>
      <c r="C11" s="1810"/>
      <c r="D11" s="1807"/>
      <c r="E11" s="61" t="s">
        <v>640</v>
      </c>
      <c r="F11" s="794">
        <f ca="1">INDIRECT("'数据-取费表'!w"&amp;$G$1)</f>
        <v>0</v>
      </c>
      <c r="G11" s="1577"/>
      <c r="H11" s="2468"/>
      <c r="I11" s="3490"/>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2972</v>
      </c>
      <c r="E12" s="2461" t="s">
        <v>2464</v>
      </c>
      <c r="F12" s="2584"/>
      <c r="G12" s="1577"/>
      <c r="H12" s="2524" t="s">
        <v>1825</v>
      </c>
      <c r="I12" s="2529" t="s">
        <v>2459</v>
      </c>
      <c r="J12" s="783">
        <f ca="1">ROUND(IF(M12="押一",J8/12*M13,IF(M12="押二",J8/12*2*M13,IF(M12="押三",J8/12*3*M13,J13*M13))),0)</f>
        <v>0</v>
      </c>
      <c r="K12" s="2464" t="s">
        <v>2972</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2824</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3</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5.0000000000000001E-4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2821</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3" t="s">
        <v>1872</v>
      </c>
      <c r="I31" s="2963" t="s">
        <v>2823</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3</v>
      </c>
      <c r="G36" s="2046"/>
      <c r="H36" s="2049"/>
      <c r="I36" s="3487"/>
      <c r="J36" s="2063"/>
      <c r="K36" s="2064"/>
      <c r="L36" s="2063"/>
      <c r="M36" s="2063"/>
    </row>
    <row r="37" spans="1:18" ht="18" customHeight="1">
      <c r="A37" s="815"/>
      <c r="B37" s="793"/>
      <c r="C37" s="69"/>
      <c r="D37" s="816"/>
      <c r="E37" s="784" t="s">
        <v>674</v>
      </c>
      <c r="F37" s="785">
        <f ca="1">INDIRECT("'数据-取费表'!r"&amp;$G$1)</f>
        <v>0</v>
      </c>
      <c r="G37" s="2046"/>
      <c r="H37" s="2049"/>
      <c r="I37" s="348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2960</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2976</v>
      </c>
      <c r="J54" s="3180">
        <f ca="1">IF(M48="住宅",MAX(J52,L49-'数据-取费表'!B20),MIN(J52,L49-'数据-取费表'!B20))</f>
        <v>-2</v>
      </c>
      <c r="K54" s="3492"/>
      <c r="L54" s="3493"/>
      <c r="O54" s="2364" t="s">
        <v>2388</v>
      </c>
      <c r="P54" s="2362" t="s">
        <v>2389</v>
      </c>
      <c r="Q54" s="2363">
        <f ca="1">J54</f>
        <v>-2</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2941</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65" zoomScale="80" zoomScaleNormal="80" zoomScalePageLayoutView="80" workbookViewId="0">
      <selection activeCell="Q50" sqref="F32:Q50"/>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3268</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577414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22313</v>
      </c>
      <c r="C3" s="852" t="s">
        <v>722</v>
      </c>
      <c r="D3" s="851">
        <f>SUMIF('数据-汇总表'!$C19:$C33,D1,'数据-汇总表'!$E19:$E33)</f>
        <v>258779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07" t="s">
        <v>522</v>
      </c>
      <c r="D4" s="3408"/>
      <c r="E4" s="3441" t="s">
        <v>523</v>
      </c>
      <c r="F4" s="3442"/>
      <c r="G4" s="3407" t="s">
        <v>524</v>
      </c>
      <c r="H4" s="3408"/>
      <c r="I4" s="3407" t="s">
        <v>525</v>
      </c>
      <c r="J4" s="3408"/>
      <c r="K4" s="853"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4" t="s">
        <v>524</v>
      </c>
      <c r="AC4" s="3404" t="s">
        <v>525</v>
      </c>
    </row>
    <row r="5" spans="1:29" ht="15">
      <c r="A5" s="515"/>
      <c r="B5" s="516"/>
      <c r="C5" s="3423" t="s">
        <v>2928</v>
      </c>
      <c r="D5" s="3424"/>
      <c r="E5" s="3500" t="s">
        <v>3308</v>
      </c>
      <c r="F5" s="3444"/>
      <c r="G5" s="3498" t="s">
        <v>3310</v>
      </c>
      <c r="H5" s="3424"/>
      <c r="I5" s="3498" t="s">
        <v>3312</v>
      </c>
      <c r="J5" s="3424"/>
      <c r="K5" s="85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99" t="s">
        <v>3309</v>
      </c>
      <c r="F6" s="3440"/>
      <c r="G6" s="3497" t="s">
        <v>3311</v>
      </c>
      <c r="H6" s="3422"/>
      <c r="I6" s="3497" t="s">
        <v>3313</v>
      </c>
      <c r="J6" s="3422"/>
      <c r="K6" s="85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f>C7</f>
        <v>43689</v>
      </c>
      <c r="F7" s="522">
        <f>SUMIF(58:58,YEAR(E7)&amp;"-"&amp;MONTH(E7),59:59)</f>
        <v>100</v>
      </c>
      <c r="G7" s="523">
        <f>E7</f>
        <v>43689</v>
      </c>
      <c r="H7" s="520">
        <f>SUMIF(58:58,YEAR(G7)&amp;"-"&amp;MONTH(G7),59:59)</f>
        <v>100</v>
      </c>
      <c r="I7" s="523">
        <f>G7</f>
        <v>43689</v>
      </c>
      <c r="J7" s="520">
        <f>SUMIF(58:58,YEAR(I7)&amp;"-"&amp;MONTH(I7),59:59)</f>
        <v>100</v>
      </c>
      <c r="K7" s="855"/>
      <c r="L7" s="2119"/>
      <c r="M7" s="2120"/>
      <c r="N7" s="2120"/>
      <c r="O7" s="2120"/>
      <c r="P7" s="3432" t="s">
        <v>530</v>
      </c>
      <c r="Q7" s="3434"/>
      <c r="R7" s="1553" t="s">
        <v>13</v>
      </c>
      <c r="S7" s="1554">
        <f t="shared" ref="S7:S15" si="0">F7</f>
        <v>100</v>
      </c>
      <c r="T7" s="1553" t="s">
        <v>13</v>
      </c>
      <c r="U7" s="1554">
        <f t="shared" ref="U7:U15" si="1">H7</f>
        <v>100</v>
      </c>
      <c r="V7" s="1553" t="s">
        <v>13</v>
      </c>
      <c r="W7" s="1554">
        <f t="shared" ref="W7:W15" si="2">J7</f>
        <v>100</v>
      </c>
      <c r="X7" s="1555"/>
      <c r="Y7" s="3432" t="s">
        <v>530</v>
      </c>
      <c r="Z7" s="3433"/>
      <c r="AA7" s="1556">
        <f>D7/F7</f>
        <v>1</v>
      </c>
      <c r="AB7" s="1556">
        <f>D7/H7</f>
        <v>1</v>
      </c>
      <c r="AC7" s="1556">
        <f>D7/J7</f>
        <v>1</v>
      </c>
    </row>
    <row r="8" spans="1:29" s="1216" customFormat="1" ht="15.75" thickBot="1">
      <c r="A8" s="2867"/>
      <c r="B8" s="2874" t="s">
        <v>531</v>
      </c>
      <c r="C8" s="525" t="s">
        <v>576</v>
      </c>
      <c r="D8" s="520">
        <v>100</v>
      </c>
      <c r="E8" s="856" t="s">
        <v>3271</v>
      </c>
      <c r="F8" s="522">
        <f>SUMIF(61:61,E8,62:62)-SUMIF(61:61,C8,62:62)+100</f>
        <v>100</v>
      </c>
      <c r="G8" s="856" t="s">
        <v>3271</v>
      </c>
      <c r="H8" s="520">
        <f>SUMIF(61:61,G8,62:62)-SUMIF(61:61,C8,62:62)+100</f>
        <v>100</v>
      </c>
      <c r="I8" s="856" t="s">
        <v>3271</v>
      </c>
      <c r="J8" s="520">
        <f>SUMIF(61:61,I8,62:62)-SUMIF(61:61,C8,62:62)+100</f>
        <v>100</v>
      </c>
      <c r="K8" s="855"/>
      <c r="L8" s="2119"/>
      <c r="M8" s="2120"/>
      <c r="N8" s="2120"/>
      <c r="O8" s="2120"/>
      <c r="P8" s="3432" t="s">
        <v>533</v>
      </c>
      <c r="Q8" s="3433"/>
      <c r="R8" s="1553" t="s">
        <v>13</v>
      </c>
      <c r="S8" s="1554">
        <f t="shared" si="0"/>
        <v>100</v>
      </c>
      <c r="T8" s="1553" t="s">
        <v>13</v>
      </c>
      <c r="U8" s="1554">
        <f t="shared" si="1"/>
        <v>100</v>
      </c>
      <c r="V8" s="1553" t="s">
        <v>13</v>
      </c>
      <c r="W8" s="1554">
        <f t="shared" si="2"/>
        <v>100</v>
      </c>
      <c r="X8" s="1555"/>
      <c r="Y8" s="3432" t="s">
        <v>533</v>
      </c>
      <c r="Z8" s="3433"/>
      <c r="AA8" s="1556">
        <f t="shared" ref="AA8:AA46" si="3">D8/F8</f>
        <v>1</v>
      </c>
      <c r="AB8" s="1556">
        <f t="shared" ref="AB8:AB46" si="4">D8/H8</f>
        <v>1</v>
      </c>
      <c r="AC8" s="1556">
        <f t="shared" ref="AC8:AC46" si="5">D8/J8</f>
        <v>1</v>
      </c>
    </row>
    <row r="9" spans="1:29" s="1216" customFormat="1" ht="15">
      <c r="A9" s="2868"/>
      <c r="B9" s="2875" t="s">
        <v>2755</v>
      </c>
      <c r="C9" s="3184" t="s">
        <v>3269</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t="s">
        <v>3270</v>
      </c>
      <c r="D10" s="255">
        <v>100</v>
      </c>
      <c r="E10" s="862" t="s">
        <v>3270</v>
      </c>
      <c r="F10" s="863">
        <f>SUMIF(65:65,E10,66:66)-SUMIF(65:65,C10,66:66)+100</f>
        <v>100</v>
      </c>
      <c r="G10" s="862" t="s">
        <v>3270</v>
      </c>
      <c r="H10" s="255">
        <f>SUMIF(65:65,G10,66:66)-SUMIF(65:65,C10,66:66)+100</f>
        <v>100</v>
      </c>
      <c r="I10" s="862" t="s">
        <v>3270</v>
      </c>
      <c r="J10" s="255">
        <f>SUMIF(65:65,I10,66:66)-SUMIF(65:65,C10,66:66)+100</f>
        <v>100</v>
      </c>
      <c r="K10" s="864">
        <v>2</v>
      </c>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75" thickBot="1">
      <c r="A11" s="2870"/>
      <c r="B11" s="2874" t="s">
        <v>2757</v>
      </c>
      <c r="C11" s="533">
        <f>'比较法-住宅、综合'!C13</f>
        <v>3</v>
      </c>
      <c r="D11" s="255">
        <v>100</v>
      </c>
      <c r="E11" s="534">
        <v>1.8</v>
      </c>
      <c r="F11" s="863">
        <f>LOOKUP(E11,68:68,69:69)-LOOKUP(C11,68:68,69:69)+100</f>
        <v>100</v>
      </c>
      <c r="G11" s="533">
        <v>3.1</v>
      </c>
      <c r="H11" s="255">
        <f>LOOKUP(G11,68:68,69:69)-LOOKUP(C11,68:68,69:69)+100</f>
        <v>100</v>
      </c>
      <c r="I11" s="533">
        <v>2.98</v>
      </c>
      <c r="J11" s="255">
        <f>LOOKUP(I11,68:68,69:69)-LOOKUP(C11,68:68,69:69)+100</f>
        <v>100</v>
      </c>
      <c r="K11" s="864"/>
      <c r="L11" s="2124"/>
      <c r="M11" s="2118"/>
      <c r="N11" s="2118"/>
      <c r="O11" s="2125"/>
      <c r="P11" s="3401"/>
      <c r="Q11" s="1147" t="str">
        <f t="shared" si="6"/>
        <v>容积率</v>
      </c>
      <c r="R11" s="1553" t="s">
        <v>11</v>
      </c>
      <c r="S11" s="1554">
        <f t="shared" si="0"/>
        <v>100</v>
      </c>
      <c r="T11" s="1553" t="s">
        <v>11</v>
      </c>
      <c r="U11" s="1554">
        <f t="shared" si="1"/>
        <v>100</v>
      </c>
      <c r="V11" s="1553" t="s">
        <v>11</v>
      </c>
      <c r="W11" s="1554">
        <f t="shared" si="2"/>
        <v>100</v>
      </c>
      <c r="X11" s="1555"/>
      <c r="Y11" s="3347"/>
      <c r="Z11" s="1146" t="str">
        <f t="shared" si="7"/>
        <v>容积率</v>
      </c>
      <c r="AA11" s="1556">
        <f t="shared" si="3"/>
        <v>1</v>
      </c>
      <c r="AB11" s="1556">
        <f t="shared" si="4"/>
        <v>1</v>
      </c>
      <c r="AC11" s="1556">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1"/>
      <c r="Q12" s="1147">
        <f t="shared" si="6"/>
        <v>0</v>
      </c>
      <c r="R12" s="1553" t="s">
        <v>11</v>
      </c>
      <c r="S12" s="1554">
        <f t="shared" si="0"/>
        <v>100</v>
      </c>
      <c r="T12" s="1553" t="s">
        <v>11</v>
      </c>
      <c r="U12" s="1554">
        <f t="shared" si="1"/>
        <v>100</v>
      </c>
      <c r="V12" s="1553" t="s">
        <v>11</v>
      </c>
      <c r="W12" s="1554">
        <f t="shared" si="2"/>
        <v>100</v>
      </c>
      <c r="X12" s="1555"/>
      <c r="Y12" s="3347"/>
      <c r="Z12" s="1146">
        <f t="shared" si="7"/>
        <v>0</v>
      </c>
      <c r="AA12" s="1556">
        <f>D12/F12</f>
        <v>1</v>
      </c>
      <c r="AB12" s="1556">
        <f>D12/H12</f>
        <v>1</v>
      </c>
      <c r="AC12" s="1556">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1"/>
      <c r="Q13" s="1147">
        <f t="shared" si="6"/>
        <v>0</v>
      </c>
      <c r="R13" s="1553" t="s">
        <v>11</v>
      </c>
      <c r="S13" s="1554">
        <f t="shared" si="0"/>
        <v>100</v>
      </c>
      <c r="T13" s="1553" t="s">
        <v>11</v>
      </c>
      <c r="U13" s="1554">
        <f t="shared" si="1"/>
        <v>100</v>
      </c>
      <c r="V13" s="1553" t="s">
        <v>11</v>
      </c>
      <c r="W13" s="1554">
        <f t="shared" si="2"/>
        <v>100</v>
      </c>
      <c r="X13" s="1555"/>
      <c r="Y13" s="3347"/>
      <c r="Z13" s="1146">
        <f t="shared" si="7"/>
        <v>0</v>
      </c>
      <c r="AA13" s="1556">
        <f t="shared" si="3"/>
        <v>1</v>
      </c>
      <c r="AB13" s="1556">
        <f t="shared" si="4"/>
        <v>1</v>
      </c>
      <c r="AC13" s="1556">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1"/>
      <c r="Q14" s="1147">
        <f t="shared" si="6"/>
        <v>0</v>
      </c>
      <c r="R14" s="1553" t="s">
        <v>11</v>
      </c>
      <c r="S14" s="1554">
        <f t="shared" si="0"/>
        <v>100</v>
      </c>
      <c r="T14" s="1553" t="s">
        <v>11</v>
      </c>
      <c r="U14" s="1554">
        <f t="shared" si="1"/>
        <v>100</v>
      </c>
      <c r="V14" s="1553" t="s">
        <v>11</v>
      </c>
      <c r="W14" s="1554">
        <f t="shared" si="2"/>
        <v>100</v>
      </c>
      <c r="X14" s="1555"/>
      <c r="Y14" s="3347"/>
      <c r="Z14" s="1146">
        <f t="shared" si="7"/>
        <v>0</v>
      </c>
      <c r="AA14" s="1556">
        <f t="shared" si="3"/>
        <v>1</v>
      </c>
      <c r="AB14" s="1556">
        <f t="shared" si="4"/>
        <v>1</v>
      </c>
      <c r="AC14" s="1556">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35" t="s">
        <v>540</v>
      </c>
      <c r="Q15" s="1557" t="str">
        <f t="shared" si="6"/>
        <v>居住社区成熟度</v>
      </c>
      <c r="R15" s="1558" t="s">
        <v>11</v>
      </c>
      <c r="S15" s="1559">
        <f t="shared" si="0"/>
        <v>100</v>
      </c>
      <c r="T15" s="1558" t="s">
        <v>11</v>
      </c>
      <c r="U15" s="1559">
        <f t="shared" si="1"/>
        <v>100</v>
      </c>
      <c r="V15" s="1558" t="s">
        <v>11</v>
      </c>
      <c r="W15" s="1559">
        <f t="shared" si="2"/>
        <v>100</v>
      </c>
      <c r="X15" s="1552"/>
      <c r="Y15" s="3435"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36"/>
      <c r="Q17" s="1557" t="str">
        <f>B17</f>
        <v>交通便捷度</v>
      </c>
      <c r="R17" s="1558" t="s">
        <v>11</v>
      </c>
      <c r="S17" s="1559">
        <f>F17</f>
        <v>100</v>
      </c>
      <c r="T17" s="1558" t="s">
        <v>11</v>
      </c>
      <c r="U17" s="1559">
        <f>H17</f>
        <v>100</v>
      </c>
      <c r="V17" s="1558" t="s">
        <v>11</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36"/>
      <c r="Q19" s="1557" t="str">
        <f>B19</f>
        <v>公共配套设施</v>
      </c>
      <c r="R19" s="1558" t="s">
        <v>11</v>
      </c>
      <c r="S19" s="1559">
        <f>F19</f>
        <v>100</v>
      </c>
      <c r="T19" s="1558" t="s">
        <v>11</v>
      </c>
      <c r="U19" s="1559">
        <f>H19</f>
        <v>100</v>
      </c>
      <c r="V19" s="1558" t="s">
        <v>11</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36"/>
      <c r="Q21" s="2542" t="str">
        <f>B21</f>
        <v>基础设施水平</v>
      </c>
      <c r="R21" s="1558" t="s">
        <v>11</v>
      </c>
      <c r="S21" s="1559">
        <f>F21</f>
        <v>100</v>
      </c>
      <c r="T21" s="1558" t="s">
        <v>11</v>
      </c>
      <c r="U21" s="1559">
        <f>H21</f>
        <v>100</v>
      </c>
      <c r="V21" s="1558" t="s">
        <v>11</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36"/>
      <c r="Q22" s="2542"/>
      <c r="R22" s="1558"/>
      <c r="S22" s="1559"/>
      <c r="T22" s="1558"/>
      <c r="U22" s="1559"/>
      <c r="V22" s="1558"/>
      <c r="W22" s="1559"/>
      <c r="X22" s="2544"/>
      <c r="Y22" s="3436"/>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95</v>
      </c>
      <c r="K23" s="868">
        <v>5</v>
      </c>
      <c r="L23" s="2126"/>
      <c r="M23" s="2118"/>
      <c r="N23" s="2118"/>
      <c r="O23" s="2125"/>
      <c r="P23" s="3436"/>
      <c r="Q23" s="1557" t="str">
        <f>B23</f>
        <v>自然及人文环境</v>
      </c>
      <c r="R23" s="1558" t="s">
        <v>11</v>
      </c>
      <c r="S23" s="1559">
        <f>F23</f>
        <v>95</v>
      </c>
      <c r="T23" s="1558" t="s">
        <v>11</v>
      </c>
      <c r="U23" s="1559">
        <f>H23</f>
        <v>95</v>
      </c>
      <c r="V23" s="1558" t="s">
        <v>11</v>
      </c>
      <c r="W23" s="1559">
        <f>J23</f>
        <v>95</v>
      </c>
      <c r="X23" s="1552"/>
      <c r="Y23" s="3436"/>
      <c r="Z23" s="1560" t="str">
        <f>Q23</f>
        <v>自然及人文环境</v>
      </c>
      <c r="AA23" s="1561">
        <f t="shared" si="3"/>
        <v>1.0526315789473684</v>
      </c>
      <c r="AB23" s="1561">
        <f t="shared" si="4"/>
        <v>1.0526315789473684</v>
      </c>
      <c r="AC23" s="1561">
        <f t="shared" si="5"/>
        <v>1.0526315789473684</v>
      </c>
    </row>
    <row r="24" spans="1:29" ht="15.75" thickBot="1">
      <c r="A24" s="532"/>
      <c r="B24" s="595"/>
      <c r="C24" s="576" t="s">
        <v>3294</v>
      </c>
      <c r="D24" s="555"/>
      <c r="E24" s="556" t="s">
        <v>3295</v>
      </c>
      <c r="F24" s="557"/>
      <c r="G24" s="558" t="s">
        <v>3295</v>
      </c>
      <c r="H24" s="555"/>
      <c r="I24" s="556" t="s">
        <v>3295</v>
      </c>
      <c r="J24" s="555"/>
      <c r="K24" s="870"/>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6"/>
      <c r="Q25" s="1557" t="str">
        <f t="shared" ref="Q25:Q46" si="11">B25</f>
        <v>楼层-1</v>
      </c>
      <c r="R25" s="1558" t="s">
        <v>11</v>
      </c>
      <c r="S25" s="1559">
        <f>F25</f>
        <v>100</v>
      </c>
      <c r="T25" s="1558" t="s">
        <v>11</v>
      </c>
      <c r="U25" s="1559">
        <f>H25</f>
        <v>100</v>
      </c>
      <c r="V25" s="1558" t="s">
        <v>11</v>
      </c>
      <c r="W25" s="1559">
        <f>J25</f>
        <v>100</v>
      </c>
      <c r="X25" s="1552"/>
      <c r="Y25" s="3436"/>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6"/>
      <c r="Q26" s="1557" t="str">
        <f t="shared" si="11"/>
        <v>朝向</v>
      </c>
      <c r="R26" s="1558" t="s">
        <v>11</v>
      </c>
      <c r="S26" s="1559">
        <f>F26</f>
        <v>100</v>
      </c>
      <c r="T26" s="1558" t="s">
        <v>11</v>
      </c>
      <c r="U26" s="1559">
        <f>H26</f>
        <v>100</v>
      </c>
      <c r="V26" s="1558" t="s">
        <v>11</v>
      </c>
      <c r="W26" s="1559">
        <f>J26</f>
        <v>100</v>
      </c>
      <c r="X26" s="1552"/>
      <c r="Y26" s="3436"/>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36"/>
      <c r="Q27" s="1147" t="str">
        <f t="shared" si="11"/>
        <v>道路级别</v>
      </c>
      <c r="R27" s="1553" t="s">
        <v>11</v>
      </c>
      <c r="S27" s="1554">
        <f>F27</f>
        <v>100</v>
      </c>
      <c r="T27" s="1553" t="s">
        <v>11</v>
      </c>
      <c r="U27" s="1554">
        <f>H27</f>
        <v>100</v>
      </c>
      <c r="V27" s="1553" t="s">
        <v>11</v>
      </c>
      <c r="W27" s="1554">
        <f>J27</f>
        <v>100</v>
      </c>
      <c r="X27" s="1555"/>
      <c r="Y27" s="3436"/>
      <c r="Z27" s="1146" t="str">
        <f>Q27</f>
        <v>道路级别</v>
      </c>
      <c r="AA27" s="1561">
        <f>D27/F27</f>
        <v>1</v>
      </c>
      <c r="AB27" s="1561">
        <f>D27/H27</f>
        <v>1</v>
      </c>
      <c r="AC27" s="1561">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6"/>
      <c r="Q28" s="1557">
        <f t="shared" si="11"/>
        <v>0</v>
      </c>
      <c r="R28" s="1558" t="s">
        <v>11</v>
      </c>
      <c r="S28" s="1559">
        <f t="shared" ref="S28:S46" si="12">F28</f>
        <v>100</v>
      </c>
      <c r="T28" s="1558" t="s">
        <v>11</v>
      </c>
      <c r="U28" s="1559">
        <f t="shared" ref="U28:U46" si="13">H28</f>
        <v>100</v>
      </c>
      <c r="V28" s="1558" t="s">
        <v>11</v>
      </c>
      <c r="W28" s="1559">
        <f t="shared" ref="W28:W46" si="14">J28</f>
        <v>100</v>
      </c>
      <c r="X28" s="1552"/>
      <c r="Y28" s="3436"/>
      <c r="Z28" s="1560">
        <f t="shared" ref="Z28:Z46" si="15">Q28</f>
        <v>0</v>
      </c>
      <c r="AA28" s="1561">
        <f t="shared" si="3"/>
        <v>1</v>
      </c>
      <c r="AB28" s="1561">
        <f t="shared" si="4"/>
        <v>1</v>
      </c>
      <c r="AC28" s="1561">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6"/>
      <c r="Q29" s="1557">
        <f t="shared" si="11"/>
        <v>0</v>
      </c>
      <c r="R29" s="1558" t="s">
        <v>11</v>
      </c>
      <c r="S29" s="1559">
        <f t="shared" si="12"/>
        <v>100</v>
      </c>
      <c r="T29" s="1558" t="s">
        <v>11</v>
      </c>
      <c r="U29" s="1559">
        <f t="shared" si="13"/>
        <v>100</v>
      </c>
      <c r="V29" s="1558" t="s">
        <v>11</v>
      </c>
      <c r="W29" s="1559">
        <f t="shared" si="14"/>
        <v>100</v>
      </c>
      <c r="X29" s="1552"/>
      <c r="Y29" s="3436"/>
      <c r="Z29" s="1560">
        <f t="shared" si="15"/>
        <v>0</v>
      </c>
      <c r="AA29" s="1561">
        <f t="shared" si="3"/>
        <v>1</v>
      </c>
      <c r="AB29" s="1561">
        <f t="shared" si="4"/>
        <v>1</v>
      </c>
      <c r="AC29" s="1561">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6"/>
      <c r="Q30" s="1557">
        <f t="shared" si="11"/>
        <v>0</v>
      </c>
      <c r="R30" s="1558" t="s">
        <v>11</v>
      </c>
      <c r="S30" s="1559">
        <f t="shared" si="12"/>
        <v>100</v>
      </c>
      <c r="T30" s="1558" t="s">
        <v>11</v>
      </c>
      <c r="U30" s="1559">
        <f t="shared" si="13"/>
        <v>100</v>
      </c>
      <c r="V30" s="1558" t="s">
        <v>11</v>
      </c>
      <c r="W30" s="1559">
        <f t="shared" si="14"/>
        <v>100</v>
      </c>
      <c r="X30" s="1552"/>
      <c r="Y30" s="3436"/>
      <c r="Z30" s="1560">
        <f t="shared" si="15"/>
        <v>0</v>
      </c>
      <c r="AA30" s="1561">
        <f t="shared" si="3"/>
        <v>1</v>
      </c>
      <c r="AB30" s="1561">
        <f t="shared" si="4"/>
        <v>1</v>
      </c>
      <c r="AC30" s="1561">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6"/>
      <c r="Q31" s="1557">
        <f t="shared" si="11"/>
        <v>0</v>
      </c>
      <c r="R31" s="1558" t="s">
        <v>11</v>
      </c>
      <c r="S31" s="1559">
        <f t="shared" si="12"/>
        <v>100</v>
      </c>
      <c r="T31" s="1558" t="s">
        <v>11</v>
      </c>
      <c r="U31" s="1559">
        <f t="shared" si="13"/>
        <v>100</v>
      </c>
      <c r="V31" s="1558" t="s">
        <v>11</v>
      </c>
      <c r="W31" s="1559">
        <f t="shared" si="14"/>
        <v>100</v>
      </c>
      <c r="X31" s="1552"/>
      <c r="Y31" s="3436"/>
      <c r="Z31" s="1560">
        <f t="shared" si="15"/>
        <v>0</v>
      </c>
      <c r="AA31" s="1561">
        <f t="shared" si="3"/>
        <v>1</v>
      </c>
      <c r="AB31" s="1561">
        <f t="shared" si="4"/>
        <v>1</v>
      </c>
      <c r="AC31" s="1561">
        <f t="shared" si="5"/>
        <v>1</v>
      </c>
    </row>
    <row r="32" spans="1:29" ht="15">
      <c r="A32" s="2861" t="s">
        <v>2754</v>
      </c>
      <c r="B32" s="172" t="s">
        <v>725</v>
      </c>
      <c r="C32" s="878" t="s">
        <v>3278</v>
      </c>
      <c r="D32" s="597">
        <v>100</v>
      </c>
      <c r="E32" s="879" t="s">
        <v>3278</v>
      </c>
      <c r="F32" s="575">
        <f>SUMIF(100:100,E32,101:101)-SUMIF(100:100,C32,101:101)+100</f>
        <v>100</v>
      </c>
      <c r="G32" s="878" t="s">
        <v>3278</v>
      </c>
      <c r="H32" s="597">
        <f>SUMIF(100:100,G32,101:101)-SUMIF(100:100,C32,101:101)+100</f>
        <v>100</v>
      </c>
      <c r="I32" s="879" t="s">
        <v>3276</v>
      </c>
      <c r="J32" s="540">
        <f>SUMIF(100:100,I32,101:101)-SUMIF(100:100,C32,101:101)+100</f>
        <v>105</v>
      </c>
      <c r="K32" s="864">
        <v>5</v>
      </c>
      <c r="L32" s="2126"/>
      <c r="M32" s="2118"/>
      <c r="N32" s="2118"/>
      <c r="O32" s="2125"/>
      <c r="P32" s="3437" t="s">
        <v>550</v>
      </c>
      <c r="Q32" s="1557" t="str">
        <f t="shared" si="11"/>
        <v>建筑类型</v>
      </c>
      <c r="R32" s="1558" t="s">
        <v>11</v>
      </c>
      <c r="S32" s="1559">
        <f t="shared" si="12"/>
        <v>100</v>
      </c>
      <c r="T32" s="1558" t="s">
        <v>11</v>
      </c>
      <c r="U32" s="1559">
        <f t="shared" si="13"/>
        <v>100</v>
      </c>
      <c r="V32" s="1558" t="s">
        <v>11</v>
      </c>
      <c r="W32" s="1559">
        <f t="shared" si="14"/>
        <v>105</v>
      </c>
      <c r="X32" s="1552"/>
      <c r="Y32" s="3438" t="s">
        <v>550</v>
      </c>
      <c r="Z32" s="1560" t="str">
        <f t="shared" si="15"/>
        <v>建筑类型</v>
      </c>
      <c r="AA32" s="1561">
        <f t="shared" si="3"/>
        <v>1</v>
      </c>
      <c r="AB32" s="1561">
        <f t="shared" si="4"/>
        <v>1</v>
      </c>
      <c r="AC32" s="1561">
        <f t="shared" si="5"/>
        <v>0.95238095238095233</v>
      </c>
    </row>
    <row r="33" spans="1:29" s="1335" customFormat="1" ht="15">
      <c r="A33" s="603"/>
      <c r="B33" s="527" t="s">
        <v>726</v>
      </c>
      <c r="C33" s="880">
        <f>'数据-汇总表'!E3</f>
        <v>289029</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4"/>
      <c r="M33" s="2155"/>
      <c r="N33" s="2155"/>
      <c r="O33" s="2127"/>
      <c r="P33" s="3438"/>
      <c r="Q33" s="1589" t="str">
        <f t="shared" si="11"/>
        <v>项目建筑规模</v>
      </c>
      <c r="R33" s="1562" t="s">
        <v>11</v>
      </c>
      <c r="S33" s="1563">
        <f t="shared" si="12"/>
        <v>100</v>
      </c>
      <c r="T33" s="1562" t="s">
        <v>11</v>
      </c>
      <c r="U33" s="1563">
        <f t="shared" si="13"/>
        <v>100</v>
      </c>
      <c r="V33" s="1562" t="s">
        <v>11</v>
      </c>
      <c r="W33" s="1563">
        <f t="shared" si="14"/>
        <v>100</v>
      </c>
      <c r="X33" s="1564"/>
      <c r="Y33" s="3438"/>
      <c r="Z33" s="1565" t="str">
        <f t="shared" si="15"/>
        <v>项目建筑规模</v>
      </c>
      <c r="AA33" s="1561">
        <f t="shared" si="3"/>
        <v>1</v>
      </c>
      <c r="AB33" s="1561">
        <f t="shared" si="4"/>
        <v>1</v>
      </c>
      <c r="AC33" s="1561">
        <f t="shared" si="5"/>
        <v>1</v>
      </c>
    </row>
    <row r="34" spans="1:29" ht="15">
      <c r="A34" s="594"/>
      <c r="B34" s="527" t="s">
        <v>727</v>
      </c>
      <c r="C34" s="881" t="s">
        <v>3290</v>
      </c>
      <c r="D34" s="540">
        <v>100</v>
      </c>
      <c r="E34" s="881" t="s">
        <v>3290</v>
      </c>
      <c r="F34" s="575">
        <f>SUMIF(105:105,E34,106:106)-SUMIF(105:105,C34,106:106)+100</f>
        <v>100</v>
      </c>
      <c r="G34" s="881" t="s">
        <v>3290</v>
      </c>
      <c r="H34" s="540">
        <f>SUMIF(105:105,G34,106:106)-SUMIF(105:105,C34,106:106)+100</f>
        <v>100</v>
      </c>
      <c r="I34" s="881" t="s">
        <v>3290</v>
      </c>
      <c r="J34" s="540">
        <f>SUMIF(105:105,I34,106:106)-SUMIF(105:105,C34,106:106)+100</f>
        <v>100</v>
      </c>
      <c r="K34" s="864">
        <v>2</v>
      </c>
      <c r="L34" s="2126"/>
      <c r="M34" s="2118"/>
      <c r="N34" s="2118"/>
      <c r="O34" s="2125"/>
      <c r="P34" s="3438"/>
      <c r="Q34" s="1557" t="str">
        <f t="shared" si="11"/>
        <v>建筑结构</v>
      </c>
      <c r="R34" s="1558" t="s">
        <v>11</v>
      </c>
      <c r="S34" s="1559">
        <f t="shared" si="12"/>
        <v>100</v>
      </c>
      <c r="T34" s="1558" t="s">
        <v>11</v>
      </c>
      <c r="U34" s="1559">
        <f t="shared" si="13"/>
        <v>100</v>
      </c>
      <c r="V34" s="1558" t="s">
        <v>11</v>
      </c>
      <c r="W34" s="1559">
        <f t="shared" si="14"/>
        <v>100</v>
      </c>
      <c r="X34" s="1552"/>
      <c r="Y34" s="3438"/>
      <c r="Z34" s="1560" t="str">
        <f t="shared" si="15"/>
        <v>建筑结构</v>
      </c>
      <c r="AA34" s="1561">
        <f t="shared" si="3"/>
        <v>1</v>
      </c>
      <c r="AB34" s="1561">
        <f t="shared" si="4"/>
        <v>1</v>
      </c>
      <c r="AC34" s="1561">
        <f t="shared" si="5"/>
        <v>1</v>
      </c>
    </row>
    <row r="35" spans="1:29" ht="15">
      <c r="A35" s="594"/>
      <c r="B35" s="527" t="s">
        <v>728</v>
      </c>
      <c r="C35" s="599" t="s">
        <v>3292</v>
      </c>
      <c r="D35" s="540">
        <v>100</v>
      </c>
      <c r="E35" s="599" t="s">
        <v>3292</v>
      </c>
      <c r="F35" s="575">
        <f>SUMIF(107:107,E35,108:108)-SUMIF(107:107,C35,108:108)+100</f>
        <v>100</v>
      </c>
      <c r="G35" s="599" t="s">
        <v>3292</v>
      </c>
      <c r="H35" s="540">
        <f>SUMIF(107:107,G35,108:108)-SUMIF(107:107,C35,108:108)+100</f>
        <v>100</v>
      </c>
      <c r="I35" s="3189" t="s">
        <v>3296</v>
      </c>
      <c r="J35" s="540">
        <f>SUMIF(107:107,I35,108:108)-SUMIF(107:107,C35,108:108)+100</f>
        <v>95</v>
      </c>
      <c r="K35" s="864">
        <v>5</v>
      </c>
      <c r="L35" s="2126"/>
      <c r="M35" s="2118"/>
      <c r="N35" s="2118"/>
      <c r="O35" s="2125"/>
      <c r="P35" s="3438"/>
      <c r="Q35" s="1557" t="str">
        <f t="shared" si="11"/>
        <v>建筑品质</v>
      </c>
      <c r="R35" s="1558" t="s">
        <v>11</v>
      </c>
      <c r="S35" s="1559">
        <f t="shared" si="12"/>
        <v>100</v>
      </c>
      <c r="T35" s="1558" t="s">
        <v>11</v>
      </c>
      <c r="U35" s="1559">
        <f t="shared" si="13"/>
        <v>100</v>
      </c>
      <c r="V35" s="1558" t="s">
        <v>11</v>
      </c>
      <c r="W35" s="1559">
        <f t="shared" si="14"/>
        <v>95</v>
      </c>
      <c r="X35" s="1552"/>
      <c r="Y35" s="3438"/>
      <c r="Z35" s="1560" t="str">
        <f t="shared" si="15"/>
        <v>建筑品质</v>
      </c>
      <c r="AA35" s="1561">
        <f t="shared" si="3"/>
        <v>1</v>
      </c>
      <c r="AB35" s="1561">
        <f t="shared" si="4"/>
        <v>1</v>
      </c>
      <c r="AC35" s="1561">
        <f t="shared" si="5"/>
        <v>1.0526315789473684</v>
      </c>
    </row>
    <row r="36" spans="1:29" ht="15">
      <c r="A36" s="594"/>
      <c r="B36" s="527" t="s">
        <v>729</v>
      </c>
      <c r="C36" s="599" t="s">
        <v>3287</v>
      </c>
      <c r="D36" s="540">
        <v>100</v>
      </c>
      <c r="E36" s="599" t="s">
        <v>3287</v>
      </c>
      <c r="F36" s="575">
        <f>SUMIF(109:109,E36,110:110)-SUMIF(109:109,C36,110:110)+100</f>
        <v>100</v>
      </c>
      <c r="G36" s="599" t="s">
        <v>3287</v>
      </c>
      <c r="H36" s="540">
        <f>SUMIF(109:109,G36,110:110)-SUMIF(109:109,C36,110:110)+100</f>
        <v>100</v>
      </c>
      <c r="I36" s="599" t="s">
        <v>3287</v>
      </c>
      <c r="J36" s="540">
        <f>SUMIF(109:109,I36,110:110)-SUMIF(109:109,C36,110:110)+100</f>
        <v>100</v>
      </c>
      <c r="K36" s="864">
        <v>2</v>
      </c>
      <c r="L36" s="2126"/>
      <c r="M36" s="2118"/>
      <c r="N36" s="2118"/>
      <c r="O36" s="2125"/>
      <c r="P36" s="3438"/>
      <c r="Q36" s="1557" t="str">
        <f t="shared" si="11"/>
        <v>公共部分装修</v>
      </c>
      <c r="R36" s="1558" t="s">
        <v>11</v>
      </c>
      <c r="S36" s="1559">
        <f t="shared" si="12"/>
        <v>100</v>
      </c>
      <c r="T36" s="1558" t="s">
        <v>11</v>
      </c>
      <c r="U36" s="1559">
        <f t="shared" si="13"/>
        <v>100</v>
      </c>
      <c r="V36" s="1558" t="s">
        <v>11</v>
      </c>
      <c r="W36" s="1559">
        <f t="shared" si="14"/>
        <v>100</v>
      </c>
      <c r="X36" s="1552"/>
      <c r="Y36" s="3438"/>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38"/>
      <c r="Q37" s="1147" t="str">
        <f t="shared" si="11"/>
        <v>成新度</v>
      </c>
      <c r="R37" s="1553" t="s">
        <v>11</v>
      </c>
      <c r="S37" s="1554">
        <f t="shared" si="12"/>
        <v>100</v>
      </c>
      <c r="T37" s="1553" t="s">
        <v>11</v>
      </c>
      <c r="U37" s="1554">
        <f t="shared" si="13"/>
        <v>100</v>
      </c>
      <c r="V37" s="1553" t="s">
        <v>11</v>
      </c>
      <c r="W37" s="1554">
        <f t="shared" si="14"/>
        <v>100</v>
      </c>
      <c r="X37" s="1555"/>
      <c r="Y37" s="3438"/>
      <c r="Z37" s="1146" t="str">
        <f t="shared" si="15"/>
        <v>成新度</v>
      </c>
      <c r="AA37" s="1556">
        <f t="shared" si="3"/>
        <v>1</v>
      </c>
      <c r="AB37" s="1556">
        <f t="shared" si="4"/>
        <v>1</v>
      </c>
      <c r="AC37" s="1556">
        <f t="shared" si="5"/>
        <v>1</v>
      </c>
    </row>
    <row r="38" spans="1:29" ht="15">
      <c r="A38" s="594"/>
      <c r="B38" s="527" t="s">
        <v>731</v>
      </c>
      <c r="C38" s="599" t="s">
        <v>3285</v>
      </c>
      <c r="D38" s="540">
        <v>100</v>
      </c>
      <c r="E38" s="599" t="s">
        <v>3285</v>
      </c>
      <c r="F38" s="575">
        <f>SUMIF(114:114,E38,115:115)-SUMIF(114:114,C38,115:115)+100</f>
        <v>100</v>
      </c>
      <c r="G38" s="599" t="s">
        <v>3285</v>
      </c>
      <c r="H38" s="540">
        <f>SUMIF(114:114,G38,115:115)-SUMIF(114:114,C38,115:115)+100</f>
        <v>100</v>
      </c>
      <c r="I38" s="599" t="s">
        <v>3285</v>
      </c>
      <c r="J38" s="540">
        <f>SUMIF(114:114,I38,115:115)-SUMIF(114:114,C38,115:115)+100</f>
        <v>100</v>
      </c>
      <c r="K38" s="864">
        <v>2</v>
      </c>
      <c r="L38" s="2126"/>
      <c r="M38" s="2118"/>
      <c r="N38" s="2118"/>
      <c r="O38" s="2125"/>
      <c r="P38" s="3438" t="s">
        <v>550</v>
      </c>
      <c r="Q38" s="1557" t="str">
        <f t="shared" si="11"/>
        <v>物业管理</v>
      </c>
      <c r="R38" s="1558" t="s">
        <v>11</v>
      </c>
      <c r="S38" s="1559">
        <f t="shared" si="12"/>
        <v>100</v>
      </c>
      <c r="T38" s="1558" t="s">
        <v>11</v>
      </c>
      <c r="U38" s="1559">
        <f t="shared" si="13"/>
        <v>100</v>
      </c>
      <c r="V38" s="1558" t="s">
        <v>11</v>
      </c>
      <c r="W38" s="1559">
        <f t="shared" si="14"/>
        <v>100</v>
      </c>
      <c r="X38" s="1552"/>
      <c r="Y38" s="3438" t="s">
        <v>550</v>
      </c>
      <c r="Z38" s="1560" t="str">
        <f t="shared" si="15"/>
        <v>物业管理</v>
      </c>
      <c r="AA38" s="1561">
        <f t="shared" si="3"/>
        <v>1</v>
      </c>
      <c r="AB38" s="1561">
        <f t="shared" si="4"/>
        <v>1</v>
      </c>
      <c r="AC38" s="1561">
        <f t="shared" si="5"/>
        <v>1</v>
      </c>
    </row>
    <row r="39" spans="1:29" ht="15">
      <c r="A39" s="594"/>
      <c r="B39" s="1879" t="s">
        <v>2564</v>
      </c>
      <c r="C39" s="599" t="s">
        <v>3283</v>
      </c>
      <c r="D39" s="540">
        <v>100</v>
      </c>
      <c r="E39" s="599" t="s">
        <v>3283</v>
      </c>
      <c r="F39" s="575">
        <f>SUMIF(116:116,E39,117:117)-SUMIF(116:116,C39,117:117)+100</f>
        <v>100</v>
      </c>
      <c r="G39" s="599" t="s">
        <v>3283</v>
      </c>
      <c r="H39" s="540">
        <f>SUMIF(116:116,G39,117:117)-SUMIF(116:116,C39,117:117)+100</f>
        <v>100</v>
      </c>
      <c r="I39" s="599" t="s">
        <v>3283</v>
      </c>
      <c r="J39" s="540">
        <f>SUMIF(116:116,I39,117:117)-SUMIF(116:116,C39,117:117)+100</f>
        <v>100</v>
      </c>
      <c r="K39" s="864">
        <v>2</v>
      </c>
      <c r="L39" s="2126"/>
      <c r="M39" s="2118"/>
      <c r="N39" s="2118"/>
      <c r="O39" s="2125"/>
      <c r="P39" s="3438"/>
      <c r="Q39" s="1557" t="str">
        <f t="shared" si="11"/>
        <v>市政基础设施</v>
      </c>
      <c r="R39" s="1558" t="s">
        <v>11</v>
      </c>
      <c r="S39" s="1559">
        <f t="shared" si="12"/>
        <v>100</v>
      </c>
      <c r="T39" s="1558" t="s">
        <v>11</v>
      </c>
      <c r="U39" s="1559">
        <f t="shared" si="13"/>
        <v>100</v>
      </c>
      <c r="V39" s="1558" t="s">
        <v>11</v>
      </c>
      <c r="W39" s="1559">
        <f t="shared" si="14"/>
        <v>100</v>
      </c>
      <c r="X39" s="1552"/>
      <c r="Y39" s="3438"/>
      <c r="Z39" s="1560" t="str">
        <f t="shared" si="15"/>
        <v>市政基础设施</v>
      </c>
      <c r="AA39" s="1561">
        <f t="shared" si="3"/>
        <v>1</v>
      </c>
      <c r="AB39" s="1561">
        <f t="shared" si="4"/>
        <v>1</v>
      </c>
      <c r="AC39" s="1561">
        <f t="shared" si="5"/>
        <v>1</v>
      </c>
    </row>
    <row r="40" spans="1:29" ht="15">
      <c r="A40" s="594"/>
      <c r="B40" s="527" t="s">
        <v>732</v>
      </c>
      <c r="C40" s="599" t="s">
        <v>3281</v>
      </c>
      <c r="D40" s="540">
        <v>100</v>
      </c>
      <c r="E40" s="599" t="s">
        <v>3281</v>
      </c>
      <c r="F40" s="575">
        <f>SUMIF(118:118,E40,119:119)-SUMIF(118:118,C40,119:119)+100</f>
        <v>100</v>
      </c>
      <c r="G40" s="599" t="s">
        <v>3281</v>
      </c>
      <c r="H40" s="540">
        <f>SUMIF(118:118,G40,119:119)-SUMIF(118:118,C40,119:119)+100</f>
        <v>100</v>
      </c>
      <c r="I40" s="599" t="s">
        <v>3281</v>
      </c>
      <c r="J40" s="540">
        <f>SUMIF(118:118,I40,119:119)-SUMIF(118:118,C40,119:119)+100</f>
        <v>100</v>
      </c>
      <c r="K40" s="864">
        <v>2</v>
      </c>
      <c r="L40" s="2126"/>
      <c r="M40" s="2118"/>
      <c r="N40" s="2118"/>
      <c r="O40" s="2125"/>
      <c r="P40" s="3438"/>
      <c r="Q40" s="1557" t="str">
        <f t="shared" si="11"/>
        <v>房型</v>
      </c>
      <c r="R40" s="1558" t="s">
        <v>11</v>
      </c>
      <c r="S40" s="1559">
        <f t="shared" si="12"/>
        <v>100</v>
      </c>
      <c r="T40" s="1558" t="s">
        <v>11</v>
      </c>
      <c r="U40" s="1559">
        <f t="shared" si="13"/>
        <v>100</v>
      </c>
      <c r="V40" s="1558" t="s">
        <v>11</v>
      </c>
      <c r="W40" s="1559">
        <f t="shared" si="14"/>
        <v>100</v>
      </c>
      <c r="X40" s="1552"/>
      <c r="Y40" s="3438"/>
      <c r="Z40" s="1560" t="str">
        <f t="shared" si="15"/>
        <v>房型</v>
      </c>
      <c r="AA40" s="1561">
        <f t="shared" si="3"/>
        <v>1</v>
      </c>
      <c r="AB40" s="1561">
        <f t="shared" si="4"/>
        <v>1</v>
      </c>
      <c r="AC40" s="1561">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38"/>
      <c r="Q41" s="1589" t="str">
        <f t="shared" si="11"/>
        <v>单套/主力户型建筑面积</v>
      </c>
      <c r="R41" s="1562" t="s">
        <v>11</v>
      </c>
      <c r="S41" s="1563">
        <f t="shared" si="12"/>
        <v>100</v>
      </c>
      <c r="T41" s="1562" t="s">
        <v>11</v>
      </c>
      <c r="U41" s="1563">
        <f t="shared" si="13"/>
        <v>100</v>
      </c>
      <c r="V41" s="1562" t="s">
        <v>11</v>
      </c>
      <c r="W41" s="1563">
        <f t="shared" si="14"/>
        <v>100</v>
      </c>
      <c r="X41" s="1564"/>
      <c r="Y41" s="3438"/>
      <c r="Z41" s="1565" t="str">
        <f t="shared" si="15"/>
        <v>单套/主力户型建筑面积</v>
      </c>
      <c r="AA41" s="1561">
        <f t="shared" si="3"/>
        <v>1</v>
      </c>
      <c r="AB41" s="1561">
        <f t="shared" si="4"/>
        <v>1</v>
      </c>
      <c r="AC41" s="1561">
        <f t="shared" si="5"/>
        <v>1</v>
      </c>
    </row>
    <row r="42" spans="1:29" ht="15">
      <c r="A42" s="594"/>
      <c r="B42" s="527" t="s">
        <v>734</v>
      </c>
      <c r="C42" s="599" t="s">
        <v>3287</v>
      </c>
      <c r="D42" s="540">
        <v>100</v>
      </c>
      <c r="E42" s="599" t="s">
        <v>3287</v>
      </c>
      <c r="F42" s="575">
        <f>SUMIF(122:122,E42,123:123)-SUMIF(122:122,C42,123:123)+100</f>
        <v>100</v>
      </c>
      <c r="G42" s="599" t="s">
        <v>3287</v>
      </c>
      <c r="H42" s="540">
        <f>SUMIF(122:122,G42,123:123)-SUMIF(122:122,C42,123:123)+100</f>
        <v>100</v>
      </c>
      <c r="I42" s="599" t="s">
        <v>3287</v>
      </c>
      <c r="J42" s="540">
        <f>SUMIF(122:122,I42,123:123)-SUMIF(122:122,C42,123:123)+100</f>
        <v>100</v>
      </c>
      <c r="K42" s="864">
        <v>5</v>
      </c>
      <c r="L42" s="2126"/>
      <c r="M42" s="2118"/>
      <c r="N42" s="2118"/>
      <c r="O42" s="2125"/>
      <c r="P42" s="3438"/>
      <c r="Q42" s="1557" t="str">
        <f t="shared" si="11"/>
        <v>内部装修</v>
      </c>
      <c r="R42" s="1558" t="s">
        <v>11</v>
      </c>
      <c r="S42" s="1559">
        <f t="shared" si="12"/>
        <v>100</v>
      </c>
      <c r="T42" s="1558" t="s">
        <v>11</v>
      </c>
      <c r="U42" s="1559">
        <f t="shared" si="13"/>
        <v>100</v>
      </c>
      <c r="V42" s="1558" t="s">
        <v>11</v>
      </c>
      <c r="W42" s="1559">
        <f t="shared" si="14"/>
        <v>100</v>
      </c>
      <c r="X42" s="1552"/>
      <c r="Y42" s="3438"/>
      <c r="Z42" s="1560" t="str">
        <f t="shared" si="15"/>
        <v>内部装修</v>
      </c>
      <c r="AA42" s="1561">
        <f t="shared" si="3"/>
        <v>1</v>
      </c>
      <c r="AB42" s="1561">
        <f t="shared" si="4"/>
        <v>1</v>
      </c>
      <c r="AC42" s="1561">
        <f t="shared" si="5"/>
        <v>1</v>
      </c>
    </row>
    <row r="43" spans="1:29" ht="27.75" thickBot="1">
      <c r="A43" s="594"/>
      <c r="B43" s="527" t="s">
        <v>735</v>
      </c>
      <c r="C43" s="599" t="s">
        <v>3294</v>
      </c>
      <c r="D43" s="540">
        <v>100</v>
      </c>
      <c r="E43" s="599" t="s">
        <v>3294</v>
      </c>
      <c r="F43" s="575">
        <f>SUMIF(124:124,E43,125:125)-SUMIF(124:124,C43,125:125)+100</f>
        <v>100</v>
      </c>
      <c r="G43" s="599" t="s">
        <v>3294</v>
      </c>
      <c r="H43" s="540">
        <f>SUMIF(124:124,G43,125:125)-SUMIF(124:124,C43,125:125)+100</f>
        <v>100</v>
      </c>
      <c r="I43" s="599" t="s">
        <v>3294</v>
      </c>
      <c r="J43" s="540">
        <f>SUMIF(124:124,I43,125:125)-SUMIF(124:124,C43,125:125)+100</f>
        <v>100</v>
      </c>
      <c r="K43" s="864">
        <v>2</v>
      </c>
      <c r="L43" s="2126"/>
      <c r="M43" s="2118"/>
      <c r="N43" s="2118"/>
      <c r="O43" s="2125"/>
      <c r="P43" s="3438"/>
      <c r="Q43" s="1557" t="str">
        <f t="shared" si="11"/>
        <v>内部装修维护情况</v>
      </c>
      <c r="R43" s="1558" t="s">
        <v>11</v>
      </c>
      <c r="S43" s="1559">
        <f t="shared" si="12"/>
        <v>100</v>
      </c>
      <c r="T43" s="1558" t="s">
        <v>11</v>
      </c>
      <c r="U43" s="1559">
        <f t="shared" si="13"/>
        <v>100</v>
      </c>
      <c r="V43" s="1558" t="s">
        <v>11</v>
      </c>
      <c r="W43" s="1559">
        <f t="shared" si="14"/>
        <v>100</v>
      </c>
      <c r="X43" s="1552"/>
      <c r="Y43" s="3438"/>
      <c r="Z43" s="1560" t="str">
        <f t="shared" si="15"/>
        <v>内部装修维护情况</v>
      </c>
      <c r="AA43" s="1561">
        <f t="shared" si="3"/>
        <v>1</v>
      </c>
      <c r="AB43" s="1561">
        <f t="shared" si="4"/>
        <v>1</v>
      </c>
      <c r="AC43" s="1561">
        <f t="shared" si="5"/>
        <v>1</v>
      </c>
    </row>
    <row r="44" spans="1:29" s="1216"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38"/>
      <c r="Q44" s="1147">
        <f t="shared" si="11"/>
        <v>0</v>
      </c>
      <c r="R44" s="1553" t="s">
        <v>11</v>
      </c>
      <c r="S44" s="1554">
        <f t="shared" si="12"/>
        <v>100</v>
      </c>
      <c r="T44" s="1553" t="s">
        <v>11</v>
      </c>
      <c r="U44" s="1554">
        <f t="shared" si="13"/>
        <v>100</v>
      </c>
      <c r="V44" s="1553" t="s">
        <v>11</v>
      </c>
      <c r="W44" s="1554">
        <f t="shared" si="14"/>
        <v>100</v>
      </c>
      <c r="X44" s="1555"/>
      <c r="Y44" s="3438"/>
      <c r="Z44" s="1146">
        <f t="shared" si="15"/>
        <v>0</v>
      </c>
      <c r="AA44" s="1556">
        <f t="shared" si="3"/>
        <v>1</v>
      </c>
      <c r="AB44" s="1556">
        <f t="shared" si="4"/>
        <v>1</v>
      </c>
      <c r="AC44" s="1556">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8"/>
      <c r="Q45" s="1557">
        <f t="shared" si="11"/>
        <v>0</v>
      </c>
      <c r="R45" s="1558" t="s">
        <v>11</v>
      </c>
      <c r="S45" s="1559">
        <f t="shared" si="12"/>
        <v>100</v>
      </c>
      <c r="T45" s="1558" t="s">
        <v>11</v>
      </c>
      <c r="U45" s="1559">
        <f t="shared" si="13"/>
        <v>100</v>
      </c>
      <c r="V45" s="1558" t="s">
        <v>11</v>
      </c>
      <c r="W45" s="1559">
        <f t="shared" si="14"/>
        <v>100</v>
      </c>
      <c r="X45" s="1552"/>
      <c r="Y45" s="3438"/>
      <c r="Z45" s="1560">
        <f t="shared" si="15"/>
        <v>0</v>
      </c>
      <c r="AA45" s="1561">
        <f t="shared" si="3"/>
        <v>1</v>
      </c>
      <c r="AB45" s="1561">
        <f t="shared" si="4"/>
        <v>1</v>
      </c>
      <c r="AC45" s="1561">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6"/>
      <c r="Q46" s="1557">
        <f t="shared" si="11"/>
        <v>0</v>
      </c>
      <c r="R46" s="1558" t="s">
        <v>10</v>
      </c>
      <c r="S46" s="1559">
        <f t="shared" si="12"/>
        <v>100</v>
      </c>
      <c r="T46" s="1558" t="s">
        <v>10</v>
      </c>
      <c r="U46" s="1559">
        <f t="shared" si="13"/>
        <v>100</v>
      </c>
      <c r="V46" s="1558" t="s">
        <v>10</v>
      </c>
      <c r="W46" s="1559">
        <f t="shared" si="14"/>
        <v>100</v>
      </c>
      <c r="X46" s="1552"/>
      <c r="Y46" s="3496"/>
      <c r="Z46" s="1560">
        <f t="shared" si="15"/>
        <v>0</v>
      </c>
      <c r="AA46" s="1561">
        <f t="shared" si="3"/>
        <v>1</v>
      </c>
      <c r="AB46" s="1561">
        <f t="shared" si="4"/>
        <v>1</v>
      </c>
      <c r="AC46" s="1561">
        <f t="shared" si="5"/>
        <v>1</v>
      </c>
    </row>
    <row r="47" spans="1:29" ht="15">
      <c r="A47" s="607" t="s">
        <v>736</v>
      </c>
      <c r="B47" s="887"/>
      <c r="C47" s="2590" t="s">
        <v>9</v>
      </c>
      <c r="D47" s="2591"/>
      <c r="E47" s="2592">
        <f>ROUND(23000*$F$50,0)</f>
        <v>22310</v>
      </c>
      <c r="F47" s="2593"/>
      <c r="G47" s="2592">
        <f>ROUND(19500*$F$50,0)</f>
        <v>18915</v>
      </c>
      <c r="H47" s="2595"/>
      <c r="I47" s="2592">
        <f>ROUND(23000*$F$50,0)</f>
        <v>22310</v>
      </c>
      <c r="J47" s="2595"/>
      <c r="K47" s="1590"/>
      <c r="L47" s="2128"/>
      <c r="M47" s="2129"/>
      <c r="N47" s="2118"/>
      <c r="O47" s="2129"/>
      <c r="P47" s="3401" t="str">
        <f>A47</f>
        <v>成交单价（元/平方米）</v>
      </c>
      <c r="Q47" s="3401"/>
      <c r="R47" s="3495">
        <f>E47</f>
        <v>22310</v>
      </c>
      <c r="S47" s="3495"/>
      <c r="T47" s="3495">
        <f>G47</f>
        <v>18915</v>
      </c>
      <c r="U47" s="3495"/>
      <c r="V47" s="3495">
        <f>I47</f>
        <v>22310</v>
      </c>
      <c r="W47" s="3495"/>
      <c r="X47" s="1544"/>
      <c r="Y47" s="1566"/>
      <c r="Z47" s="1544"/>
      <c r="AA47" s="1544"/>
      <c r="AB47" s="1544"/>
      <c r="AC47" s="1544"/>
    </row>
    <row r="48" spans="1:29" ht="15.75" thickBot="1">
      <c r="A48" s="615" t="s">
        <v>2759</v>
      </c>
      <c r="B48" s="888"/>
      <c r="C48" s="2596">
        <f>R49</f>
        <v>22313</v>
      </c>
      <c r="D48" s="2597"/>
      <c r="E48" s="2598">
        <f>R48</f>
        <v>23484</v>
      </c>
      <c r="F48" s="2598"/>
      <c r="G48" s="2596">
        <f>T48</f>
        <v>19911</v>
      </c>
      <c r="H48" s="2597"/>
      <c r="I48" s="2598">
        <f>V48</f>
        <v>23543</v>
      </c>
      <c r="J48" s="2597"/>
      <c r="K48" s="1591"/>
      <c r="L48" s="2128"/>
      <c r="M48" s="2129"/>
      <c r="N48" s="2129"/>
      <c r="O48" s="2129"/>
      <c r="P48" s="3401" t="str">
        <f>A48</f>
        <v>比较价格（元/平方米）</v>
      </c>
      <c r="Q48" s="3401"/>
      <c r="R48" s="3495">
        <f>IF(F1="售价",ROUND(PRODUCT(R47,AA7:AA46),0),ROUND(PRODUCT(R47,AA7:AA46),1))</f>
        <v>23484</v>
      </c>
      <c r="S48" s="3495"/>
      <c r="T48" s="3495">
        <f>IF(F1="售价",ROUND(PRODUCT(T47,AB7:AB46),0),ROUND(PRODUCT(T47,AB7:AB46),1))</f>
        <v>19911</v>
      </c>
      <c r="U48" s="3495"/>
      <c r="V48" s="3495">
        <f>IF(F1="售价",ROUND(PRODUCT(V47,AC7:AC46),0),ROUND(PRODUCT(V47,AC7:AC46),1))</f>
        <v>23543</v>
      </c>
      <c r="W48" s="3495"/>
      <c r="X48" s="1544"/>
      <c r="Y48" s="1544"/>
      <c r="Z48" s="1544"/>
      <c r="AA48" s="1544"/>
      <c r="AB48" s="1544"/>
      <c r="AC48" s="1544"/>
    </row>
    <row r="49" spans="1:29" ht="15.75" thickBot="1">
      <c r="A49" s="621" t="s">
        <v>2934</v>
      </c>
      <c r="B49" s="622"/>
      <c r="C49" s="2599">
        <f>R49</f>
        <v>22313</v>
      </c>
      <c r="D49" s="2599"/>
      <c r="E49" s="2599"/>
      <c r="F49" s="2599"/>
      <c r="G49" s="2599"/>
      <c r="H49" s="2599"/>
      <c r="I49" s="2599"/>
      <c r="J49" s="2599"/>
      <c r="K49" s="1592"/>
      <c r="L49" s="2128"/>
      <c r="M49" s="2129"/>
      <c r="N49" s="2129"/>
      <c r="O49" s="2129"/>
      <c r="P49" s="3398" t="str">
        <f>A49</f>
        <v>估价对象XX用房的比较价格（楼面单价，元/平方米）</v>
      </c>
      <c r="Q49" s="3399"/>
      <c r="R49" s="3494">
        <f>IF(F1="售价",ROUND(AVERAGE(R48:V48),0),ROUND(AVERAGE(R48:V48),1))</f>
        <v>22313</v>
      </c>
      <c r="S49" s="3494"/>
      <c r="T49" s="3494"/>
      <c r="U49" s="3494"/>
      <c r="V49" s="3494"/>
      <c r="W49" s="3494"/>
      <c r="X49" s="1544"/>
      <c r="Y49" s="1544"/>
      <c r="Z49" s="1544"/>
      <c r="AA49" s="1544"/>
      <c r="AB49" s="1544"/>
      <c r="AC49" s="1544"/>
    </row>
    <row r="50" spans="1:29">
      <c r="A50" s="2129"/>
      <c r="B50" s="2129"/>
      <c r="C50" s="2129"/>
      <c r="D50" s="2129"/>
      <c r="E50" s="3186" t="s">
        <v>3280</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5.2622142536978833E-2</v>
      </c>
      <c r="F52" s="627" t="str">
        <f>IF(OR(E52&gt;=0.3,E52&lt;=-0.3),"超过30%","")</f>
        <v/>
      </c>
      <c r="G52" s="626">
        <f>IF(G47&lt;G48,G48/G47-1,G47/G48-1)</f>
        <v>5.2656621728786712E-2</v>
      </c>
      <c r="H52" s="627" t="str">
        <f>IF(OR(G52&gt;=0.3,G52&lt;=-0.3),"超过30%","")</f>
        <v/>
      </c>
      <c r="I52" s="626">
        <f>IF(I47&lt;I48,I48/I47-1,I47/I48-1)</f>
        <v>5.526669654863281E-2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0.17944854602983273</v>
      </c>
      <c r="F53" s="627" t="str">
        <f>IF(OR(E53&gt;=0.2,E53&lt;=-0.2),"超过20%","")</f>
        <v/>
      </c>
      <c r="G53" s="626">
        <f>IF(G48&lt;I48,I48/G48-1,G48/I48-1)</f>
        <v>0.18241173220832696</v>
      </c>
      <c r="H53" s="627" t="str">
        <f>IF(OR(G53&gt;=0.2,G53&lt;=-0.2),"超过20%","")</f>
        <v/>
      </c>
      <c r="I53" s="626">
        <f>IF(I48&lt;E48,E48/I48-1,I48/E48-1)</f>
        <v>2.5123488332481347E-3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0.17948717948717952</v>
      </c>
      <c r="F54" s="627" t="str">
        <f>IF(OR(E54&gt;=0.3,E54&lt;=-0.3),"超过30%","")</f>
        <v/>
      </c>
      <c r="G54" s="626">
        <f>IF(G47&lt;I47,I47/G47-1,G47/I47-1)</f>
        <v>0.17948717948717952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5" t="s">
        <v>3277</v>
      </c>
      <c r="D100" s="3185" t="s">
        <v>3279</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7" t="s">
        <v>3291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8" t="s">
        <v>3293</v>
      </c>
      <c r="D107" s="3188" t="s">
        <v>3297</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7" t="s">
        <v>3288</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7" t="s">
        <v>3286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3187" t="s">
        <v>3284</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8" t="s">
        <v>3282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7" t="s">
        <v>3289</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0</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E28" zoomScale="80" zoomScaleNormal="80" zoomScalePageLayoutView="80" workbookViewId="0">
      <selection activeCell="Q50" sqref="F32:Q5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3002</v>
      </c>
      <c r="D1" s="3076" t="s">
        <v>3298</v>
      </c>
      <c r="E1" s="2350" t="s">
        <v>2374</v>
      </c>
      <c r="F1" s="2351">
        <f ca="1">J53</f>
        <v>38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88" t="s">
        <v>2463</v>
      </c>
      <c r="C6" s="783">
        <f ca="1">ROUND(F6*F8*F7*(1-F9)/10000,0)</f>
        <v>0</v>
      </c>
      <c r="D6" s="2460" t="s">
        <v>2462</v>
      </c>
      <c r="E6" s="784" t="s">
        <v>1738</v>
      </c>
      <c r="F6" s="785">
        <f ca="1">INDIRECT("'数据-取费表'!u"&amp;$G$1)</f>
        <v>3.5</v>
      </c>
      <c r="G6" s="1577"/>
      <c r="H6" s="2467" t="s">
        <v>2468</v>
      </c>
      <c r="I6" s="3488" t="s">
        <v>2463</v>
      </c>
      <c r="J6" s="783">
        <f ca="1">ROUND(M6*M8*M7*(1-M9)/10000,0)</f>
        <v>0</v>
      </c>
      <c r="K6" s="341" t="s">
        <v>1737</v>
      </c>
      <c r="L6" s="784" t="s">
        <v>1738</v>
      </c>
      <c r="M6" s="785">
        <f ca="1">INDIRECT("'数据-取费表'!z"&amp;$G$1)</f>
        <v>0</v>
      </c>
    </row>
    <row r="7" spans="1:33" ht="18" customHeight="1">
      <c r="A7" s="2463"/>
      <c r="B7" s="3489"/>
      <c r="C7" s="788"/>
      <c r="D7" s="789"/>
      <c r="E7" s="784" t="s">
        <v>1739</v>
      </c>
      <c r="F7" s="785">
        <f ca="1">IF(INDIRECT("'数据-取费表'!ah"&amp;$G$1)="",INDIRECT("'数据-取费表'!k"&amp;$G$1),INDIRECT("'数据-取费表'!ah"&amp;$G$1))</f>
        <v>0</v>
      </c>
      <c r="G7" s="1577"/>
      <c r="H7" s="2452"/>
      <c r="I7" s="3489"/>
      <c r="J7" s="788"/>
      <c r="K7" s="789"/>
      <c r="L7" s="784" t="s">
        <v>1739</v>
      </c>
      <c r="M7" s="785">
        <f ca="1">F7</f>
        <v>0</v>
      </c>
    </row>
    <row r="8" spans="1:33" ht="18" customHeight="1">
      <c r="A8" s="2456"/>
      <c r="B8" s="3490"/>
      <c r="C8" s="788"/>
      <c r="D8" s="789"/>
      <c r="E8" s="784" t="s">
        <v>1740</v>
      </c>
      <c r="F8" s="785">
        <f ca="1">INDIRECT("'数据-取费表'!ai"&amp;$G$1)</f>
        <v>365</v>
      </c>
      <c r="G8" s="1577"/>
      <c r="H8" s="2452"/>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7"/>
      <c r="H9" s="2468"/>
      <c r="I9" s="3490"/>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2972</v>
      </c>
      <c r="E10" s="2461" t="s">
        <v>2464</v>
      </c>
      <c r="F10" s="2584"/>
      <c r="G10" s="1577"/>
      <c r="H10" s="2524" t="s">
        <v>2469</v>
      </c>
      <c r="I10" s="2529" t="s">
        <v>2459</v>
      </c>
      <c r="J10" s="783">
        <f ca="1">ROUND(IF(M10="押一",J6/12*M11,IF(M10="押二",J6/12*2*M11,IF(M10="押三",J6/12*3*M11,J11*M11))),0)</f>
        <v>0</v>
      </c>
      <c r="K10" s="2464" t="s">
        <v>2972</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2825</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1.4999999999999999E-2</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5.0000000000000001E-4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2821</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2826</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2299</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3300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3</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2821</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f ca="1">ROUND(C39*(1-((1+F42)/(1+F40))^F41)/(F40-F42),0)</f>
        <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2962</v>
      </c>
      <c r="F41" s="822">
        <f ca="1">IF(INDIRECT("'数据-取费表'!af"&amp;$G$1)=0,INDIRECT("'数据-取费表'!ae"&amp;$G$1),INDIRECT("'数据-取费表'!af"&amp;$G$1))</f>
        <v>38</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3290</v>
      </c>
      <c r="K47" s="3104" t="s">
        <v>2349</v>
      </c>
      <c r="L47" s="3108">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7" t="s">
        <v>2345</v>
      </c>
      <c r="J48" s="2345" t="s">
        <v>2350</v>
      </c>
      <c r="K48" s="3105" t="s">
        <v>2351</v>
      </c>
      <c r="L48" s="1892">
        <f ca="1">INDIRECT("'数据-取费表'!f"&amp;$G$1)</f>
        <v>40</v>
      </c>
      <c r="O48" s="2361" t="s">
        <v>2379</v>
      </c>
      <c r="P48" s="2362" t="s">
        <v>2405</v>
      </c>
      <c r="Q48" s="2363">
        <f ca="1">C40+J29</f>
        <v>0</v>
      </c>
      <c r="R48" s="2362" t="s">
        <v>2380</v>
      </c>
    </row>
    <row r="49" spans="1:18" s="2043" customFormat="1" ht="18" customHeight="1" thickBot="1">
      <c r="A49" s="786"/>
      <c r="B49" s="787"/>
      <c r="C49" s="788"/>
      <c r="D49" s="789"/>
      <c r="E49" s="784" t="s">
        <v>1739</v>
      </c>
      <c r="F49" s="785">
        <f ca="1">F7</f>
        <v>0</v>
      </c>
      <c r="G49" s="2074"/>
      <c r="H49" s="2077"/>
      <c r="I49" s="3077" t="s">
        <v>2346</v>
      </c>
      <c r="J49" s="2346"/>
      <c r="K49" s="3106" t="s">
        <v>2352</v>
      </c>
      <c r="L49" s="2347"/>
      <c r="O49" s="2361" t="s">
        <v>2381</v>
      </c>
      <c r="P49" s="2362" t="s">
        <v>2406</v>
      </c>
      <c r="Q49" s="2363">
        <f ca="1">J60</f>
        <v>0</v>
      </c>
      <c r="R49" s="2362" t="s">
        <v>2382</v>
      </c>
    </row>
    <row r="50" spans="1:18" s="2043" customFormat="1" ht="18" customHeight="1" thickBot="1">
      <c r="A50" s="786"/>
      <c r="B50" s="787"/>
      <c r="C50" s="788"/>
      <c r="D50" s="789"/>
      <c r="E50" s="784" t="s">
        <v>1740</v>
      </c>
      <c r="F50" s="785">
        <f ca="1">F8</f>
        <v>365</v>
      </c>
      <c r="G50" s="2079"/>
      <c r="H50" s="2077"/>
      <c r="I50" s="3077" t="s">
        <v>2347</v>
      </c>
      <c r="J50" s="3102">
        <f>SUMPRODUCT((I63:I65=J47)*(J62:L62=J48)*(J63:L65))</f>
        <v>60</v>
      </c>
      <c r="K50" s="3106"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9" t="s">
        <v>2348</v>
      </c>
      <c r="J51" s="3103">
        <f>IF(J49="",J50,J49+J50-YEAR('数据-取费表'!B2))</f>
        <v>60</v>
      </c>
      <c r="K51" s="3077" t="s">
        <v>2354</v>
      </c>
      <c r="L51" s="3109">
        <f ca="1">ROUND(-PV(INDIRECT("'数据-取费表'!h"&amp;$G$1),L48,(C39-C13*J36),0),0)</f>
        <v>0</v>
      </c>
      <c r="O51" s="2364" t="s">
        <v>2384</v>
      </c>
      <c r="P51" s="2362" t="s">
        <v>2385</v>
      </c>
      <c r="Q51" s="2365">
        <f ca="1">J58</f>
        <v>0.4</v>
      </c>
      <c r="R51" s="2366"/>
    </row>
    <row r="52" spans="1:18" s="2043" customFormat="1" ht="18" customHeight="1" thickBot="1">
      <c r="A52" s="781" t="s">
        <v>2536</v>
      </c>
      <c r="B52" s="2457" t="s">
        <v>2459</v>
      </c>
      <c r="C52" s="799">
        <f ca="1">ROUND(IF(F52="押一",C48/12*F11,IF(F52="押二",C48/12*2*F11,IF(F52="押三",C48/12*3*F11,C53*F11))),0)</f>
        <v>0</v>
      </c>
      <c r="D52" s="2464" t="s">
        <v>2973</v>
      </c>
      <c r="E52" s="2461" t="s">
        <v>2464</v>
      </c>
      <c r="F52" s="2584"/>
      <c r="I52" s="3100" t="s">
        <v>2421</v>
      </c>
      <c r="J52" s="2348"/>
      <c r="K52" s="3100"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101" t="s">
        <v>2976</v>
      </c>
      <c r="J53" s="3180">
        <f ca="1">IF(M47="住宅",IF(D1="——",MAX(J51,L48),MAX(J51,L48-'数据-取费表'!B20)),IF(D1="——",MIN(J51,L48),MIN(J51,L48-'数据-取费表'!B20)))</f>
        <v>38</v>
      </c>
      <c r="K53" s="3501" t="s">
        <v>2964</v>
      </c>
      <c r="L53" s="3502"/>
      <c r="O53" s="2364" t="s">
        <v>2388</v>
      </c>
      <c r="P53" s="2362" t="s">
        <v>2389</v>
      </c>
      <c r="Q53" s="2363">
        <f ca="1">J53</f>
        <v>38</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0</v>
      </c>
      <c r="R54" s="2366" t="s">
        <v>2392</v>
      </c>
    </row>
    <row r="55" spans="1:18" s="2043" customFormat="1" ht="18" customHeight="1" thickTop="1" thickBot="1">
      <c r="A55" s="797">
        <v>2</v>
      </c>
      <c r="B55" s="798" t="s">
        <v>644</v>
      </c>
      <c r="C55" s="799">
        <f ca="1">C13</f>
        <v>0</v>
      </c>
      <c r="D55" s="795"/>
      <c r="E55" s="795"/>
      <c r="F55" s="800"/>
      <c r="I55" s="3112" t="s">
        <v>2355</v>
      </c>
      <c r="J55" s="3052">
        <f ca="1">ROUND(IF(J47="钢混",J57/J50,1-(1-2%)*(J50-J57)/J50),3)</f>
        <v>0.33300000000000002</v>
      </c>
      <c r="K55" s="3113" t="s">
        <v>2356</v>
      </c>
      <c r="L55" s="2349"/>
      <c r="O55" s="2367" t="s">
        <v>2411</v>
      </c>
      <c r="P55" s="1577"/>
      <c r="Q55" s="1588"/>
      <c r="R55" s="1577"/>
    </row>
    <row r="56" spans="1:18" s="2043" customFormat="1" ht="42.75" customHeight="1" thickBot="1">
      <c r="A56" s="1634"/>
      <c r="B56" s="2215" t="s">
        <v>2302</v>
      </c>
      <c r="C56" s="53">
        <f ca="1">C29</f>
        <v>0</v>
      </c>
      <c r="D56" s="2602"/>
      <c r="E56" s="784"/>
      <c r="F56" s="809"/>
      <c r="I56" s="3114" t="s">
        <v>2357</v>
      </c>
      <c r="J56" s="3124" t="s">
        <v>3299</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5" t="s">
        <v>2358</v>
      </c>
      <c r="J57" s="3116">
        <f ca="1">IF(OR(M47="住宅",J51&lt;L48,J56="是"),"——",J51-L48)</f>
        <v>20</v>
      </c>
      <c r="K57" s="3077" t="s">
        <v>2363</v>
      </c>
      <c r="L57" s="1892" t="str">
        <f ca="1">IF(L48&lt;J51,"——",IF(L55="比较法",L49,IF(L55="基准地价",L50,L51)))</f>
        <v>——</v>
      </c>
      <c r="O57" s="2361" t="s">
        <v>2379</v>
      </c>
      <c r="P57" s="2362" t="s">
        <v>2409</v>
      </c>
      <c r="Q57" s="2363">
        <f ca="1">C40+J29</f>
        <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5" t="s">
        <v>2360</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7" t="s">
        <v>2361</v>
      </c>
      <c r="J60" s="3118">
        <f ca="1">IF(OR(M47="住宅",J51&lt;L48,J56="是"),"0",ROUND(J59/(1+J52)^J53,0))</f>
        <v>0</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3</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0</v>
      </c>
      <c r="I62" s="3120" t="s">
        <v>2367</v>
      </c>
      <c r="J62" s="3121" t="s">
        <v>2368</v>
      </c>
      <c r="K62" s="3121" t="s">
        <v>2369</v>
      </c>
      <c r="L62" s="3121" t="s">
        <v>2350</v>
      </c>
      <c r="M62" s="3122" t="s">
        <v>2941</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0</v>
      </c>
      <c r="D63" s="2602" t="s">
        <v>1803</v>
      </c>
      <c r="E63" s="784" t="s">
        <v>1747</v>
      </c>
      <c r="F63" s="817">
        <f t="shared" ca="1" si="0"/>
        <v>1.4999999999999999E-2</v>
      </c>
      <c r="I63" s="3120" t="s">
        <v>2370</v>
      </c>
      <c r="J63" s="3121">
        <v>70</v>
      </c>
      <c r="K63" s="3121">
        <v>50</v>
      </c>
      <c r="L63" s="3121">
        <v>80</v>
      </c>
      <c r="M63" s="3123">
        <v>0.02</v>
      </c>
      <c r="O63" s="2361" t="s">
        <v>2391</v>
      </c>
      <c r="P63" s="2362" t="s">
        <v>2408</v>
      </c>
      <c r="Q63" s="2363">
        <f ca="1">Q57+Q58</f>
        <v>0</v>
      </c>
      <c r="R63" s="2366" t="s">
        <v>2392</v>
      </c>
    </row>
    <row r="64" spans="1:18" s="2043" customFormat="1" ht="16.5" thickBot="1">
      <c r="A64" s="1633" t="s">
        <v>1890</v>
      </c>
      <c r="B64" s="784" t="s">
        <v>679</v>
      </c>
      <c r="C64" s="53">
        <f ca="1">ROUND(C55*F64,1)</f>
        <v>0</v>
      </c>
      <c r="D64" s="2602"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2821</v>
      </c>
      <c r="C66" s="799">
        <f ca="1">C47-C57</f>
        <v>0</v>
      </c>
      <c r="D66" s="2601" t="s">
        <v>700</v>
      </c>
      <c r="E66" s="2600"/>
      <c r="F66" s="820"/>
      <c r="K66" s="2070"/>
      <c r="O66" s="2361" t="s">
        <v>2379</v>
      </c>
      <c r="P66" s="2362" t="s">
        <v>2409</v>
      </c>
      <c r="Q66" s="2363">
        <f ca="1">C40+J29</f>
        <v>0</v>
      </c>
      <c r="R66" s="2362" t="s">
        <v>2380</v>
      </c>
    </row>
    <row r="67" spans="1:18" s="2043" customFormat="1" ht="20.25" thickBot="1">
      <c r="A67" s="781" t="s">
        <v>1780</v>
      </c>
      <c r="B67" s="2216" t="s">
        <v>2301</v>
      </c>
      <c r="C67" s="783" t="e">
        <f ca="1">ROUND(C66*(1-((1+F69)/(1+F67))^F68)/(F67-F69),0)</f>
        <v>#DIV/0!</v>
      </c>
      <c r="D67" s="814" t="s">
        <v>704</v>
      </c>
      <c r="E67" s="784" t="s">
        <v>705</v>
      </c>
      <c r="F67" s="794">
        <f ca="1">F40</f>
        <v>0</v>
      </c>
      <c r="K67" s="2070"/>
      <c r="O67" s="2361" t="s">
        <v>2381</v>
      </c>
      <c r="P67" s="2362" t="s">
        <v>2412</v>
      </c>
      <c r="Q67" s="2363">
        <f ca="1">L60</f>
        <v>0</v>
      </c>
      <c r="R67" s="2366" t="s">
        <v>2414</v>
      </c>
    </row>
    <row r="68" spans="1:18" ht="21.75" thickBot="1">
      <c r="A68" s="786"/>
      <c r="B68" s="787"/>
      <c r="C68" s="788"/>
      <c r="D68" s="821" t="s">
        <v>1808</v>
      </c>
      <c r="E68" s="784" t="s">
        <v>1784</v>
      </c>
      <c r="F68" s="822">
        <f ca="1">F41</f>
        <v>38</v>
      </c>
      <c r="O68" s="2364" t="s">
        <v>2383</v>
      </c>
      <c r="P68" s="2362" t="s">
        <v>2413</v>
      </c>
      <c r="Q68" s="2368">
        <f ca="1">L51</f>
        <v>0</v>
      </c>
      <c r="R68" s="2369" t="s">
        <v>2416</v>
      </c>
    </row>
    <row r="69" spans="1:18" ht="20.25" thickBot="1">
      <c r="A69" s="790"/>
      <c r="B69" s="791"/>
      <c r="C69" s="792"/>
      <c r="D69" s="816"/>
      <c r="E69" s="784" t="s">
        <v>710</v>
      </c>
      <c r="F69" s="2334"/>
      <c r="O69" s="2364" t="s">
        <v>2384</v>
      </c>
      <c r="P69" s="2370" t="s">
        <v>2398</v>
      </c>
      <c r="Q69" s="2363">
        <f ca="1">ROUND(Q70-Q71*Q72,0)</f>
        <v>0</v>
      </c>
      <c r="R69" s="2366"/>
    </row>
    <row r="70" spans="1:18" ht="15.75"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503" t="s">
        <v>2471</v>
      </c>
      <c r="B1" s="3504"/>
      <c r="C1" s="3505"/>
      <c r="D1" s="3506">
        <f>SUM(I10,I15,I20,I21,I23)</f>
        <v>0</v>
      </c>
      <c r="E1" s="3506"/>
      <c r="F1" s="3506"/>
      <c r="G1" s="3506"/>
      <c r="H1" s="3506"/>
      <c r="I1" s="3507"/>
    </row>
    <row r="2" spans="1:9">
      <c r="A2" s="3508" t="s">
        <v>2472</v>
      </c>
      <c r="B2" s="3509" t="s">
        <v>2473</v>
      </c>
      <c r="C2" s="3509"/>
      <c r="D2" s="2470" t="s">
        <v>2474</v>
      </c>
      <c r="E2" s="2470" t="s">
        <v>2475</v>
      </c>
      <c r="F2" s="2470" t="s">
        <v>2476</v>
      </c>
      <c r="G2" s="2470" t="s">
        <v>2477</v>
      </c>
      <c r="H2" s="2470" t="s">
        <v>2478</v>
      </c>
      <c r="I2" s="2471" t="s">
        <v>2479</v>
      </c>
    </row>
    <row r="3" spans="1:9">
      <c r="A3" s="3508"/>
      <c r="B3" s="3509" t="s">
        <v>2480</v>
      </c>
      <c r="C3" s="3509"/>
      <c r="D3" s="2472"/>
      <c r="E3" s="2470"/>
      <c r="F3" s="2473"/>
      <c r="G3" s="2473"/>
      <c r="H3" s="2474"/>
      <c r="I3" s="2475">
        <f>ROUND(D3*E3*F3*G3*H3/10000,0)</f>
        <v>0</v>
      </c>
    </row>
    <row r="4" spans="1:9">
      <c r="A4" s="3508"/>
      <c r="B4" s="3509" t="s">
        <v>2481</v>
      </c>
      <c r="C4" s="3509"/>
      <c r="D4" s="2472"/>
      <c r="E4" s="2470"/>
      <c r="F4" s="2473"/>
      <c r="G4" s="2473"/>
      <c r="H4" s="2474"/>
      <c r="I4" s="2475">
        <f t="shared" ref="I4:I9" si="0">ROUND(D4*E4*F4*G4*H4/10000,0)</f>
        <v>0</v>
      </c>
    </row>
    <row r="5" spans="1:9">
      <c r="A5" s="3508"/>
      <c r="B5" s="3509" t="s">
        <v>2482</v>
      </c>
      <c r="C5" s="3509"/>
      <c r="D5" s="2472"/>
      <c r="E5" s="2470"/>
      <c r="F5" s="2473"/>
      <c r="G5" s="2473"/>
      <c r="H5" s="2474"/>
      <c r="I5" s="2475">
        <f t="shared" si="0"/>
        <v>0</v>
      </c>
    </row>
    <row r="6" spans="1:9">
      <c r="A6" s="3508"/>
      <c r="B6" s="3509" t="s">
        <v>2483</v>
      </c>
      <c r="C6" s="3509"/>
      <c r="D6" s="2472"/>
      <c r="E6" s="2470"/>
      <c r="F6" s="2473"/>
      <c r="G6" s="2473"/>
      <c r="H6" s="2474"/>
      <c r="I6" s="2475">
        <f t="shared" si="0"/>
        <v>0</v>
      </c>
    </row>
    <row r="7" spans="1:9">
      <c r="A7" s="3508"/>
      <c r="B7" s="3509" t="s">
        <v>2484</v>
      </c>
      <c r="C7" s="3509"/>
      <c r="D7" s="2472"/>
      <c r="E7" s="2470"/>
      <c r="F7" s="2473"/>
      <c r="G7" s="2473"/>
      <c r="H7" s="2474"/>
      <c r="I7" s="2475">
        <f t="shared" si="0"/>
        <v>0</v>
      </c>
    </row>
    <row r="8" spans="1:9">
      <c r="A8" s="3508"/>
      <c r="B8" s="3509" t="s">
        <v>2485</v>
      </c>
      <c r="C8" s="3509"/>
      <c r="D8" s="2472"/>
      <c r="E8" s="2470"/>
      <c r="F8" s="2473"/>
      <c r="G8" s="2473"/>
      <c r="H8" s="2474"/>
      <c r="I8" s="2475">
        <f t="shared" si="0"/>
        <v>0</v>
      </c>
    </row>
    <row r="9" spans="1:9">
      <c r="A9" s="3508"/>
      <c r="B9" s="3509" t="s">
        <v>2486</v>
      </c>
      <c r="C9" s="3509"/>
      <c r="D9" s="2472"/>
      <c r="E9" s="2470"/>
      <c r="F9" s="2473"/>
      <c r="G9" s="2473"/>
      <c r="H9" s="2474"/>
      <c r="I9" s="2475">
        <f t="shared" si="0"/>
        <v>0</v>
      </c>
    </row>
    <row r="10" spans="1:9">
      <c r="A10" s="3508"/>
      <c r="B10" s="3510" t="s">
        <v>2487</v>
      </c>
      <c r="C10" s="3510"/>
      <c r="D10" s="2476">
        <v>527</v>
      </c>
      <c r="E10" s="2476" t="e">
        <f>ROUND(D1*10000/D10/H9,0)</f>
        <v>#DIV/0!</v>
      </c>
      <c r="F10" s="2477"/>
      <c r="G10" s="2477"/>
      <c r="H10" s="2478"/>
      <c r="I10" s="2479">
        <f>SUM(I3:I9)</f>
        <v>0</v>
      </c>
    </row>
    <row r="11" spans="1:9" ht="14.25">
      <c r="A11" s="3508" t="s">
        <v>2488</v>
      </c>
      <c r="B11" s="3509" t="s">
        <v>2489</v>
      </c>
      <c r="C11" s="3509"/>
      <c r="D11" s="2472" t="s">
        <v>2490</v>
      </c>
      <c r="E11" s="2472" t="s">
        <v>2491</v>
      </c>
      <c r="F11" s="2473" t="s">
        <v>2492</v>
      </c>
      <c r="G11" s="2473" t="s">
        <v>2493</v>
      </c>
      <c r="H11" s="2480" t="s">
        <v>2494</v>
      </c>
      <c r="I11" s="2471" t="s">
        <v>2495</v>
      </c>
    </row>
    <row r="12" spans="1:9">
      <c r="A12" s="3508"/>
      <c r="B12" s="3509" t="s">
        <v>2496</v>
      </c>
      <c r="C12" s="3509"/>
      <c r="D12" s="2472"/>
      <c r="E12" s="2472"/>
      <c r="F12" s="2473"/>
      <c r="G12" s="2474"/>
      <c r="H12" s="2481"/>
      <c r="I12" s="2471">
        <f>ROUND(D12*E12*F12*G12/10000,0)</f>
        <v>0</v>
      </c>
    </row>
    <row r="13" spans="1:9">
      <c r="A13" s="3508"/>
      <c r="B13" s="3509" t="s">
        <v>2497</v>
      </c>
      <c r="C13" s="3509"/>
      <c r="D13" s="2472"/>
      <c r="E13" s="2472"/>
      <c r="F13" s="2473"/>
      <c r="G13" s="2474"/>
      <c r="H13" s="2481"/>
      <c r="I13" s="2471">
        <f>ROUND(D13*E13*F13*G13/10000,0)</f>
        <v>0</v>
      </c>
    </row>
    <row r="14" spans="1:9">
      <c r="A14" s="3508"/>
      <c r="B14" s="3509" t="s">
        <v>2498</v>
      </c>
      <c r="C14" s="3509"/>
      <c r="D14" s="2472"/>
      <c r="E14" s="2472"/>
      <c r="F14" s="2473"/>
      <c r="G14" s="2474"/>
      <c r="H14" s="2481"/>
      <c r="I14" s="2471">
        <f>ROUND(D14*E14*F14*G14/10000,0)</f>
        <v>0</v>
      </c>
    </row>
    <row r="15" spans="1:9">
      <c r="A15" s="3508"/>
      <c r="B15" s="3510" t="s">
        <v>2487</v>
      </c>
      <c r="C15" s="3510"/>
      <c r="D15" s="2476"/>
      <c r="E15" s="2476">
        <f>SUM(E12:E14)</f>
        <v>0</v>
      </c>
      <c r="F15" s="2477"/>
      <c r="G15" s="2474"/>
      <c r="H15" s="2481"/>
      <c r="I15" s="2482">
        <f>SUM(I12:I14)</f>
        <v>0</v>
      </c>
    </row>
    <row r="16" spans="1:9" ht="24">
      <c r="A16" s="3508" t="s">
        <v>2499</v>
      </c>
      <c r="B16" s="3509" t="s">
        <v>2500</v>
      </c>
      <c r="C16" s="3509"/>
      <c r="D16" s="2472" t="s">
        <v>2501</v>
      </c>
      <c r="E16" s="2483" t="s">
        <v>2502</v>
      </c>
      <c r="F16" s="2473" t="s">
        <v>2503</v>
      </c>
      <c r="G16" s="2474" t="s">
        <v>2493</v>
      </c>
      <c r="H16" s="2480" t="s">
        <v>2494</v>
      </c>
      <c r="I16" s="2471" t="s">
        <v>2495</v>
      </c>
    </row>
    <row r="17" spans="1:9" ht="14.25">
      <c r="A17" s="3508"/>
      <c r="B17" s="3509" t="s">
        <v>2504</v>
      </c>
      <c r="C17" s="3509"/>
      <c r="D17" s="2472"/>
      <c r="E17" s="2472"/>
      <c r="F17" s="2473"/>
      <c r="G17" s="2474"/>
      <c r="H17" s="2484"/>
      <c r="I17" s="2485">
        <f>ROUND(D17*E17*F17*G17/10000,0)</f>
        <v>0</v>
      </c>
    </row>
    <row r="18" spans="1:9" ht="14.25">
      <c r="A18" s="3508"/>
      <c r="B18" s="3509" t="s">
        <v>2505</v>
      </c>
      <c r="C18" s="3509"/>
      <c r="D18" s="2472"/>
      <c r="E18" s="2472"/>
      <c r="F18" s="2473"/>
      <c r="G18" s="2474"/>
      <c r="H18" s="2484"/>
      <c r="I18" s="2485">
        <f>ROUND(D18*E18*F18*G18/10000,0)</f>
        <v>0</v>
      </c>
    </row>
    <row r="19" spans="1:9" ht="14.25">
      <c r="A19" s="3508"/>
      <c r="B19" s="3509" t="s">
        <v>2506</v>
      </c>
      <c r="C19" s="3509"/>
      <c r="D19" s="2472"/>
      <c r="E19" s="2472"/>
      <c r="F19" s="2473"/>
      <c r="G19" s="2474"/>
      <c r="H19" s="2484"/>
      <c r="I19" s="2485">
        <f>ROUND(D19*E19*F19*G19/10000,0)</f>
        <v>0</v>
      </c>
    </row>
    <row r="20" spans="1:9">
      <c r="A20" s="3508"/>
      <c r="B20" s="3510" t="s">
        <v>2487</v>
      </c>
      <c r="C20" s="3510"/>
      <c r="D20" s="2476">
        <f>SUM(D17:D19)</f>
        <v>0</v>
      </c>
      <c r="E20" s="2476"/>
      <c r="F20" s="2477"/>
      <c r="G20" s="2474"/>
      <c r="H20" s="2481"/>
      <c r="I20" s="2482">
        <f>SUM(I17:I19)</f>
        <v>0</v>
      </c>
    </row>
    <row r="21" spans="1:9">
      <c r="A21" s="3508" t="s">
        <v>2507</v>
      </c>
      <c r="B21" s="3512"/>
      <c r="C21" s="3512"/>
      <c r="D21" s="3512"/>
      <c r="E21" s="3512"/>
      <c r="F21" s="3512"/>
      <c r="G21" s="3512"/>
      <c r="H21" s="2486">
        <v>0.1</v>
      </c>
      <c r="I21" s="2479">
        <f>ROUND(I10*H21,0)</f>
        <v>0</v>
      </c>
    </row>
    <row r="22" spans="1:9" ht="14.25">
      <c r="A22" s="3513" t="s">
        <v>2508</v>
      </c>
      <c r="B22" s="3514"/>
      <c r="C22" s="3515"/>
      <c r="D22" s="2487" t="s">
        <v>2509</v>
      </c>
      <c r="E22" s="2487" t="s">
        <v>2510</v>
      </c>
      <c r="F22" s="2488" t="s">
        <v>2511</v>
      </c>
      <c r="G22" s="2488" t="s">
        <v>2512</v>
      </c>
      <c r="H22" s="2480" t="s">
        <v>2513</v>
      </c>
      <c r="I22" s="2471" t="s">
        <v>2514</v>
      </c>
    </row>
    <row r="23" spans="1:9" ht="14.25" thickBot="1">
      <c r="A23" s="3516"/>
      <c r="B23" s="3517"/>
      <c r="C23" s="3518"/>
      <c r="D23" s="2489"/>
      <c r="E23" s="2489"/>
      <c r="F23" s="2489"/>
      <c r="G23" s="2490"/>
      <c r="H23" s="2491"/>
      <c r="I23" s="2492">
        <f>ROUND(E23*D23*F23*(1-G23)/10000,0)</f>
        <v>0</v>
      </c>
    </row>
    <row r="26" spans="1:9">
      <c r="A26" s="2493" t="s">
        <v>2515</v>
      </c>
      <c r="B26" s="2493"/>
      <c r="C26" s="2493"/>
      <c r="D26" s="2493"/>
      <c r="E26" s="3519">
        <f>C27-C30-C31-C32</f>
        <v>0</v>
      </c>
      <c r="F26" s="3519"/>
      <c r="G26" s="3519"/>
      <c r="H26" s="2994" t="s">
        <v>2842</v>
      </c>
    </row>
    <row r="27" spans="1:9">
      <c r="A27" s="2494">
        <v>1</v>
      </c>
      <c r="B27" s="2495" t="s">
        <v>2516</v>
      </c>
      <c r="C27" s="2495"/>
      <c r="D27" s="2495"/>
      <c r="E27" s="3520"/>
      <c r="F27" s="3520"/>
      <c r="G27" s="3520"/>
    </row>
    <row r="28" spans="1:9">
      <c r="A28" s="2496" t="s">
        <v>2517</v>
      </c>
      <c r="B28" s="2495" t="s">
        <v>2518</v>
      </c>
      <c r="C28" s="2495"/>
      <c r="D28" s="2495"/>
      <c r="E28" s="3520"/>
      <c r="F28" s="3520"/>
      <c r="G28" s="3520"/>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511"/>
      <c r="F32" s="3511"/>
      <c r="G32" s="3511"/>
    </row>
    <row r="33" spans="1:7" hidden="1">
      <c r="A33" s="3521" t="s">
        <v>2526</v>
      </c>
      <c r="B33" s="3522"/>
      <c r="C33" s="3522"/>
      <c r="D33" s="3523"/>
      <c r="E33" s="3519"/>
      <c r="F33" s="3519"/>
      <c r="G33" s="3519"/>
    </row>
    <row r="34" spans="1:7" hidden="1">
      <c r="A34" s="2498">
        <v>1</v>
      </c>
      <c r="B34" s="2495" t="s">
        <v>2527</v>
      </c>
      <c r="C34" s="2495"/>
      <c r="D34" s="2495"/>
      <c r="E34" s="3520"/>
      <c r="F34" s="3520"/>
      <c r="G34" s="3520"/>
    </row>
    <row r="35" spans="1:7" hidden="1">
      <c r="A35" s="2498">
        <v>2</v>
      </c>
      <c r="B35" s="2495" t="s">
        <v>2528</v>
      </c>
      <c r="C35" s="2495"/>
      <c r="D35" s="2495"/>
      <c r="E35" s="3520"/>
      <c r="F35" s="3520"/>
      <c r="G35" s="3520"/>
    </row>
    <row r="36" spans="1:7" hidden="1">
      <c r="A36" s="2498">
        <v>3</v>
      </c>
      <c r="B36" s="2495" t="s">
        <v>2529</v>
      </c>
      <c r="C36" s="2495"/>
      <c r="D36" s="2495"/>
      <c r="E36" s="3520"/>
      <c r="F36" s="3520"/>
      <c r="G36" s="3520"/>
    </row>
    <row r="37" spans="1:7" hidden="1">
      <c r="A37" s="2498">
        <v>4</v>
      </c>
      <c r="B37" s="2495" t="s">
        <v>2530</v>
      </c>
      <c r="C37" s="2495"/>
      <c r="D37" s="2495"/>
      <c r="E37" s="3520"/>
      <c r="F37" s="3520"/>
      <c r="G37" s="3520"/>
    </row>
    <row r="38" spans="1:7" hidden="1">
      <c r="A38" s="3521" t="s">
        <v>2531</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289029</v>
      </c>
      <c r="E10" s="749">
        <f>'数据-取费表'!B31</f>
        <v>200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4674</v>
      </c>
      <c r="D12" s="758">
        <f>'数据-汇总表'!E5</f>
        <v>286779</v>
      </c>
      <c r="E12" s="757">
        <f>'数据-取费表'!B27</f>
        <v>163</v>
      </c>
      <c r="F12" s="755"/>
      <c r="G12" s="759"/>
    </row>
    <row r="13" spans="1:25" s="2167" customFormat="1" ht="13.5" customHeight="1">
      <c r="A13" s="2439" t="s">
        <v>2447</v>
      </c>
      <c r="B13" s="756" t="s">
        <v>612</v>
      </c>
      <c r="C13" s="757">
        <f>ROUND(D13*E13/10000,0)</f>
        <v>37</v>
      </c>
      <c r="D13" s="758">
        <f>'数据-汇总表'!E6</f>
        <v>2250</v>
      </c>
      <c r="E13" s="757">
        <f>'数据-取费表'!B28</f>
        <v>163</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0.95399999999999996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07" t="s">
        <v>522</v>
      </c>
      <c r="D4" s="3408"/>
      <c r="E4" s="3441" t="s">
        <v>523</v>
      </c>
      <c r="F4" s="3442"/>
      <c r="G4" s="3407" t="s">
        <v>524</v>
      </c>
      <c r="H4" s="3408"/>
      <c r="I4" s="3407" t="s">
        <v>525</v>
      </c>
      <c r="J4" s="3408"/>
      <c r="K4" s="514"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2"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2"/>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2"/>
      <c r="AC6" s="3406"/>
    </row>
    <row r="7" spans="1:29" s="1216" customFormat="1" ht="15.75" thickBot="1">
      <c r="A7" s="2866"/>
      <c r="B7" s="2873" t="s">
        <v>529</v>
      </c>
      <c r="C7" s="519">
        <f>'数据-取费表'!B2</f>
        <v>43689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6" si="3">D8/F8</f>
        <v>#DIV/0!</v>
      </c>
      <c r="AB8" s="1556" t="e">
        <f t="shared" ref="AB8:AB46" si="4">D8/H8</f>
        <v>#DIV/0!</v>
      </c>
      <c r="AC8" s="1556"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35" t="s">
        <v>540</v>
      </c>
      <c r="Q15" s="1557" t="str">
        <f t="shared" si="6"/>
        <v>商业繁华度</v>
      </c>
      <c r="R15" s="1558" t="s">
        <v>8</v>
      </c>
      <c r="S15" s="1559">
        <f t="shared" si="0"/>
        <v>100</v>
      </c>
      <c r="T15" s="1558" t="s">
        <v>8</v>
      </c>
      <c r="U15" s="1559">
        <f t="shared" si="1"/>
        <v>100</v>
      </c>
      <c r="V15" s="1558" t="s">
        <v>8</v>
      </c>
      <c r="W15" s="1559">
        <f t="shared" si="2"/>
        <v>100</v>
      </c>
      <c r="X15" s="1552"/>
      <c r="Y15" s="3435"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36"/>
      <c r="Q23" s="1557" t="str">
        <f>B23</f>
        <v>自然及人文环境</v>
      </c>
      <c r="R23" s="1558" t="s">
        <v>8</v>
      </c>
      <c r="S23" s="1559">
        <f>F23</f>
        <v>100</v>
      </c>
      <c r="T23" s="1558" t="s">
        <v>8</v>
      </c>
      <c r="U23" s="1559">
        <f>H23</f>
        <v>100</v>
      </c>
      <c r="V23" s="1558" t="s">
        <v>8</v>
      </c>
      <c r="W23" s="1559">
        <f>J23</f>
        <v>100</v>
      </c>
      <c r="X23" s="1552"/>
      <c r="Y23" s="343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6"/>
      <c r="Q25" s="1557" t="str">
        <f t="shared" ref="Q25:Q46" si="11">B25</f>
        <v>临街状况</v>
      </c>
      <c r="R25" s="1558" t="s">
        <v>8</v>
      </c>
      <c r="S25" s="1559">
        <f>F25</f>
        <v>100</v>
      </c>
      <c r="T25" s="1558" t="s">
        <v>8</v>
      </c>
      <c r="U25" s="1559">
        <f>H25</f>
        <v>100</v>
      </c>
      <c r="V25" s="1558" t="s">
        <v>8</v>
      </c>
      <c r="W25" s="1559">
        <f>J25</f>
        <v>100</v>
      </c>
      <c r="X25" s="1552"/>
      <c r="Y25" s="3436"/>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6"/>
      <c r="Q26" s="1557" t="str">
        <f t="shared" si="11"/>
        <v>平面位置/可视性</v>
      </c>
      <c r="R26" s="1558" t="s">
        <v>8</v>
      </c>
      <c r="S26" s="1559">
        <f>F26</f>
        <v>100</v>
      </c>
      <c r="T26" s="1558" t="s">
        <v>8</v>
      </c>
      <c r="U26" s="1559">
        <f>H26</f>
        <v>100</v>
      </c>
      <c r="V26" s="1558" t="s">
        <v>8</v>
      </c>
      <c r="W26" s="1559">
        <f>J26</f>
        <v>100</v>
      </c>
      <c r="X26" s="1552"/>
      <c r="Y26" s="3436"/>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36"/>
      <c r="Q27" s="1147" t="str">
        <f t="shared" si="11"/>
        <v>人流量</v>
      </c>
      <c r="R27" s="1553" t="s">
        <v>8</v>
      </c>
      <c r="S27" s="1554">
        <f>F27</f>
        <v>100</v>
      </c>
      <c r="T27" s="1553" t="s">
        <v>8</v>
      </c>
      <c r="U27" s="1554">
        <f>H27</f>
        <v>100</v>
      </c>
      <c r="V27" s="1553" t="s">
        <v>8</v>
      </c>
      <c r="W27" s="1554">
        <f>J27</f>
        <v>100</v>
      </c>
      <c r="X27" s="1555"/>
      <c r="Y27" s="3436"/>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6"/>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6"/>
      <c r="Q29" s="1557">
        <f t="shared" si="11"/>
        <v>111</v>
      </c>
      <c r="R29" s="1558" t="s">
        <v>8</v>
      </c>
      <c r="S29" s="1559">
        <f t="shared" si="12"/>
        <v>100</v>
      </c>
      <c r="T29" s="1558" t="s">
        <v>8</v>
      </c>
      <c r="U29" s="1559">
        <f t="shared" si="13"/>
        <v>100</v>
      </c>
      <c r="V29" s="1558" t="s">
        <v>8</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7" t="s">
        <v>550</v>
      </c>
      <c r="Q32" s="1557" t="str">
        <f t="shared" si="11"/>
        <v>商业类型</v>
      </c>
      <c r="R32" s="1558" t="s">
        <v>8</v>
      </c>
      <c r="S32" s="1559">
        <f t="shared" si="12"/>
        <v>100</v>
      </c>
      <c r="T32" s="1558" t="s">
        <v>8</v>
      </c>
      <c r="U32" s="1559">
        <f t="shared" si="13"/>
        <v>100</v>
      </c>
      <c r="V32" s="1558" t="s">
        <v>8</v>
      </c>
      <c r="W32" s="1559">
        <f t="shared" si="14"/>
        <v>100</v>
      </c>
      <c r="X32" s="1552"/>
      <c r="Y32" s="3438"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8"/>
      <c r="Q33" s="1589" t="str">
        <f t="shared" si="11"/>
        <v>项目建筑规模</v>
      </c>
      <c r="R33" s="1562" t="s">
        <v>8</v>
      </c>
      <c r="S33" s="1563" t="e">
        <f t="shared" si="12"/>
        <v>#N/A</v>
      </c>
      <c r="T33" s="1562" t="s">
        <v>8</v>
      </c>
      <c r="U33" s="1563" t="e">
        <f t="shared" si="13"/>
        <v>#N/A</v>
      </c>
      <c r="V33" s="1562" t="s">
        <v>8</v>
      </c>
      <c r="W33" s="1563" t="e">
        <f t="shared" si="14"/>
        <v>#N/A</v>
      </c>
      <c r="X33" s="1564"/>
      <c r="Y33" s="3438"/>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38"/>
      <c r="Q34" s="1557" t="str">
        <f t="shared" si="11"/>
        <v>建筑结构</v>
      </c>
      <c r="R34" s="1558" t="s">
        <v>8</v>
      </c>
      <c r="S34" s="1559">
        <f t="shared" si="12"/>
        <v>100</v>
      </c>
      <c r="T34" s="1558" t="s">
        <v>8</v>
      </c>
      <c r="U34" s="1559">
        <f t="shared" si="13"/>
        <v>100</v>
      </c>
      <c r="V34" s="1558" t="s">
        <v>8</v>
      </c>
      <c r="W34" s="1559">
        <f t="shared" si="14"/>
        <v>100</v>
      </c>
      <c r="X34" s="1552"/>
      <c r="Y34" s="3438"/>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8"/>
      <c r="Q35" s="1557" t="str">
        <f t="shared" si="11"/>
        <v>公共部分装修</v>
      </c>
      <c r="R35" s="1558" t="s">
        <v>8</v>
      </c>
      <c r="S35" s="1559">
        <f t="shared" si="12"/>
        <v>100</v>
      </c>
      <c r="T35" s="1558" t="s">
        <v>8</v>
      </c>
      <c r="U35" s="1559">
        <f t="shared" si="13"/>
        <v>100</v>
      </c>
      <c r="V35" s="1558" t="s">
        <v>8</v>
      </c>
      <c r="W35" s="1559">
        <f t="shared" si="14"/>
        <v>100</v>
      </c>
      <c r="X35" s="1552"/>
      <c r="Y35" s="3438"/>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38"/>
      <c r="Q36" s="1557" t="str">
        <f t="shared" si="11"/>
        <v>成新度</v>
      </c>
      <c r="R36" s="1558" t="s">
        <v>8</v>
      </c>
      <c r="S36" s="1559" t="e">
        <f t="shared" si="12"/>
        <v>#N/A</v>
      </c>
      <c r="T36" s="1558" t="s">
        <v>8</v>
      </c>
      <c r="U36" s="1559" t="e">
        <f t="shared" si="13"/>
        <v>#N/A</v>
      </c>
      <c r="V36" s="1558" t="s">
        <v>8</v>
      </c>
      <c r="W36" s="1559" t="e">
        <f t="shared" si="14"/>
        <v>#N/A</v>
      </c>
      <c r="X36" s="1552"/>
      <c r="Y36" s="3438"/>
      <c r="Z36" s="1560" t="str">
        <f t="shared" si="15"/>
        <v>成新度</v>
      </c>
      <c r="AA36" s="1561" t="e">
        <f t="shared" si="3"/>
        <v>#N/A</v>
      </c>
      <c r="AB36" s="1561" t="e">
        <f t="shared" si="4"/>
        <v>#N/A</v>
      </c>
      <c r="AC36" s="1561" t="e">
        <f t="shared" si="5"/>
        <v>#N/A</v>
      </c>
    </row>
    <row r="37" spans="1:29" s="1216"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8"/>
      <c r="Q37" s="1147" t="str">
        <f t="shared" si="11"/>
        <v>市政基础设施</v>
      </c>
      <c r="R37" s="1553" t="s">
        <v>8</v>
      </c>
      <c r="S37" s="1554">
        <f t="shared" si="12"/>
        <v>100</v>
      </c>
      <c r="T37" s="1553" t="s">
        <v>8</v>
      </c>
      <c r="U37" s="1554">
        <f t="shared" si="13"/>
        <v>100</v>
      </c>
      <c r="V37" s="1553" t="s">
        <v>8</v>
      </c>
      <c r="W37" s="1554">
        <f t="shared" si="14"/>
        <v>100</v>
      </c>
      <c r="X37" s="1555"/>
      <c r="Y37" s="3438"/>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8" t="s">
        <v>766</v>
      </c>
      <c r="Q38" s="1557" t="str">
        <f t="shared" si="11"/>
        <v>业态</v>
      </c>
      <c r="R38" s="1558" t="s">
        <v>8</v>
      </c>
      <c r="S38" s="1559">
        <f t="shared" si="12"/>
        <v>100</v>
      </c>
      <c r="T38" s="1558" t="s">
        <v>8</v>
      </c>
      <c r="U38" s="1559">
        <f t="shared" si="13"/>
        <v>100</v>
      </c>
      <c r="V38" s="1558" t="s">
        <v>8</v>
      </c>
      <c r="W38" s="1559">
        <f t="shared" si="14"/>
        <v>100</v>
      </c>
      <c r="X38" s="1552"/>
      <c r="Y38" s="3438"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c r="Q39" s="1557" t="str">
        <f t="shared" si="11"/>
        <v>层高</v>
      </c>
      <c r="R39" s="1558" t="s">
        <v>8</v>
      </c>
      <c r="S39" s="1559">
        <f t="shared" si="12"/>
        <v>100</v>
      </c>
      <c r="T39" s="1558" t="s">
        <v>8</v>
      </c>
      <c r="U39" s="1559">
        <f t="shared" si="13"/>
        <v>100</v>
      </c>
      <c r="V39" s="1558" t="s">
        <v>8</v>
      </c>
      <c r="W39" s="1559">
        <f t="shared" si="14"/>
        <v>100</v>
      </c>
      <c r="X39" s="1552"/>
      <c r="Y39" s="3438"/>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38"/>
      <c r="Q40" s="1557" t="str">
        <f t="shared" si="11"/>
        <v>单套建筑面积</v>
      </c>
      <c r="R40" s="1558" t="s">
        <v>8</v>
      </c>
      <c r="S40" s="1559">
        <f t="shared" si="12"/>
        <v>100</v>
      </c>
      <c r="T40" s="1558" t="s">
        <v>8</v>
      </c>
      <c r="U40" s="1559">
        <f t="shared" si="13"/>
        <v>100</v>
      </c>
      <c r="V40" s="1558" t="s">
        <v>8</v>
      </c>
      <c r="W40" s="1559">
        <f t="shared" si="14"/>
        <v>100</v>
      </c>
      <c r="X40" s="1552"/>
      <c r="Y40" s="3438"/>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8"/>
      <c r="Q41" s="1589" t="str">
        <f t="shared" si="11"/>
        <v>进深比</v>
      </c>
      <c r="R41" s="1562" t="s">
        <v>8</v>
      </c>
      <c r="S41" s="1563">
        <f t="shared" si="12"/>
        <v>100</v>
      </c>
      <c r="T41" s="1562" t="s">
        <v>8</v>
      </c>
      <c r="U41" s="1563">
        <f t="shared" si="13"/>
        <v>100</v>
      </c>
      <c r="V41" s="1562" t="s">
        <v>8</v>
      </c>
      <c r="W41" s="1563">
        <f t="shared" si="14"/>
        <v>100</v>
      </c>
      <c r="X41" s="1564"/>
      <c r="Y41" s="3438"/>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8"/>
      <c r="Q42" s="1557" t="str">
        <f t="shared" si="11"/>
        <v>内部装修</v>
      </c>
      <c r="R42" s="1558" t="s">
        <v>8</v>
      </c>
      <c r="S42" s="1559">
        <f t="shared" si="12"/>
        <v>100</v>
      </c>
      <c r="T42" s="1558" t="s">
        <v>8</v>
      </c>
      <c r="U42" s="1559">
        <f t="shared" si="13"/>
        <v>100</v>
      </c>
      <c r="V42" s="1558" t="s">
        <v>8</v>
      </c>
      <c r="W42" s="1559">
        <f t="shared" si="14"/>
        <v>100</v>
      </c>
      <c r="X42" s="1552"/>
      <c r="Y42" s="3438"/>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8"/>
      <c r="Q43" s="1557" t="str">
        <f t="shared" si="11"/>
        <v>内部装修维护情况</v>
      </c>
      <c r="R43" s="1558" t="s">
        <v>8</v>
      </c>
      <c r="S43" s="1559">
        <f t="shared" si="12"/>
        <v>100</v>
      </c>
      <c r="T43" s="1558" t="s">
        <v>8</v>
      </c>
      <c r="U43" s="1559">
        <f t="shared" si="13"/>
        <v>100</v>
      </c>
      <c r="V43" s="1558" t="s">
        <v>8</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8"/>
      <c r="Q44" s="1147">
        <f t="shared" si="11"/>
        <v>111</v>
      </c>
      <c r="R44" s="1553" t="s">
        <v>8</v>
      </c>
      <c r="S44" s="1554">
        <f t="shared" si="12"/>
        <v>100</v>
      </c>
      <c r="T44" s="1553" t="s">
        <v>8</v>
      </c>
      <c r="U44" s="1554">
        <f t="shared" si="13"/>
        <v>100</v>
      </c>
      <c r="V44" s="1553" t="s">
        <v>8</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8"/>
      <c r="Q45" s="1557">
        <f t="shared" si="11"/>
        <v>111</v>
      </c>
      <c r="R45" s="1558" t="s">
        <v>8</v>
      </c>
      <c r="S45" s="1559">
        <f t="shared" si="12"/>
        <v>100</v>
      </c>
      <c r="T45" s="1558" t="s">
        <v>8</v>
      </c>
      <c r="U45" s="1559">
        <f t="shared" si="13"/>
        <v>100</v>
      </c>
      <c r="V45" s="1558" t="s">
        <v>8</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401" t="str">
        <f>A47</f>
        <v>成交单价（元/平方米）</v>
      </c>
      <c r="Q47" s="3401"/>
      <c r="R47" s="3495">
        <f>E47</f>
        <v>0</v>
      </c>
      <c r="S47" s="3495"/>
      <c r="T47" s="3495">
        <f>G47</f>
        <v>0</v>
      </c>
      <c r="U47" s="3495"/>
      <c r="V47" s="3495">
        <f>I47</f>
        <v>0</v>
      </c>
      <c r="W47" s="3495"/>
      <c r="X47" s="1544"/>
      <c r="Y47" s="1566"/>
      <c r="Z47" s="1544"/>
      <c r="AA47" s="1544"/>
      <c r="AB47" s="1544"/>
      <c r="AC47" s="1544"/>
    </row>
    <row r="48" spans="1:29" ht="15.75" thickBot="1">
      <c r="A48" s="615" t="s">
        <v>2759</v>
      </c>
      <c r="B48" s="888"/>
      <c r="C48" s="2596" t="e">
        <f>R49</f>
        <v>#DIV/0!</v>
      </c>
      <c r="D48" s="2597"/>
      <c r="E48" s="2598" t="e">
        <f>R48</f>
        <v>#DIV/0!</v>
      </c>
      <c r="F48" s="2598"/>
      <c r="G48" s="2596" t="e">
        <f>T48</f>
        <v>#DIV/0!</v>
      </c>
      <c r="H48" s="2597"/>
      <c r="I48" s="2598" t="e">
        <f>V48</f>
        <v>#DIV/0!</v>
      </c>
      <c r="J48" s="2597"/>
      <c r="K48" s="1596"/>
      <c r="L48" s="2128"/>
      <c r="M48" s="2129"/>
      <c r="N48" s="2118"/>
      <c r="O48" s="2129"/>
      <c r="P48" s="3401" t="str">
        <f>A48</f>
        <v>比较价格（元/平方米）</v>
      </c>
      <c r="Q48" s="3401"/>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75" thickBot="1">
      <c r="A49" s="621" t="s">
        <v>2934</v>
      </c>
      <c r="B49" s="622"/>
      <c r="C49" s="2599" t="e">
        <f>R49</f>
        <v>#DIV/0!</v>
      </c>
      <c r="D49" s="2599"/>
      <c r="E49" s="2599"/>
      <c r="F49" s="2599"/>
      <c r="G49" s="2599"/>
      <c r="H49" s="2599"/>
      <c r="I49" s="2599"/>
      <c r="J49" s="2599"/>
      <c r="K49" s="1597"/>
      <c r="L49" s="2128"/>
      <c r="M49" s="2129"/>
      <c r="N49" s="2118"/>
      <c r="O49" s="2129"/>
      <c r="P49" s="3398" t="str">
        <f>A49</f>
        <v>估价对象XX用房的比较价格（楼面单价，元/平方米）</v>
      </c>
      <c r="Q49" s="3399"/>
      <c r="R49" s="3494" t="e">
        <f>IF(F1="售价",ROUND(AVERAGE(R48:V48),0),ROUND(AVERAGE(R48:V48),1))</f>
        <v>#DIV/0!</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5"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07" t="s">
        <v>522</v>
      </c>
      <c r="D4" s="3408"/>
      <c r="E4" s="3441" t="s">
        <v>523</v>
      </c>
      <c r="F4" s="3442"/>
      <c r="G4" s="3407" t="s">
        <v>524</v>
      </c>
      <c r="H4" s="3408"/>
      <c r="I4" s="3407" t="s">
        <v>525</v>
      </c>
      <c r="J4" s="3408"/>
      <c r="K4" s="514" t="s">
        <v>526</v>
      </c>
      <c r="L4" s="2117"/>
      <c r="M4" s="2118"/>
      <c r="N4" s="2118"/>
      <c r="O4" s="2118"/>
      <c r="P4" s="3525" t="s">
        <v>527</v>
      </c>
      <c r="Q4" s="3410"/>
      <c r="R4" s="3415" t="s">
        <v>523</v>
      </c>
      <c r="S4" s="3416"/>
      <c r="T4" s="3415" t="s">
        <v>524</v>
      </c>
      <c r="U4" s="3416"/>
      <c r="V4" s="3402" t="s">
        <v>525</v>
      </c>
      <c r="W4" s="3402"/>
      <c r="X4" s="1552"/>
      <c r="Y4" s="3415" t="s">
        <v>527</v>
      </c>
      <c r="Z4" s="3416"/>
      <c r="AA4" s="3404" t="s">
        <v>523</v>
      </c>
      <c r="AB4" s="3404"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526"/>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527"/>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34"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34" t="s">
        <v>533</v>
      </c>
      <c r="Q8" s="3433"/>
      <c r="R8" s="1553" t="s">
        <v>8</v>
      </c>
      <c r="S8" s="1554">
        <f t="shared" si="0"/>
        <v>0</v>
      </c>
      <c r="T8" s="1553" t="s">
        <v>8</v>
      </c>
      <c r="U8" s="1554">
        <f t="shared" si="1"/>
        <v>0</v>
      </c>
      <c r="V8" s="1553" t="s">
        <v>8</v>
      </c>
      <c r="W8" s="1554">
        <f t="shared" si="2"/>
        <v>0</v>
      </c>
      <c r="X8" s="1555"/>
      <c r="Y8" s="3432" t="s">
        <v>533</v>
      </c>
      <c r="Z8" s="3433"/>
      <c r="AA8" s="1556" t="e">
        <f t="shared" ref="AA8:AA47" si="3">D8/F8</f>
        <v>#DIV/0!</v>
      </c>
      <c r="AB8" s="1556" t="e">
        <f t="shared" ref="AB8:AB47" si="4">D8/H8</f>
        <v>#DIV/0!</v>
      </c>
      <c r="AC8" s="1556"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35" t="s">
        <v>540</v>
      </c>
      <c r="Q15" s="1557" t="str">
        <f t="shared" si="6"/>
        <v>办公集聚程度</v>
      </c>
      <c r="R15" s="1558" t="s">
        <v>8</v>
      </c>
      <c r="S15" s="1559">
        <f t="shared" si="0"/>
        <v>100</v>
      </c>
      <c r="T15" s="1558" t="s">
        <v>8</v>
      </c>
      <c r="U15" s="1559">
        <f t="shared" si="1"/>
        <v>100</v>
      </c>
      <c r="V15" s="1558" t="s">
        <v>8</v>
      </c>
      <c r="W15" s="1559">
        <f t="shared" si="2"/>
        <v>100</v>
      </c>
      <c r="X15" s="1552"/>
      <c r="Y15" s="3435"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36"/>
      <c r="Q16" s="1557"/>
      <c r="R16" s="1558"/>
      <c r="S16" s="1559"/>
      <c r="T16" s="1558"/>
      <c r="U16" s="1559"/>
      <c r="V16" s="1558"/>
      <c r="W16" s="1559"/>
      <c r="X16" s="1552"/>
      <c r="Y16" s="3436"/>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36"/>
      <c r="Q18" s="1557"/>
      <c r="R18" s="1558"/>
      <c r="S18" s="1559"/>
      <c r="T18" s="1558"/>
      <c r="U18" s="1559"/>
      <c r="V18" s="1558"/>
      <c r="W18" s="1559"/>
      <c r="X18" s="1552"/>
      <c r="Y18" s="3436"/>
      <c r="Z18" s="1560"/>
      <c r="AA18" s="1561">
        <v>1</v>
      </c>
      <c r="AB18" s="1561">
        <v>1</v>
      </c>
      <c r="AC18" s="1561">
        <v>1</v>
      </c>
    </row>
    <row r="19" spans="1:29" ht="42.75">
      <c r="A19" s="532"/>
      <c r="B19" s="256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36"/>
      <c r="Q20" s="1557"/>
      <c r="R20" s="1558"/>
      <c r="S20" s="1559"/>
      <c r="T20" s="1558"/>
      <c r="U20" s="1559"/>
      <c r="V20" s="1558"/>
      <c r="W20" s="1559"/>
      <c r="X20" s="1552"/>
      <c r="Y20" s="3436"/>
      <c r="Z20" s="1560"/>
      <c r="AA20" s="1561">
        <v>1</v>
      </c>
      <c r="AB20" s="1561">
        <v>1</v>
      </c>
      <c r="AC20" s="1561">
        <v>1</v>
      </c>
    </row>
    <row r="21" spans="1:29" ht="28.5">
      <c r="A21" s="532"/>
      <c r="B21" s="255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36"/>
      <c r="Q22" s="2542"/>
      <c r="R22" s="1558"/>
      <c r="S22" s="1559"/>
      <c r="T22" s="1558"/>
      <c r="U22" s="1559"/>
      <c r="V22" s="1558"/>
      <c r="W22" s="1559"/>
      <c r="X22" s="2544"/>
      <c r="Y22" s="3436"/>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36"/>
      <c r="Q24" s="1557"/>
      <c r="R24" s="1558"/>
      <c r="S24" s="1559"/>
      <c r="T24" s="1558"/>
      <c r="U24" s="1559"/>
      <c r="V24" s="1558"/>
      <c r="W24" s="1559"/>
      <c r="X24" s="1552"/>
      <c r="Y24" s="3436"/>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36"/>
      <c r="Q25" s="1557" t="str">
        <f>B25</f>
        <v>毗邻道路的类型与等级</v>
      </c>
      <c r="R25" s="1558" t="s">
        <v>8</v>
      </c>
      <c r="S25" s="1559">
        <f>F25</f>
        <v>100</v>
      </c>
      <c r="T25" s="1558" t="s">
        <v>8</v>
      </c>
      <c r="U25" s="1559">
        <f>H25</f>
        <v>100</v>
      </c>
      <c r="V25" s="1558" t="s">
        <v>8</v>
      </c>
      <c r="W25" s="1559">
        <f>J25</f>
        <v>100</v>
      </c>
      <c r="X25" s="1552"/>
      <c r="Y25" s="343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36"/>
      <c r="Q26" s="1557"/>
      <c r="R26" s="1558"/>
      <c r="S26" s="1559"/>
      <c r="T26" s="1558"/>
      <c r="U26" s="1559"/>
      <c r="V26" s="1558"/>
      <c r="W26" s="1559"/>
      <c r="X26" s="1552"/>
      <c r="Y26" s="3436"/>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6"/>
      <c r="Q27" s="1557" t="str">
        <f t="shared" ref="Q27:Q47" si="11">B27</f>
        <v>楼层</v>
      </c>
      <c r="R27" s="1558" t="s">
        <v>8</v>
      </c>
      <c r="S27" s="1559">
        <f>F27</f>
        <v>100</v>
      </c>
      <c r="T27" s="1558" t="s">
        <v>8</v>
      </c>
      <c r="U27" s="1559">
        <f>H27</f>
        <v>100</v>
      </c>
      <c r="V27" s="1558" t="s">
        <v>8</v>
      </c>
      <c r="W27" s="1559">
        <f>J27</f>
        <v>100</v>
      </c>
      <c r="X27" s="1552"/>
      <c r="Y27" s="3436"/>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36"/>
      <c r="Q28" s="1147" t="str">
        <f t="shared" si="11"/>
        <v>朝向</v>
      </c>
      <c r="R28" s="1553" t="s">
        <v>8</v>
      </c>
      <c r="S28" s="1554">
        <f>F28</f>
        <v>100</v>
      </c>
      <c r="T28" s="1553" t="s">
        <v>8</v>
      </c>
      <c r="U28" s="1554">
        <f>H28</f>
        <v>100</v>
      </c>
      <c r="V28" s="1553" t="s">
        <v>8</v>
      </c>
      <c r="W28" s="1554">
        <f>J28</f>
        <v>100</v>
      </c>
      <c r="X28" s="1555"/>
      <c r="Y28" s="3436"/>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36"/>
      <c r="Q29" s="1557">
        <f t="shared" si="11"/>
        <v>111</v>
      </c>
      <c r="R29" s="1558" t="s">
        <v>8</v>
      </c>
      <c r="S29" s="1559">
        <f t="shared" ref="S29:S47" si="12">F29</f>
        <v>100</v>
      </c>
      <c r="T29" s="1558" t="s">
        <v>8</v>
      </c>
      <c r="U29" s="1559">
        <f t="shared" ref="U29:U47" si="13">H29</f>
        <v>100</v>
      </c>
      <c r="V29" s="1558" t="s">
        <v>8</v>
      </c>
      <c r="W29" s="1559">
        <f t="shared" ref="W29:W47" si="14">J29</f>
        <v>100</v>
      </c>
      <c r="X29" s="1552"/>
      <c r="Y29" s="3436"/>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36"/>
      <c r="Q32" s="1557">
        <f t="shared" si="11"/>
        <v>111</v>
      </c>
      <c r="R32" s="1558" t="s">
        <v>8</v>
      </c>
      <c r="S32" s="1559">
        <f t="shared" si="12"/>
        <v>100</v>
      </c>
      <c r="T32" s="1558" t="s">
        <v>8</v>
      </c>
      <c r="U32" s="1559">
        <f t="shared" si="13"/>
        <v>100</v>
      </c>
      <c r="V32" s="1558" t="s">
        <v>8</v>
      </c>
      <c r="W32" s="1559">
        <f t="shared" si="14"/>
        <v>100</v>
      </c>
      <c r="X32" s="1552"/>
      <c r="Y32" s="3436"/>
      <c r="Z32" s="1560">
        <f t="shared" si="15"/>
        <v>111</v>
      </c>
      <c r="AA32" s="1561">
        <f t="shared" si="3"/>
        <v>1</v>
      </c>
      <c r="AB32" s="1561">
        <f t="shared" si="4"/>
        <v>1</v>
      </c>
      <c r="AC32" s="1561">
        <f t="shared" si="5"/>
        <v>1</v>
      </c>
    </row>
    <row r="33" spans="1:29" ht="15">
      <c r="A33" s="2861"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37" t="s">
        <v>550</v>
      </c>
      <c r="Q33" s="1557" t="str">
        <f t="shared" si="11"/>
        <v>建筑类型</v>
      </c>
      <c r="R33" s="1558" t="s">
        <v>8</v>
      </c>
      <c r="S33" s="1559">
        <f t="shared" si="12"/>
        <v>100</v>
      </c>
      <c r="T33" s="1558" t="s">
        <v>8</v>
      </c>
      <c r="U33" s="1559">
        <f t="shared" si="13"/>
        <v>100</v>
      </c>
      <c r="V33" s="1558" t="s">
        <v>8</v>
      </c>
      <c r="W33" s="1559">
        <f t="shared" si="14"/>
        <v>100</v>
      </c>
      <c r="X33" s="1552"/>
      <c r="Y33" s="3438"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8"/>
      <c r="Q34" s="1589" t="str">
        <f t="shared" si="11"/>
        <v>项目建筑规模</v>
      </c>
      <c r="R34" s="1562" t="s">
        <v>8</v>
      </c>
      <c r="S34" s="1563" t="e">
        <f t="shared" si="12"/>
        <v>#N/A</v>
      </c>
      <c r="T34" s="1562" t="s">
        <v>8</v>
      </c>
      <c r="U34" s="1563" t="e">
        <f t="shared" si="13"/>
        <v>#N/A</v>
      </c>
      <c r="V34" s="1562" t="s">
        <v>8</v>
      </c>
      <c r="W34" s="1563" t="e">
        <f t="shared" si="14"/>
        <v>#N/A</v>
      </c>
      <c r="X34" s="1564"/>
      <c r="Y34" s="3438"/>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8"/>
      <c r="Q35" s="1557" t="str">
        <f t="shared" si="11"/>
        <v>建筑结构</v>
      </c>
      <c r="R35" s="1558" t="s">
        <v>8</v>
      </c>
      <c r="S35" s="1559">
        <f t="shared" si="12"/>
        <v>100</v>
      </c>
      <c r="T35" s="1558" t="s">
        <v>8</v>
      </c>
      <c r="U35" s="1559">
        <f t="shared" si="13"/>
        <v>100</v>
      </c>
      <c r="V35" s="1558" t="s">
        <v>8</v>
      </c>
      <c r="W35" s="1559">
        <f t="shared" si="14"/>
        <v>100</v>
      </c>
      <c r="X35" s="1552"/>
      <c r="Y35" s="3438"/>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8"/>
      <c r="Q36" s="1557" t="str">
        <f t="shared" si="11"/>
        <v>公共部分装修</v>
      </c>
      <c r="R36" s="1558" t="s">
        <v>8</v>
      </c>
      <c r="S36" s="1559">
        <f t="shared" si="12"/>
        <v>100</v>
      </c>
      <c r="T36" s="1558" t="s">
        <v>8</v>
      </c>
      <c r="U36" s="1559">
        <f t="shared" si="13"/>
        <v>100</v>
      </c>
      <c r="V36" s="1558" t="s">
        <v>8</v>
      </c>
      <c r="W36" s="1559">
        <f t="shared" si="14"/>
        <v>100</v>
      </c>
      <c r="X36" s="1552"/>
      <c r="Y36" s="3438"/>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38"/>
      <c r="Q37" s="1557" t="str">
        <f t="shared" si="11"/>
        <v>成新度</v>
      </c>
      <c r="R37" s="1558" t="s">
        <v>8</v>
      </c>
      <c r="S37" s="1559" t="e">
        <f t="shared" si="12"/>
        <v>#N/A</v>
      </c>
      <c r="T37" s="1558" t="s">
        <v>8</v>
      </c>
      <c r="U37" s="1559" t="e">
        <f t="shared" si="13"/>
        <v>#N/A</v>
      </c>
      <c r="V37" s="1558" t="s">
        <v>8</v>
      </c>
      <c r="W37" s="1559" t="e">
        <f t="shared" si="14"/>
        <v>#N/A</v>
      </c>
      <c r="X37" s="1552"/>
      <c r="Y37" s="3438"/>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8"/>
      <c r="Q38" s="1147" t="str">
        <f t="shared" si="11"/>
        <v>写字楼等级</v>
      </c>
      <c r="R38" s="1553" t="s">
        <v>8</v>
      </c>
      <c r="S38" s="1554">
        <f t="shared" si="12"/>
        <v>100</v>
      </c>
      <c r="T38" s="1553" t="s">
        <v>8</v>
      </c>
      <c r="U38" s="1554">
        <f t="shared" si="13"/>
        <v>100</v>
      </c>
      <c r="V38" s="1553" t="s">
        <v>8</v>
      </c>
      <c r="W38" s="1554">
        <f t="shared" si="14"/>
        <v>100</v>
      </c>
      <c r="X38" s="1555"/>
      <c r="Y38" s="3438"/>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8" t="s">
        <v>550</v>
      </c>
      <c r="Q39" s="1557" t="str">
        <f t="shared" si="11"/>
        <v>物业管理</v>
      </c>
      <c r="R39" s="1558" t="s">
        <v>8</v>
      </c>
      <c r="S39" s="1559">
        <f t="shared" si="12"/>
        <v>100</v>
      </c>
      <c r="T39" s="1558" t="s">
        <v>8</v>
      </c>
      <c r="U39" s="1559">
        <f t="shared" si="13"/>
        <v>100</v>
      </c>
      <c r="V39" s="1558" t="s">
        <v>8</v>
      </c>
      <c r="W39" s="1559">
        <f t="shared" si="14"/>
        <v>100</v>
      </c>
      <c r="X39" s="1552"/>
      <c r="Y39" s="3438"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8"/>
      <c r="Q40" s="1557" t="str">
        <f t="shared" si="11"/>
        <v>市政基础设施</v>
      </c>
      <c r="R40" s="1558" t="s">
        <v>8</v>
      </c>
      <c r="S40" s="1559">
        <f t="shared" si="12"/>
        <v>100</v>
      </c>
      <c r="T40" s="1558" t="s">
        <v>8</v>
      </c>
      <c r="U40" s="1559">
        <f t="shared" si="13"/>
        <v>100</v>
      </c>
      <c r="V40" s="1558" t="s">
        <v>8</v>
      </c>
      <c r="W40" s="1559">
        <f t="shared" si="14"/>
        <v>100</v>
      </c>
      <c r="X40" s="1552"/>
      <c r="Y40" s="3438"/>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8"/>
      <c r="Q41" s="1557" t="str">
        <f t="shared" si="11"/>
        <v>层高</v>
      </c>
      <c r="R41" s="1558" t="s">
        <v>8</v>
      </c>
      <c r="S41" s="1559">
        <f t="shared" si="12"/>
        <v>100</v>
      </c>
      <c r="T41" s="1558" t="s">
        <v>8</v>
      </c>
      <c r="U41" s="1559">
        <f t="shared" si="13"/>
        <v>100</v>
      </c>
      <c r="V41" s="1558" t="s">
        <v>8</v>
      </c>
      <c r="W41" s="1559">
        <f t="shared" si="14"/>
        <v>100</v>
      </c>
      <c r="X41" s="1552"/>
      <c r="Y41" s="3438"/>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8"/>
      <c r="Q42" s="1589" t="str">
        <f t="shared" si="11"/>
        <v>单套建筑面积</v>
      </c>
      <c r="R42" s="1562" t="s">
        <v>8</v>
      </c>
      <c r="S42" s="1563">
        <f t="shared" si="12"/>
        <v>100</v>
      </c>
      <c r="T42" s="1562" t="s">
        <v>8</v>
      </c>
      <c r="U42" s="1563">
        <f t="shared" si="13"/>
        <v>100</v>
      </c>
      <c r="V42" s="1562" t="s">
        <v>8</v>
      </c>
      <c r="W42" s="1563">
        <f t="shared" si="14"/>
        <v>100</v>
      </c>
      <c r="X42" s="1564"/>
      <c r="Y42" s="3438"/>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8"/>
      <c r="Q43" s="1557" t="str">
        <f t="shared" si="11"/>
        <v>内部装修</v>
      </c>
      <c r="R43" s="1558" t="s">
        <v>8</v>
      </c>
      <c r="S43" s="1559">
        <f t="shared" si="12"/>
        <v>100</v>
      </c>
      <c r="T43" s="1558" t="s">
        <v>8</v>
      </c>
      <c r="U43" s="1559">
        <f t="shared" si="13"/>
        <v>100</v>
      </c>
      <c r="V43" s="1558" t="s">
        <v>8</v>
      </c>
      <c r="W43" s="1559">
        <f t="shared" si="14"/>
        <v>100</v>
      </c>
      <c r="X43" s="1552"/>
      <c r="Y43" s="3438"/>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8"/>
      <c r="Q44" s="1557" t="str">
        <f t="shared" si="11"/>
        <v>内部装修维护情况</v>
      </c>
      <c r="R44" s="1558" t="s">
        <v>8</v>
      </c>
      <c r="S44" s="1559">
        <f t="shared" si="12"/>
        <v>100</v>
      </c>
      <c r="T44" s="1558" t="s">
        <v>8</v>
      </c>
      <c r="U44" s="1559">
        <f t="shared" si="13"/>
        <v>100</v>
      </c>
      <c r="V44" s="1558" t="s">
        <v>8</v>
      </c>
      <c r="W44" s="1559">
        <f t="shared" si="14"/>
        <v>100</v>
      </c>
      <c r="X44" s="1552"/>
      <c r="Y44" s="3438"/>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8"/>
      <c r="Q45" s="1147">
        <f t="shared" si="11"/>
        <v>111</v>
      </c>
      <c r="R45" s="1553" t="s">
        <v>8</v>
      </c>
      <c r="S45" s="1554">
        <f t="shared" si="12"/>
        <v>100</v>
      </c>
      <c r="T45" s="1553" t="s">
        <v>8</v>
      </c>
      <c r="U45" s="1554">
        <f t="shared" si="13"/>
        <v>100</v>
      </c>
      <c r="V45" s="1553" t="s">
        <v>8</v>
      </c>
      <c r="W45" s="1554">
        <f t="shared" si="14"/>
        <v>100</v>
      </c>
      <c r="X45" s="1555"/>
      <c r="Y45" s="3438"/>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8"/>
      <c r="Q46" s="1557">
        <f t="shared" si="11"/>
        <v>111</v>
      </c>
      <c r="R46" s="1558" t="s">
        <v>8</v>
      </c>
      <c r="S46" s="1559">
        <f t="shared" si="12"/>
        <v>100</v>
      </c>
      <c r="T46" s="1558" t="s">
        <v>8</v>
      </c>
      <c r="U46" s="1559">
        <f t="shared" si="13"/>
        <v>100</v>
      </c>
      <c r="V46" s="1558" t="s">
        <v>8</v>
      </c>
      <c r="W46" s="1559">
        <f t="shared" si="14"/>
        <v>100</v>
      </c>
      <c r="X46" s="1552"/>
      <c r="Y46" s="3438"/>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6"/>
      <c r="Q47" s="1557">
        <f t="shared" si="11"/>
        <v>111</v>
      </c>
      <c r="R47" s="1558" t="s">
        <v>8</v>
      </c>
      <c r="S47" s="1559">
        <f t="shared" si="12"/>
        <v>100</v>
      </c>
      <c r="T47" s="1558" t="s">
        <v>8</v>
      </c>
      <c r="U47" s="1559">
        <f t="shared" si="13"/>
        <v>100</v>
      </c>
      <c r="V47" s="1558" t="s">
        <v>8</v>
      </c>
      <c r="W47" s="1559">
        <f t="shared" si="14"/>
        <v>100</v>
      </c>
      <c r="X47" s="1552"/>
      <c r="Y47" s="3496"/>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99" t="str">
        <f>A48</f>
        <v>成交单价（元/平方米）</v>
      </c>
      <c r="Q48" s="3401"/>
      <c r="R48" s="3495">
        <f>E48</f>
        <v>0</v>
      </c>
      <c r="S48" s="3495"/>
      <c r="T48" s="3495">
        <f>G48</f>
        <v>0</v>
      </c>
      <c r="U48" s="3495"/>
      <c r="V48" s="3495">
        <f>I48</f>
        <v>0</v>
      </c>
      <c r="W48" s="3495"/>
      <c r="X48" s="1544"/>
      <c r="Y48" s="1566"/>
      <c r="Z48" s="1544"/>
      <c r="AA48" s="1544"/>
      <c r="AB48" s="1544"/>
      <c r="AC48" s="1544"/>
    </row>
    <row r="49" spans="1:29" ht="15.75" thickBot="1">
      <c r="A49" s="615" t="s">
        <v>2759</v>
      </c>
      <c r="B49" s="888"/>
      <c r="C49" s="2596" t="e">
        <f>R50</f>
        <v>#DIV/0!</v>
      </c>
      <c r="D49" s="2597"/>
      <c r="E49" s="2598" t="e">
        <f>R49</f>
        <v>#DIV/0!</v>
      </c>
      <c r="F49" s="2598"/>
      <c r="G49" s="2596" t="e">
        <f>T49</f>
        <v>#DIV/0!</v>
      </c>
      <c r="H49" s="2597"/>
      <c r="I49" s="2598" t="e">
        <f>V49</f>
        <v>#DIV/0!</v>
      </c>
      <c r="J49" s="2597"/>
      <c r="K49" s="1596"/>
      <c r="L49" s="2128"/>
      <c r="M49" s="2118"/>
      <c r="N49" s="2118"/>
      <c r="O49" s="2118"/>
      <c r="P49" s="3399" t="str">
        <f>A49</f>
        <v>比较价格（元/平方米）</v>
      </c>
      <c r="Q49" s="3401"/>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4"/>
      <c r="Y49" s="1544"/>
      <c r="Z49" s="1544"/>
      <c r="AA49" s="1544"/>
      <c r="AB49" s="1544"/>
      <c r="AC49" s="1544"/>
    </row>
    <row r="50" spans="1:29" ht="15.75" thickBot="1">
      <c r="A50" s="621" t="s">
        <v>2934</v>
      </c>
      <c r="B50" s="622"/>
      <c r="C50" s="2599" t="e">
        <f>R50</f>
        <v>#DIV/0!</v>
      </c>
      <c r="D50" s="2599"/>
      <c r="E50" s="2599"/>
      <c r="F50" s="2599"/>
      <c r="G50" s="2599"/>
      <c r="H50" s="2599"/>
      <c r="I50" s="2599"/>
      <c r="J50" s="2599"/>
      <c r="K50" s="1597"/>
      <c r="L50" s="2128"/>
      <c r="M50" s="2118"/>
      <c r="N50" s="2118"/>
      <c r="O50" s="2118"/>
      <c r="P50" s="3524" t="str">
        <f>A50</f>
        <v>估价对象XX用房的比较价格（楼面单价，元/平方米）</v>
      </c>
      <c r="Q50" s="3399"/>
      <c r="R50" s="3494" t="e">
        <f>IF(F1="售价",ROUND(AVERAGE(R49:V49),0),ROUND(AVERAGE(R49:V49),1))</f>
        <v>#DIV/0!</v>
      </c>
      <c r="S50" s="3494"/>
      <c r="T50" s="3494"/>
      <c r="U50" s="3494"/>
      <c r="V50" s="3494"/>
      <c r="W50" s="349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07" t="s">
        <v>522</v>
      </c>
      <c r="D4" s="3408"/>
      <c r="E4" s="3441" t="s">
        <v>523</v>
      </c>
      <c r="F4" s="3442"/>
      <c r="G4" s="3407" t="s">
        <v>524</v>
      </c>
      <c r="H4" s="3408"/>
      <c r="I4" s="3407" t="s">
        <v>525</v>
      </c>
      <c r="J4" s="3408"/>
      <c r="K4" s="514" t="s">
        <v>526</v>
      </c>
      <c r="L4" s="2117"/>
      <c r="M4" s="2118"/>
      <c r="N4" s="2118"/>
      <c r="O4" s="2118"/>
      <c r="P4" s="3409" t="s">
        <v>527</v>
      </c>
      <c r="Q4" s="3410"/>
      <c r="R4" s="3415" t="s">
        <v>523</v>
      </c>
      <c r="S4" s="3416"/>
      <c r="T4" s="3415" t="s">
        <v>524</v>
      </c>
      <c r="U4" s="3416"/>
      <c r="V4" s="3402" t="s">
        <v>525</v>
      </c>
      <c r="W4" s="3402"/>
      <c r="X4" s="1552"/>
      <c r="Y4" s="3415" t="s">
        <v>527</v>
      </c>
      <c r="Z4" s="3416"/>
      <c r="AA4" s="3404" t="s">
        <v>523</v>
      </c>
      <c r="AB4" s="3405" t="s">
        <v>524</v>
      </c>
      <c r="AC4" s="3404" t="s">
        <v>525</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2" t="s">
        <v>530</v>
      </c>
      <c r="Q7" s="3434"/>
      <c r="R7" s="1553" t="s">
        <v>8</v>
      </c>
      <c r="S7" s="1554">
        <f t="shared" ref="S7:S15" si="0">F7</f>
        <v>0</v>
      </c>
      <c r="T7" s="1553" t="s">
        <v>8</v>
      </c>
      <c r="U7" s="1554">
        <f t="shared" ref="U7:U15" si="1">H7</f>
        <v>0</v>
      </c>
      <c r="V7" s="1553" t="s">
        <v>8</v>
      </c>
      <c r="W7" s="1554">
        <f t="shared" ref="W7:W15"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40" si="3">D8/F8</f>
        <v>#DIV/0!</v>
      </c>
      <c r="AB8" s="1556" t="e">
        <f t="shared" ref="AB8:AB40" si="4">D8/H8</f>
        <v>#DIV/0!</v>
      </c>
      <c r="AC8" s="1556"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1" t="s">
        <v>535</v>
      </c>
      <c r="Q9" s="1147" t="str">
        <f t="shared" ref="Q9:Q15" si="6">B9</f>
        <v>用途</v>
      </c>
      <c r="R9" s="1553" t="s">
        <v>8</v>
      </c>
      <c r="S9" s="1554">
        <f t="shared" si="0"/>
        <v>100</v>
      </c>
      <c r="T9" s="1553" t="s">
        <v>8</v>
      </c>
      <c r="U9" s="1554">
        <f t="shared" si="1"/>
        <v>100</v>
      </c>
      <c r="V9" s="1553" t="s">
        <v>8</v>
      </c>
      <c r="W9" s="1554">
        <f t="shared" si="2"/>
        <v>100</v>
      </c>
      <c r="X9" s="1555"/>
      <c r="Y9" s="3347"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35" t="s">
        <v>540</v>
      </c>
      <c r="Q15" s="1557" t="str">
        <f t="shared" si="6"/>
        <v>产业集聚程度</v>
      </c>
      <c r="R15" s="1558" t="s">
        <v>8</v>
      </c>
      <c r="S15" s="1559">
        <f t="shared" si="0"/>
        <v>100</v>
      </c>
      <c r="T15" s="1558" t="s">
        <v>8</v>
      </c>
      <c r="U15" s="1559">
        <f t="shared" si="1"/>
        <v>100</v>
      </c>
      <c r="V15" s="1558" t="s">
        <v>8</v>
      </c>
      <c r="W15" s="1559">
        <f t="shared" si="2"/>
        <v>100</v>
      </c>
      <c r="X15" s="1552"/>
      <c r="Y15" s="3435"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42.75">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8.5">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6"/>
      <c r="Q25" s="1557">
        <f>B25</f>
        <v>111</v>
      </c>
      <c r="R25" s="1558" t="s">
        <v>8</v>
      </c>
      <c r="S25" s="1559">
        <f>F25</f>
        <v>100</v>
      </c>
      <c r="T25" s="1558" t="s">
        <v>8</v>
      </c>
      <c r="U25" s="1559">
        <f>H25</f>
        <v>100</v>
      </c>
      <c r="V25" s="1558" t="s">
        <v>8</v>
      </c>
      <c r="W25" s="1559">
        <f>J25</f>
        <v>100</v>
      </c>
      <c r="X25" s="1552"/>
      <c r="Y25" s="3436"/>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6"/>
      <c r="Q26" s="1557">
        <f t="shared" ref="Q26:Q40" si="11">B26</f>
        <v>111</v>
      </c>
      <c r="R26" s="1558" t="s">
        <v>8</v>
      </c>
      <c r="S26" s="1559">
        <f>F26</f>
        <v>100</v>
      </c>
      <c r="T26" s="1558" t="s">
        <v>8</v>
      </c>
      <c r="U26" s="1559">
        <f>H26</f>
        <v>100</v>
      </c>
      <c r="V26" s="1558" t="s">
        <v>8</v>
      </c>
      <c r="W26" s="1559">
        <f>J26</f>
        <v>100</v>
      </c>
      <c r="X26" s="1552"/>
      <c r="Y26" s="3436"/>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6"/>
      <c r="Q27" s="1147">
        <f t="shared" si="11"/>
        <v>111</v>
      </c>
      <c r="R27" s="1553" t="s">
        <v>8</v>
      </c>
      <c r="S27" s="1554">
        <f>F27</f>
        <v>100</v>
      </c>
      <c r="T27" s="1553" t="s">
        <v>8</v>
      </c>
      <c r="U27" s="1554">
        <f>H27</f>
        <v>100</v>
      </c>
      <c r="V27" s="1553" t="s">
        <v>8</v>
      </c>
      <c r="W27" s="1554">
        <f>J27</f>
        <v>100</v>
      </c>
      <c r="X27" s="1555"/>
      <c r="Y27" s="3436"/>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36"/>
      <c r="Q28" s="1557">
        <f t="shared" si="11"/>
        <v>111</v>
      </c>
      <c r="R28" s="1558" t="s">
        <v>8</v>
      </c>
      <c r="S28" s="1559">
        <f t="shared" ref="S28:S40" si="12">F28</f>
        <v>100</v>
      </c>
      <c r="T28" s="1558" t="s">
        <v>8</v>
      </c>
      <c r="U28" s="1559">
        <f t="shared" ref="U28:U40" si="13">H28</f>
        <v>100</v>
      </c>
      <c r="V28" s="1558" t="s">
        <v>8</v>
      </c>
      <c r="W28" s="1559">
        <f t="shared" ref="W28:W40" si="14">J28</f>
        <v>100</v>
      </c>
      <c r="X28" s="1552"/>
      <c r="Y28" s="3436"/>
      <c r="Z28" s="1560">
        <f t="shared" ref="Z28:Z40" si="15">Q28</f>
        <v>111</v>
      </c>
      <c r="AA28" s="1561">
        <f t="shared" si="3"/>
        <v>1</v>
      </c>
      <c r="AB28" s="1561">
        <f t="shared" si="4"/>
        <v>1</v>
      </c>
      <c r="AC28" s="1561">
        <f t="shared" si="5"/>
        <v>1</v>
      </c>
    </row>
    <row r="29" spans="1:29" ht="15">
      <c r="A29" s="2861"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37" t="s">
        <v>550</v>
      </c>
      <c r="Q29" s="1557" t="str">
        <f t="shared" si="11"/>
        <v>建筑类型</v>
      </c>
      <c r="R29" s="1558" t="s">
        <v>8</v>
      </c>
      <c r="S29" s="1559">
        <f t="shared" si="12"/>
        <v>100</v>
      </c>
      <c r="T29" s="1558" t="s">
        <v>8</v>
      </c>
      <c r="U29" s="1559">
        <f t="shared" si="13"/>
        <v>100</v>
      </c>
      <c r="V29" s="1558" t="s">
        <v>8</v>
      </c>
      <c r="W29" s="1559">
        <f t="shared" si="14"/>
        <v>100</v>
      </c>
      <c r="X29" s="1552"/>
      <c r="Y29" s="3438"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8"/>
      <c r="Q30" s="1589" t="str">
        <f t="shared" si="11"/>
        <v>项目建筑规模</v>
      </c>
      <c r="R30" s="1562" t="s">
        <v>8</v>
      </c>
      <c r="S30" s="1563" t="e">
        <f t="shared" si="12"/>
        <v>#N/A</v>
      </c>
      <c r="T30" s="1562" t="s">
        <v>8</v>
      </c>
      <c r="U30" s="1563" t="e">
        <f t="shared" si="13"/>
        <v>#N/A</v>
      </c>
      <c r="V30" s="1562" t="s">
        <v>8</v>
      </c>
      <c r="W30" s="1563" t="e">
        <f t="shared" si="14"/>
        <v>#N/A</v>
      </c>
      <c r="X30" s="1564"/>
      <c r="Y30" s="3438"/>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8"/>
      <c r="Q31" s="1557" t="str">
        <f t="shared" si="11"/>
        <v>建筑结构</v>
      </c>
      <c r="R31" s="1558" t="s">
        <v>8</v>
      </c>
      <c r="S31" s="1559">
        <f t="shared" si="12"/>
        <v>100</v>
      </c>
      <c r="T31" s="1558" t="s">
        <v>8</v>
      </c>
      <c r="U31" s="1559">
        <f t="shared" si="13"/>
        <v>100</v>
      </c>
      <c r="V31" s="1558" t="s">
        <v>8</v>
      </c>
      <c r="W31" s="1559">
        <f t="shared" si="14"/>
        <v>100</v>
      </c>
      <c r="X31" s="1552"/>
      <c r="Y31" s="3438"/>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8"/>
      <c r="Q32" s="1557" t="str">
        <f t="shared" si="11"/>
        <v>公共部分装修</v>
      </c>
      <c r="R32" s="1558" t="s">
        <v>8</v>
      </c>
      <c r="S32" s="1559">
        <f t="shared" si="12"/>
        <v>100</v>
      </c>
      <c r="T32" s="1558" t="s">
        <v>8</v>
      </c>
      <c r="U32" s="1559">
        <f t="shared" si="13"/>
        <v>100</v>
      </c>
      <c r="V32" s="1558" t="s">
        <v>8</v>
      </c>
      <c r="W32" s="1559">
        <f t="shared" si="14"/>
        <v>100</v>
      </c>
      <c r="X32" s="1552"/>
      <c r="Y32" s="3438"/>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38"/>
      <c r="Q33" s="1557" t="str">
        <f t="shared" si="11"/>
        <v>成新度</v>
      </c>
      <c r="R33" s="1558" t="s">
        <v>8</v>
      </c>
      <c r="S33" s="1559" t="e">
        <f t="shared" si="12"/>
        <v>#N/A</v>
      </c>
      <c r="T33" s="1558" t="s">
        <v>8</v>
      </c>
      <c r="U33" s="1559" t="e">
        <f t="shared" si="13"/>
        <v>#N/A</v>
      </c>
      <c r="V33" s="1558" t="s">
        <v>8</v>
      </c>
      <c r="W33" s="1559" t="e">
        <f t="shared" si="14"/>
        <v>#N/A</v>
      </c>
      <c r="X33" s="1552"/>
      <c r="Y33" s="3438"/>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8"/>
      <c r="Q34" s="1147" t="str">
        <f t="shared" si="11"/>
        <v>物业管理</v>
      </c>
      <c r="R34" s="1553" t="s">
        <v>8</v>
      </c>
      <c r="S34" s="1554">
        <f t="shared" si="12"/>
        <v>100</v>
      </c>
      <c r="T34" s="1553" t="s">
        <v>8</v>
      </c>
      <c r="U34" s="1554">
        <f t="shared" si="13"/>
        <v>100</v>
      </c>
      <c r="V34" s="1553" t="s">
        <v>8</v>
      </c>
      <c r="W34" s="1554">
        <f t="shared" si="14"/>
        <v>100</v>
      </c>
      <c r="X34" s="1555"/>
      <c r="Y34" s="3438"/>
      <c r="Z34" s="1146"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8" t="s">
        <v>550</v>
      </c>
      <c r="Q35" s="1557" t="str">
        <f t="shared" si="11"/>
        <v>市政基础设施</v>
      </c>
      <c r="R35" s="1558" t="s">
        <v>8</v>
      </c>
      <c r="S35" s="1559">
        <f t="shared" si="12"/>
        <v>100</v>
      </c>
      <c r="T35" s="1558" t="s">
        <v>8</v>
      </c>
      <c r="U35" s="1559">
        <f t="shared" si="13"/>
        <v>100</v>
      </c>
      <c r="V35" s="1558" t="s">
        <v>8</v>
      </c>
      <c r="W35" s="1559">
        <f t="shared" si="14"/>
        <v>100</v>
      </c>
      <c r="X35" s="1552"/>
      <c r="Y35" s="3438"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8"/>
      <c r="Q36" s="1557" t="str">
        <f t="shared" si="11"/>
        <v>内部装修</v>
      </c>
      <c r="R36" s="1558" t="s">
        <v>8</v>
      </c>
      <c r="S36" s="1559">
        <f t="shared" si="12"/>
        <v>100</v>
      </c>
      <c r="T36" s="1558" t="s">
        <v>8</v>
      </c>
      <c r="U36" s="1559">
        <f t="shared" si="13"/>
        <v>100</v>
      </c>
      <c r="V36" s="1558" t="s">
        <v>8</v>
      </c>
      <c r="W36" s="1559">
        <f t="shared" si="14"/>
        <v>100</v>
      </c>
      <c r="X36" s="1552"/>
      <c r="Y36" s="3438"/>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8"/>
      <c r="Q37" s="1557" t="str">
        <f t="shared" si="11"/>
        <v>内部装修状况</v>
      </c>
      <c r="R37" s="1558" t="s">
        <v>8</v>
      </c>
      <c r="S37" s="1559">
        <f t="shared" si="12"/>
        <v>100</v>
      </c>
      <c r="T37" s="1558" t="s">
        <v>8</v>
      </c>
      <c r="U37" s="1559">
        <f t="shared" si="13"/>
        <v>100</v>
      </c>
      <c r="V37" s="1558" t="s">
        <v>8</v>
      </c>
      <c r="W37" s="1559">
        <f t="shared" si="14"/>
        <v>100</v>
      </c>
      <c r="X37" s="1552"/>
      <c r="Y37" s="3438"/>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38"/>
      <c r="Q38" s="1589">
        <f t="shared" si="11"/>
        <v>111</v>
      </c>
      <c r="R38" s="1562" t="s">
        <v>8</v>
      </c>
      <c r="S38" s="1563">
        <f t="shared" si="12"/>
        <v>100</v>
      </c>
      <c r="T38" s="1562" t="s">
        <v>8</v>
      </c>
      <c r="U38" s="1563">
        <f t="shared" si="13"/>
        <v>100</v>
      </c>
      <c r="V38" s="1562" t="s">
        <v>8</v>
      </c>
      <c r="W38" s="1563">
        <f t="shared" si="14"/>
        <v>100</v>
      </c>
      <c r="X38" s="1564"/>
      <c r="Y38" s="3438"/>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38"/>
      <c r="Q39" s="1557">
        <f t="shared" si="11"/>
        <v>111</v>
      </c>
      <c r="R39" s="1558" t="s">
        <v>8</v>
      </c>
      <c r="S39" s="1559">
        <f t="shared" si="12"/>
        <v>100</v>
      </c>
      <c r="T39" s="1558" t="s">
        <v>8</v>
      </c>
      <c r="U39" s="1559">
        <f t="shared" si="13"/>
        <v>100</v>
      </c>
      <c r="V39" s="1558" t="s">
        <v>8</v>
      </c>
      <c r="W39" s="1559">
        <f t="shared" si="14"/>
        <v>100</v>
      </c>
      <c r="X39" s="1552"/>
      <c r="Y39" s="3438"/>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6"/>
      <c r="Q40" s="1557">
        <f t="shared" si="11"/>
        <v>111</v>
      </c>
      <c r="R40" s="1558" t="s">
        <v>8</v>
      </c>
      <c r="S40" s="1559">
        <f t="shared" si="12"/>
        <v>100</v>
      </c>
      <c r="T40" s="1558" t="s">
        <v>8</v>
      </c>
      <c r="U40" s="1559">
        <f t="shared" si="13"/>
        <v>100</v>
      </c>
      <c r="V40" s="1558" t="s">
        <v>8</v>
      </c>
      <c r="W40" s="1559">
        <f t="shared" si="14"/>
        <v>100</v>
      </c>
      <c r="X40" s="1552"/>
      <c r="Y40" s="3496"/>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401" t="str">
        <f>A41</f>
        <v>成交单价（元/平方米）</v>
      </c>
      <c r="Q41" s="3401"/>
      <c r="R41" s="3495">
        <f>E41</f>
        <v>0</v>
      </c>
      <c r="S41" s="3495"/>
      <c r="T41" s="3495">
        <f>G41</f>
        <v>0</v>
      </c>
      <c r="U41" s="3495"/>
      <c r="V41" s="3495">
        <f>I41</f>
        <v>0</v>
      </c>
      <c r="W41" s="3495"/>
      <c r="X41" s="1544"/>
      <c r="Y41" s="1566"/>
      <c r="Z41" s="1544"/>
      <c r="AA41" s="1544"/>
      <c r="AB41" s="1544"/>
      <c r="AC41" s="1544"/>
    </row>
    <row r="42" spans="1:29" ht="15.75" thickBot="1">
      <c r="A42" s="615" t="s">
        <v>2759</v>
      </c>
      <c r="B42" s="888"/>
      <c r="C42" s="2596" t="e">
        <f>R43</f>
        <v>#DIV/0!</v>
      </c>
      <c r="D42" s="2597"/>
      <c r="E42" s="2598" t="e">
        <f>R42</f>
        <v>#DIV/0!</v>
      </c>
      <c r="F42" s="2598"/>
      <c r="G42" s="2596" t="e">
        <f>T42</f>
        <v>#DIV/0!</v>
      </c>
      <c r="H42" s="2597"/>
      <c r="I42" s="2598" t="e">
        <f>V42</f>
        <v>#DIV/0!</v>
      </c>
      <c r="J42" s="2597"/>
      <c r="K42" s="1596"/>
      <c r="L42" s="2128"/>
      <c r="M42" s="2129"/>
      <c r="N42" s="2118"/>
      <c r="O42" s="2129"/>
      <c r="P42" s="3401" t="str">
        <f>A42</f>
        <v>比较价格（元/平方米）</v>
      </c>
      <c r="Q42" s="340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75" thickBot="1">
      <c r="A43" s="621" t="s">
        <v>2934</v>
      </c>
      <c r="B43" s="622"/>
      <c r="C43" s="2599" t="e">
        <f>R43</f>
        <v>#DIV/0!</v>
      </c>
      <c r="D43" s="2599"/>
      <c r="E43" s="2599"/>
      <c r="F43" s="2599"/>
      <c r="G43" s="2599"/>
      <c r="H43" s="2599"/>
      <c r="I43" s="2599"/>
      <c r="J43" s="2599"/>
      <c r="K43" s="1597"/>
      <c r="L43" s="2128"/>
      <c r="M43" s="2129"/>
      <c r="N43" s="2129"/>
      <c r="O43" s="2129"/>
      <c r="P43" s="3398" t="str">
        <f>A43</f>
        <v>估价对象XX用房的比较价格（楼面单价，元/平方米）</v>
      </c>
      <c r="Q43" s="3399"/>
      <c r="R43" s="3494" t="e">
        <f>IF(F1="售价",ROUND(AVERAGE(R42:V42),0),ROUND(AVERAGE(R42:V42),1))</f>
        <v>#DIV/0!</v>
      </c>
      <c r="S43" s="3494"/>
      <c r="T43" s="3494"/>
      <c r="U43" s="3494"/>
      <c r="V43" s="3494"/>
      <c r="W43" s="349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2558</v>
      </c>
      <c r="C76" s="2561" t="s">
        <v>2559</v>
      </c>
      <c r="D76" s="2561" t="s">
        <v>2560</v>
      </c>
      <c r="E76" s="2561" t="s">
        <v>2561</v>
      </c>
      <c r="F76" s="2561" t="s">
        <v>2562</v>
      </c>
      <c r="G76" s="2561" t="s">
        <v>2563</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93.75">
      <c r="A7" s="2827" t="s">
        <v>2747</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7" t="s">
        <v>798</v>
      </c>
      <c r="D4" s="3408"/>
      <c r="E4" s="3407" t="s">
        <v>799</v>
      </c>
      <c r="F4" s="3408"/>
      <c r="G4" s="3407" t="s">
        <v>800</v>
      </c>
      <c r="H4" s="3408"/>
      <c r="I4" s="3407" t="s">
        <v>801</v>
      </c>
      <c r="J4" s="3408"/>
      <c r="K4" s="514" t="s">
        <v>802</v>
      </c>
      <c r="L4" s="2117"/>
      <c r="M4" s="2118"/>
      <c r="N4" s="2118"/>
      <c r="O4" s="2118"/>
      <c r="P4" s="3409" t="s">
        <v>803</v>
      </c>
      <c r="Q4" s="3410"/>
      <c r="R4" s="3415" t="s">
        <v>799</v>
      </c>
      <c r="S4" s="3416"/>
      <c r="T4" s="3415" t="s">
        <v>800</v>
      </c>
      <c r="U4" s="3416"/>
      <c r="V4" s="3402" t="s">
        <v>801</v>
      </c>
      <c r="W4" s="3402"/>
      <c r="X4" s="1552"/>
      <c r="Y4" s="3415" t="s">
        <v>803</v>
      </c>
      <c r="Z4" s="3416"/>
      <c r="AA4" s="3404" t="s">
        <v>799</v>
      </c>
      <c r="AB4" s="3405" t="s">
        <v>800</v>
      </c>
      <c r="AC4" s="3404" t="s">
        <v>801</v>
      </c>
    </row>
    <row r="5" spans="1:29" ht="15">
      <c r="A5" s="515"/>
      <c r="B5" s="516"/>
      <c r="C5" s="3423" t="s">
        <v>2928</v>
      </c>
      <c r="D5" s="3424"/>
      <c r="E5" s="3423" t="s">
        <v>2929</v>
      </c>
      <c r="F5" s="342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25" t="s">
        <v>2932</v>
      </c>
      <c r="F6" s="3426"/>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6" si="3">D8/F8</f>
        <v>#DIV/0!</v>
      </c>
      <c r="AB8" s="1556" t="e">
        <f t="shared" ref="AB8:AB36" si="4">D8/H8</f>
        <v>#DIV/0!</v>
      </c>
      <c r="AC8" s="1556"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1" t="s">
        <v>535</v>
      </c>
      <c r="Q9" s="1147" t="str">
        <f t="shared" ref="Q9:Q14" si="6">B9</f>
        <v>用途</v>
      </c>
      <c r="R9" s="1553" t="s">
        <v>8</v>
      </c>
      <c r="S9" s="1554">
        <f t="shared" si="0"/>
        <v>100</v>
      </c>
      <c r="T9" s="1553" t="s">
        <v>8</v>
      </c>
      <c r="U9" s="1554">
        <f t="shared" si="1"/>
        <v>100</v>
      </c>
      <c r="V9" s="1553" t="s">
        <v>8</v>
      </c>
      <c r="W9" s="1554">
        <f t="shared" si="2"/>
        <v>100</v>
      </c>
      <c r="X9" s="1555"/>
      <c r="Y9" s="3347"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15"/>
      <c r="B16" s="256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15"/>
      <c r="B18" s="255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6"/>
      <c r="Q24" s="1557">
        <f t="shared" ref="Q24:Q36"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8"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38"/>
      <c r="Q27" s="1589" t="str">
        <f t="shared" si="11"/>
        <v>项目停车位配比</v>
      </c>
      <c r="R27" s="1562" t="s">
        <v>8</v>
      </c>
      <c r="S27" s="1563">
        <f t="shared" si="12"/>
        <v>100</v>
      </c>
      <c r="T27" s="1562" t="s">
        <v>8</v>
      </c>
      <c r="U27" s="1563">
        <f t="shared" si="13"/>
        <v>100</v>
      </c>
      <c r="V27" s="1562" t="s">
        <v>8</v>
      </c>
      <c r="W27" s="1563">
        <f t="shared" si="14"/>
        <v>100</v>
      </c>
      <c r="X27" s="1564"/>
      <c r="Y27" s="3438"/>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8"/>
      <c r="Q28" s="1557" t="str">
        <f t="shared" si="11"/>
        <v>公共部分装修</v>
      </c>
      <c r="R28" s="1558" t="s">
        <v>8</v>
      </c>
      <c r="S28" s="1559">
        <f t="shared" si="12"/>
        <v>100</v>
      </c>
      <c r="T28" s="1558" t="s">
        <v>8</v>
      </c>
      <c r="U28" s="1559">
        <f t="shared" si="13"/>
        <v>100</v>
      </c>
      <c r="V28" s="1558" t="s">
        <v>8</v>
      </c>
      <c r="W28" s="1559">
        <f t="shared" si="14"/>
        <v>100</v>
      </c>
      <c r="X28" s="1552"/>
      <c r="Y28" s="3438"/>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38"/>
      <c r="Q29" s="1557" t="str">
        <f t="shared" si="11"/>
        <v>成新率</v>
      </c>
      <c r="R29" s="1558" t="s">
        <v>8</v>
      </c>
      <c r="S29" s="1559" t="e">
        <f t="shared" si="12"/>
        <v>#N/A</v>
      </c>
      <c r="T29" s="1558" t="s">
        <v>8</v>
      </c>
      <c r="U29" s="1559" t="e">
        <f t="shared" si="13"/>
        <v>#N/A</v>
      </c>
      <c r="V29" s="1558" t="s">
        <v>8</v>
      </c>
      <c r="W29" s="1559" t="e">
        <f t="shared" si="14"/>
        <v>#N/A</v>
      </c>
      <c r="X29" s="1552"/>
      <c r="Y29" s="3438"/>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38"/>
      <c r="Q30" s="1557" t="str">
        <f t="shared" si="11"/>
        <v>物业等级</v>
      </c>
      <c r="R30" s="1558" t="s">
        <v>8</v>
      </c>
      <c r="S30" s="1559">
        <f t="shared" si="12"/>
        <v>100</v>
      </c>
      <c r="T30" s="1558" t="s">
        <v>8</v>
      </c>
      <c r="U30" s="1559">
        <f t="shared" si="13"/>
        <v>100</v>
      </c>
      <c r="V30" s="1558" t="s">
        <v>8</v>
      </c>
      <c r="W30" s="1559">
        <f t="shared" si="14"/>
        <v>100</v>
      </c>
      <c r="X30" s="1552"/>
      <c r="Y30" s="3438"/>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38"/>
      <c r="Q31" s="1147" t="str">
        <f t="shared" si="11"/>
        <v>停车位面积</v>
      </c>
      <c r="R31" s="1553" t="s">
        <v>8</v>
      </c>
      <c r="S31" s="1554" t="e">
        <f t="shared" si="12"/>
        <v>#N/A</v>
      </c>
      <c r="T31" s="1553" t="s">
        <v>8</v>
      </c>
      <c r="U31" s="1554" t="e">
        <f t="shared" si="13"/>
        <v>#N/A</v>
      </c>
      <c r="V31" s="1553" t="s">
        <v>8</v>
      </c>
      <c r="W31" s="1554" t="e">
        <f t="shared" si="14"/>
        <v>#N/A</v>
      </c>
      <c r="X31" s="1555"/>
      <c r="Y31" s="3438"/>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8" t="s">
        <v>550</v>
      </c>
      <c r="Q32" s="1557" t="str">
        <f t="shared" si="11"/>
        <v>车位类型</v>
      </c>
      <c r="R32" s="1558" t="s">
        <v>8</v>
      </c>
      <c r="S32" s="1559">
        <f t="shared" si="12"/>
        <v>100</v>
      </c>
      <c r="T32" s="1558" t="s">
        <v>8</v>
      </c>
      <c r="U32" s="1559">
        <f t="shared" si="13"/>
        <v>100</v>
      </c>
      <c r="V32" s="1558" t="s">
        <v>8</v>
      </c>
      <c r="W32" s="1559">
        <f t="shared" si="14"/>
        <v>100</v>
      </c>
      <c r="X32" s="1552"/>
      <c r="Y32" s="3438"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8"/>
      <c r="Q33" s="1557" t="str">
        <f t="shared" si="11"/>
        <v>是否直接入户</v>
      </c>
      <c r="R33" s="1558" t="s">
        <v>8</v>
      </c>
      <c r="S33" s="1559">
        <f t="shared" si="12"/>
        <v>100</v>
      </c>
      <c r="T33" s="1558" t="s">
        <v>8</v>
      </c>
      <c r="U33" s="1559">
        <f t="shared" si="13"/>
        <v>100</v>
      </c>
      <c r="V33" s="1558" t="s">
        <v>8</v>
      </c>
      <c r="W33" s="1559">
        <f t="shared" si="14"/>
        <v>100</v>
      </c>
      <c r="X33" s="1552"/>
      <c r="Y33" s="3438"/>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8"/>
      <c r="Q35" s="1589">
        <f t="shared" si="11"/>
        <v>111</v>
      </c>
      <c r="R35" s="1562" t="s">
        <v>8</v>
      </c>
      <c r="S35" s="1563">
        <f t="shared" si="12"/>
        <v>100</v>
      </c>
      <c r="T35" s="1562" t="s">
        <v>8</v>
      </c>
      <c r="U35" s="1563">
        <f t="shared" si="13"/>
        <v>100</v>
      </c>
      <c r="V35" s="1562" t="s">
        <v>8</v>
      </c>
      <c r="W35" s="1563">
        <f t="shared" si="14"/>
        <v>100</v>
      </c>
      <c r="X35" s="1564"/>
      <c r="Y35" s="3438"/>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8"/>
      <c r="Q36" s="1557">
        <f t="shared" si="11"/>
        <v>111</v>
      </c>
      <c r="R36" s="1558" t="s">
        <v>8</v>
      </c>
      <c r="S36" s="1559">
        <f t="shared" si="12"/>
        <v>100</v>
      </c>
      <c r="T36" s="1558" t="s">
        <v>8</v>
      </c>
      <c r="U36" s="1559">
        <f t="shared" si="13"/>
        <v>100</v>
      </c>
      <c r="V36" s="1558" t="s">
        <v>8</v>
      </c>
      <c r="W36" s="1559">
        <f t="shared" si="14"/>
        <v>100</v>
      </c>
      <c r="X36" s="1552"/>
      <c r="Y36" s="3438"/>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401" t="str">
        <f>A37</f>
        <v>成交单价</v>
      </c>
      <c r="Q37" s="3401"/>
      <c r="R37" s="3495">
        <f>E37</f>
        <v>0</v>
      </c>
      <c r="S37" s="3495"/>
      <c r="T37" s="3495">
        <f>G37</f>
        <v>0</v>
      </c>
      <c r="U37" s="3495"/>
      <c r="V37" s="3495">
        <f>I37</f>
        <v>0</v>
      </c>
      <c r="W37" s="3495"/>
      <c r="X37" s="1544"/>
      <c r="Y37" s="1566"/>
      <c r="Z37" s="1544"/>
      <c r="AA37" s="1544"/>
      <c r="AB37" s="1544"/>
      <c r="AC37" s="1544"/>
    </row>
    <row r="38" spans="1:29" ht="15.75" thickBot="1">
      <c r="A38" s="615" t="s">
        <v>2759</v>
      </c>
      <c r="B38" s="888"/>
      <c r="C38" s="2596" t="e">
        <f>R39</f>
        <v>#DIV/0!</v>
      </c>
      <c r="D38" s="2597"/>
      <c r="E38" s="2598" t="e">
        <f>R38</f>
        <v>#DIV/0!</v>
      </c>
      <c r="F38" s="2598"/>
      <c r="G38" s="2596" t="e">
        <f>T38</f>
        <v>#DIV/0!</v>
      </c>
      <c r="H38" s="2597"/>
      <c r="I38" s="2598" t="e">
        <f>V38</f>
        <v>#DIV/0!</v>
      </c>
      <c r="J38" s="2597"/>
      <c r="K38" s="1596"/>
      <c r="L38" s="2128"/>
      <c r="M38" s="2129"/>
      <c r="N38" s="2129"/>
      <c r="O38" s="2129"/>
      <c r="P38" s="3401" t="str">
        <f>A38</f>
        <v>比较价格（元/平方米）</v>
      </c>
      <c r="Q38" s="340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75" thickBot="1">
      <c r="A39" s="621" t="s">
        <v>2934</v>
      </c>
      <c r="B39" s="622"/>
      <c r="C39" s="2599" t="e">
        <f>R39</f>
        <v>#DIV/0!</v>
      </c>
      <c r="D39" s="2599"/>
      <c r="E39" s="2599"/>
      <c r="F39" s="2599"/>
      <c r="G39" s="2599"/>
      <c r="H39" s="2599"/>
      <c r="I39" s="2599"/>
      <c r="J39" s="2599"/>
      <c r="K39" s="1597"/>
      <c r="L39" s="2128"/>
      <c r="M39" s="2129"/>
      <c r="N39" s="2129"/>
      <c r="O39" s="2129"/>
      <c r="P39" s="3398" t="str">
        <f>A39</f>
        <v>估价对象XX用房的比较价格（楼面单价，元/平方米）</v>
      </c>
      <c r="Q39" s="3399"/>
      <c r="R39" s="3494" t="e">
        <f>IF(F1="售价",ROUND(AVERAGE(R38:V38),0),ROUND(AVERAGE(R38:V38),1))</f>
        <v>#DIV/0!</v>
      </c>
      <c r="S39" s="3494"/>
      <c r="T39" s="3494"/>
      <c r="U39" s="3494"/>
      <c r="V39" s="3494"/>
      <c r="W39" s="349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7" t="s">
        <v>798</v>
      </c>
      <c r="D4" s="3408"/>
      <c r="E4" s="3441" t="s">
        <v>799</v>
      </c>
      <c r="F4" s="3442"/>
      <c r="G4" s="3407" t="s">
        <v>800</v>
      </c>
      <c r="H4" s="3408"/>
      <c r="I4" s="3407" t="s">
        <v>801</v>
      </c>
      <c r="J4" s="3408"/>
      <c r="K4" s="514" t="s">
        <v>802</v>
      </c>
      <c r="L4" s="2117"/>
      <c r="M4" s="2118"/>
      <c r="N4" s="2118"/>
      <c r="O4" s="2118"/>
      <c r="P4" s="3409" t="s">
        <v>803</v>
      </c>
      <c r="Q4" s="3410"/>
      <c r="R4" s="3415" t="s">
        <v>799</v>
      </c>
      <c r="S4" s="3416"/>
      <c r="T4" s="3415" t="s">
        <v>800</v>
      </c>
      <c r="U4" s="3416"/>
      <c r="V4" s="3402" t="s">
        <v>801</v>
      </c>
      <c r="W4" s="3402"/>
      <c r="X4" s="1552"/>
      <c r="Y4" s="3415" t="s">
        <v>803</v>
      </c>
      <c r="Z4" s="3416"/>
      <c r="AA4" s="3404" t="s">
        <v>799</v>
      </c>
      <c r="AB4" s="3405" t="s">
        <v>800</v>
      </c>
      <c r="AC4" s="3404" t="s">
        <v>801</v>
      </c>
    </row>
    <row r="5" spans="1:29" ht="15">
      <c r="A5" s="515"/>
      <c r="B5" s="516"/>
      <c r="C5" s="3423" t="s">
        <v>2928</v>
      </c>
      <c r="D5" s="3424"/>
      <c r="E5" s="3443" t="s">
        <v>2929</v>
      </c>
      <c r="F5" s="3444"/>
      <c r="G5" s="3423" t="s">
        <v>2930</v>
      </c>
      <c r="H5" s="3424"/>
      <c r="I5" s="3423" t="s">
        <v>2931</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2932</v>
      </c>
      <c r="D6" s="3422"/>
      <c r="E6" s="3439" t="s">
        <v>2932</v>
      </c>
      <c r="F6" s="3440"/>
      <c r="G6" s="3421" t="s">
        <v>2932</v>
      </c>
      <c r="H6" s="3422"/>
      <c r="I6" s="3421" t="s">
        <v>2932</v>
      </c>
      <c r="J6" s="3422"/>
      <c r="K6" s="514" t="s">
        <v>528</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529</v>
      </c>
      <c r="C7" s="519">
        <f>'数据-取费表'!B2</f>
        <v>43689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2" t="s">
        <v>530</v>
      </c>
      <c r="Q7" s="3434"/>
      <c r="R7" s="1553" t="s">
        <v>8</v>
      </c>
      <c r="S7" s="1554">
        <f t="shared" ref="S7:S14" si="0">F7</f>
        <v>0</v>
      </c>
      <c r="T7" s="1553" t="s">
        <v>8</v>
      </c>
      <c r="U7" s="1554">
        <f t="shared" ref="U7:U14" si="1">H7</f>
        <v>0</v>
      </c>
      <c r="V7" s="1553" t="s">
        <v>8</v>
      </c>
      <c r="W7" s="1554">
        <f t="shared" ref="W7:W14" si="2">J7</f>
        <v>0</v>
      </c>
      <c r="X7" s="1555"/>
      <c r="Y7" s="3432" t="s">
        <v>530</v>
      </c>
      <c r="Z7" s="3433"/>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2" t="s">
        <v>533</v>
      </c>
      <c r="Q8" s="3433"/>
      <c r="R8" s="1553" t="s">
        <v>8</v>
      </c>
      <c r="S8" s="1554">
        <f t="shared" si="0"/>
        <v>0</v>
      </c>
      <c r="T8" s="1553" t="s">
        <v>8</v>
      </c>
      <c r="U8" s="1554">
        <f t="shared" si="1"/>
        <v>0</v>
      </c>
      <c r="V8" s="1553" t="s">
        <v>8</v>
      </c>
      <c r="W8" s="1554">
        <f t="shared" si="2"/>
        <v>0</v>
      </c>
      <c r="X8" s="1555"/>
      <c r="Y8" s="3432" t="s">
        <v>533</v>
      </c>
      <c r="Z8" s="3433"/>
      <c r="AA8" s="1556" t="e">
        <f t="shared" ref="AA8:AA34" si="3">D8/F8</f>
        <v>#DIV/0!</v>
      </c>
      <c r="AB8" s="1556" t="e">
        <f t="shared" ref="AB8:AB34" si="4">D8/H8</f>
        <v>#DIV/0!</v>
      </c>
      <c r="AC8" s="1556"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1" t="s">
        <v>535</v>
      </c>
      <c r="Q9" s="1147" t="str">
        <f t="shared" ref="Q9:Q14" si="6">B9</f>
        <v>用途</v>
      </c>
      <c r="R9" s="1553" t="s">
        <v>8</v>
      </c>
      <c r="S9" s="1554">
        <f t="shared" si="0"/>
        <v>100</v>
      </c>
      <c r="T9" s="1553" t="s">
        <v>8</v>
      </c>
      <c r="U9" s="1554">
        <f t="shared" si="1"/>
        <v>100</v>
      </c>
      <c r="V9" s="1553" t="s">
        <v>8</v>
      </c>
      <c r="W9" s="1554">
        <f t="shared" si="2"/>
        <v>100</v>
      </c>
      <c r="X9" s="1555"/>
      <c r="Y9" s="3347"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35" t="s">
        <v>540</v>
      </c>
      <c r="Q14" s="1557" t="str">
        <f t="shared" si="6"/>
        <v>交通便捷度</v>
      </c>
      <c r="R14" s="1558" t="s">
        <v>8</v>
      </c>
      <c r="S14" s="1559">
        <f t="shared" si="0"/>
        <v>100</v>
      </c>
      <c r="T14" s="1558" t="s">
        <v>8</v>
      </c>
      <c r="U14" s="1559">
        <f t="shared" si="1"/>
        <v>100</v>
      </c>
      <c r="V14" s="1558" t="s">
        <v>8</v>
      </c>
      <c r="W14" s="1559">
        <f t="shared" si="2"/>
        <v>100</v>
      </c>
      <c r="X14" s="1552"/>
      <c r="Y14" s="3435"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42.75">
      <c r="A16" s="532"/>
      <c r="B16" s="256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28.5">
      <c r="A18" s="532"/>
      <c r="B18" s="255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6"/>
      <c r="Q24" s="1557">
        <f t="shared" ref="Q24:Q34"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3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8"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38"/>
      <c r="Q27" s="1589" t="str">
        <f t="shared" si="11"/>
        <v>成新率</v>
      </c>
      <c r="R27" s="1562" t="s">
        <v>8</v>
      </c>
      <c r="S27" s="1563" t="e">
        <f t="shared" si="12"/>
        <v>#N/A</v>
      </c>
      <c r="T27" s="1562" t="s">
        <v>8</v>
      </c>
      <c r="U27" s="1563" t="e">
        <f t="shared" si="13"/>
        <v>#N/A</v>
      </c>
      <c r="V27" s="1562" t="s">
        <v>8</v>
      </c>
      <c r="W27" s="1563" t="e">
        <f t="shared" si="14"/>
        <v>#N/A</v>
      </c>
      <c r="X27" s="1564"/>
      <c r="Y27" s="3438"/>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8"/>
      <c r="Q28" s="1557" t="str">
        <f t="shared" si="11"/>
        <v>物业等级</v>
      </c>
      <c r="R28" s="1558" t="s">
        <v>8</v>
      </c>
      <c r="S28" s="1559">
        <f t="shared" si="12"/>
        <v>100</v>
      </c>
      <c r="T28" s="1558" t="s">
        <v>8</v>
      </c>
      <c r="U28" s="1559">
        <f t="shared" si="13"/>
        <v>100</v>
      </c>
      <c r="V28" s="1558" t="s">
        <v>8</v>
      </c>
      <c r="W28" s="1559">
        <f t="shared" si="14"/>
        <v>100</v>
      </c>
      <c r="X28" s="1552"/>
      <c r="Y28" s="3438"/>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38"/>
      <c r="Q29" s="1557" t="str">
        <f t="shared" si="11"/>
        <v>有无电梯</v>
      </c>
      <c r="R29" s="1558" t="s">
        <v>8</v>
      </c>
      <c r="S29" s="1559">
        <f t="shared" si="12"/>
        <v>100</v>
      </c>
      <c r="T29" s="1558" t="s">
        <v>8</v>
      </c>
      <c r="U29" s="1559">
        <f t="shared" si="13"/>
        <v>100</v>
      </c>
      <c r="V29" s="1558" t="s">
        <v>8</v>
      </c>
      <c r="W29" s="1559">
        <f t="shared" si="14"/>
        <v>100</v>
      </c>
      <c r="X29" s="1552"/>
      <c r="Y29" s="3438"/>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38"/>
      <c r="Q30" s="1557" t="str">
        <f t="shared" si="11"/>
        <v>建筑面积</v>
      </c>
      <c r="R30" s="1558" t="s">
        <v>8</v>
      </c>
      <c r="S30" s="1559" t="e">
        <f t="shared" si="12"/>
        <v>#N/A</v>
      </c>
      <c r="T30" s="1558" t="s">
        <v>8</v>
      </c>
      <c r="U30" s="1559" t="e">
        <f t="shared" si="13"/>
        <v>#N/A</v>
      </c>
      <c r="V30" s="1558" t="s">
        <v>8</v>
      </c>
      <c r="W30" s="1559" t="e">
        <f t="shared" si="14"/>
        <v>#N/A</v>
      </c>
      <c r="X30" s="1552"/>
      <c r="Y30" s="3438"/>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38"/>
      <c r="Q31" s="1147" t="str">
        <f t="shared" si="11"/>
        <v>是否封闭</v>
      </c>
      <c r="R31" s="1553" t="s">
        <v>8</v>
      </c>
      <c r="S31" s="1554">
        <f t="shared" si="12"/>
        <v>100</v>
      </c>
      <c r="T31" s="1553" t="s">
        <v>8</v>
      </c>
      <c r="U31" s="1554">
        <f t="shared" si="13"/>
        <v>100</v>
      </c>
      <c r="V31" s="1553" t="s">
        <v>8</v>
      </c>
      <c r="W31" s="1554">
        <f t="shared" si="14"/>
        <v>100</v>
      </c>
      <c r="X31" s="1555"/>
      <c r="Y31" s="3438"/>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38" t="s">
        <v>550</v>
      </c>
      <c r="Q32" s="1557">
        <f t="shared" si="11"/>
        <v>111</v>
      </c>
      <c r="R32" s="1558" t="s">
        <v>8</v>
      </c>
      <c r="S32" s="1559">
        <f t="shared" si="12"/>
        <v>100</v>
      </c>
      <c r="T32" s="1558" t="s">
        <v>8</v>
      </c>
      <c r="U32" s="1559">
        <f t="shared" si="13"/>
        <v>100</v>
      </c>
      <c r="V32" s="1558" t="s">
        <v>8</v>
      </c>
      <c r="W32" s="1559">
        <f t="shared" si="14"/>
        <v>100</v>
      </c>
      <c r="X32" s="1552"/>
      <c r="Y32" s="3438"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38"/>
      <c r="Q33" s="1557">
        <f t="shared" si="11"/>
        <v>111</v>
      </c>
      <c r="R33" s="1558" t="s">
        <v>8</v>
      </c>
      <c r="S33" s="1559">
        <f t="shared" si="12"/>
        <v>100</v>
      </c>
      <c r="T33" s="1558" t="s">
        <v>8</v>
      </c>
      <c r="U33" s="1559">
        <f t="shared" si="13"/>
        <v>100</v>
      </c>
      <c r="V33" s="1558" t="s">
        <v>8</v>
      </c>
      <c r="W33" s="1559">
        <f t="shared" si="14"/>
        <v>100</v>
      </c>
      <c r="X33" s="1552"/>
      <c r="Y33" s="3438"/>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401" t="str">
        <f>A35</f>
        <v>成交单价（元/平方米）</v>
      </c>
      <c r="Q35" s="3401"/>
      <c r="R35" s="3495">
        <f>E35</f>
        <v>0</v>
      </c>
      <c r="S35" s="3495"/>
      <c r="T35" s="3495">
        <f>G35</f>
        <v>0</v>
      </c>
      <c r="U35" s="3495"/>
      <c r="V35" s="3495">
        <f>I35</f>
        <v>0</v>
      </c>
      <c r="W35" s="3495"/>
      <c r="X35" s="1544"/>
      <c r="Y35" s="1566"/>
      <c r="Z35" s="1544"/>
      <c r="AA35" s="1544"/>
      <c r="AB35" s="1544"/>
      <c r="AC35" s="1544"/>
    </row>
    <row r="36" spans="1:29" ht="15.75" thickBot="1">
      <c r="A36" s="615" t="s">
        <v>2759</v>
      </c>
      <c r="B36" s="888"/>
      <c r="C36" s="2596" t="e">
        <f>R37</f>
        <v>#DIV/0!</v>
      </c>
      <c r="D36" s="2597"/>
      <c r="E36" s="2598" t="e">
        <f>R36</f>
        <v>#DIV/0!</v>
      </c>
      <c r="F36" s="2598"/>
      <c r="G36" s="2596" t="e">
        <f>T36</f>
        <v>#DIV/0!</v>
      </c>
      <c r="H36" s="2597"/>
      <c r="I36" s="2598" t="e">
        <f>V36</f>
        <v>#DIV/0!</v>
      </c>
      <c r="J36" s="2597"/>
      <c r="K36" s="1596"/>
      <c r="L36" s="2128"/>
      <c r="M36" s="2129"/>
      <c r="N36" s="2118"/>
      <c r="O36" s="2129"/>
      <c r="P36" s="3401" t="str">
        <f>A36</f>
        <v>比较价格（元/平方米）</v>
      </c>
      <c r="Q36" s="340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75" thickBot="1">
      <c r="A37" s="621" t="s">
        <v>2934</v>
      </c>
      <c r="B37" s="622"/>
      <c r="C37" s="2599" t="e">
        <f>R37</f>
        <v>#DIV/0!</v>
      </c>
      <c r="D37" s="2599"/>
      <c r="E37" s="2599"/>
      <c r="F37" s="2599"/>
      <c r="G37" s="2599"/>
      <c r="H37" s="2599"/>
      <c r="I37" s="2599"/>
      <c r="J37" s="2599"/>
      <c r="K37" s="1597"/>
      <c r="L37" s="2128"/>
      <c r="M37" s="2129"/>
      <c r="N37" s="2129"/>
      <c r="O37" s="2129"/>
      <c r="P37" s="3398" t="str">
        <f>A37</f>
        <v>估价对象XX用房的比较价格（楼面单价，元/平方米）</v>
      </c>
      <c r="Q37" s="3399"/>
      <c r="R37" s="3494" t="e">
        <f>IF(F1="售价",ROUND(AVERAGE(R36:V36),0),ROUND(AVERAGE(R36:V36),1))</f>
        <v>#DIV/0!</v>
      </c>
      <c r="S37" s="3494"/>
      <c r="T37" s="3494"/>
      <c r="U37" s="3494"/>
      <c r="V37" s="3494"/>
      <c r="W37" s="349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2303</v>
      </c>
      <c r="C1" s="3531" t="s">
        <v>2304</v>
      </c>
      <c r="D1" s="3532"/>
      <c r="E1" s="3532"/>
      <c r="F1" s="3532"/>
      <c r="G1" s="3532"/>
      <c r="H1" s="3532"/>
      <c r="I1" s="3532"/>
      <c r="J1" s="3532"/>
      <c r="K1" s="3532"/>
      <c r="L1" s="3532"/>
      <c r="M1" s="3532"/>
      <c r="N1" s="3532"/>
      <c r="O1" s="3532"/>
      <c r="P1" s="3532"/>
      <c r="Q1" s="3532"/>
      <c r="R1" s="3532"/>
      <c r="S1" s="353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2787</v>
      </c>
      <c r="C1" s="2958">
        <f>项目基本情况!D3</f>
        <v>43689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1" t="s">
        <v>2040</v>
      </c>
      <c r="B2" s="1791"/>
      <c r="C2" s="1791"/>
      <c r="D2" s="1791"/>
      <c r="E2" s="1791"/>
      <c r="F2" s="1791"/>
      <c r="G2" s="1791"/>
      <c r="H2" s="1791"/>
      <c r="I2" s="1792"/>
      <c r="J2" s="1792"/>
      <c r="K2" s="1793" t="str">
        <f>"估价期日："&amp;TEXT(项目基本情况!D3,"yyyy年m月d日;;")</f>
        <v>估价期日：2019年8月12日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2029</v>
      </c>
      <c r="B3" s="3238" t="s">
        <v>2730</v>
      </c>
      <c r="C3" s="3239" t="s">
        <v>2030</v>
      </c>
      <c r="D3" s="3238" t="s">
        <v>2734</v>
      </c>
      <c r="E3" s="3233" t="s">
        <v>2031</v>
      </c>
      <c r="F3" s="3233"/>
      <c r="G3" s="3233"/>
      <c r="H3" s="3233" t="s">
        <v>2032</v>
      </c>
      <c r="I3" s="3233"/>
      <c r="J3" s="3233"/>
      <c r="K3" s="3239" t="s">
        <v>2033</v>
      </c>
      <c r="L3" s="3239" t="s">
        <v>2034</v>
      </c>
      <c r="M3" s="3238" t="s">
        <v>2731</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2" t="s">
        <v>2042</v>
      </c>
      <c r="F4" s="2612" t="s">
        <v>2743</v>
      </c>
      <c r="G4" s="2612" t="s">
        <v>2036</v>
      </c>
      <c r="H4" s="2612" t="s">
        <v>2037</v>
      </c>
      <c r="I4" s="2612" t="s">
        <v>2744</v>
      </c>
      <c r="J4" s="2612" t="s">
        <v>2036</v>
      </c>
      <c r="K4" s="3239"/>
      <c r="L4" s="3239"/>
      <c r="M4" s="3238"/>
      <c r="N4" s="3240"/>
      <c r="O4" s="3238"/>
      <c r="P4" s="3239"/>
      <c r="Q4" s="3239"/>
      <c r="R4" s="3239"/>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v>
      </c>
      <c r="O5" s="1794">
        <f>项目基本情况!C21</f>
        <v>289029</v>
      </c>
      <c r="P5" s="1794">
        <f ca="1">结果表!E42</f>
        <v>36455</v>
      </c>
      <c r="Q5" s="1794">
        <f ca="1">结果表!D42</f>
        <v>12152</v>
      </c>
      <c r="R5" s="1795">
        <f ca="1">结果表!C42</f>
        <v>351215</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6">
        <f ca="1">结果表!O39</f>
        <v>351215</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6"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2745</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2701</v>
      </c>
      <c r="B17" s="3242"/>
      <c r="C17" s="3242"/>
      <c r="D17" s="3242"/>
    </row>
    <row r="18" spans="1:4">
      <c r="A18" s="3242" t="s">
        <v>2693</v>
      </c>
      <c r="B18" s="3242"/>
      <c r="C18" s="3242"/>
      <c r="D18" s="3242"/>
    </row>
    <row r="19" spans="1:4">
      <c r="A19" s="2822" t="s">
        <v>2694</v>
      </c>
      <c r="B19" s="2822" t="s">
        <v>2695</v>
      </c>
      <c r="C19" s="2822" t="s">
        <v>2696</v>
      </c>
      <c r="D19" s="2822" t="s">
        <v>2697</v>
      </c>
    </row>
    <row r="20" spans="1:4">
      <c r="A20" s="2822" t="str">
        <f>项目基本情况!B4</f>
        <v>王鹏</v>
      </c>
      <c r="B20" s="2822">
        <f ca="1">项目基本情况!C4</f>
        <v>2002110030</v>
      </c>
      <c r="C20" s="2824"/>
      <c r="D20" s="1784" t="s">
        <v>2702</v>
      </c>
    </row>
    <row r="21" spans="1:4">
      <c r="A21" s="2822" t="str">
        <f>项目基本情况!D4</f>
        <v>郑燚</v>
      </c>
      <c r="B21" s="2822">
        <f ca="1">项目基本情况!E4</f>
        <v>2014110011</v>
      </c>
      <c r="C21" s="2824"/>
      <c r="D21" s="1784" t="s">
        <v>2703</v>
      </c>
    </row>
    <row r="23" spans="1:4">
      <c r="A23" s="3242" t="s">
        <v>2698</v>
      </c>
      <c r="B23" s="3242"/>
      <c r="C23" s="3242"/>
      <c r="D23" s="3242"/>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875" style="3128" customWidth="1"/>
    <col min="2" max="5" width="22.625" style="3128"/>
    <col min="6" max="6" width="25.625" style="3128" customWidth="1"/>
    <col min="7" max="16384" width="22.625" style="3128"/>
  </cols>
  <sheetData>
    <row r="2" spans="1:6" ht="20.25" customHeight="1">
      <c r="A2" s="3125" t="s">
        <v>1907</v>
      </c>
      <c r="B2" s="3126">
        <f ca="1">TODAY()</f>
        <v>43759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2574</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76" sqref="A76:B7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2953</v>
      </c>
      <c r="C18" s="1539"/>
    </row>
    <row r="19" spans="1:3">
      <c r="A19" s="8" t="s">
        <v>120</v>
      </c>
      <c r="B19" s="3063" t="s">
        <v>2961</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5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c r="D53" s="1751"/>
      <c r="E53" s="1751"/>
    </row>
    <row r="54" spans="1:5">
      <c r="A54" s="325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总投及售价预测</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2019-10-21T07:41:48Z</dcterms:modified>
</cp:coreProperties>
</file>