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工业" sheetId="37" state="hidden" r:id="rId22"/>
    <sheet name="Sheet1" sheetId="82" r:id="rId23"/>
    <sheet name="比较法-商业" sheetId="33" state="hidden" r:id="rId24"/>
    <sheet name="成本法 (元)" sheetId="69"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1" hidden="1">'比较法-工业'!$A$1:$L$43</definedName>
    <definedName name="_xlnm._FilterDatabase" localSheetId="23"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8">'比较法-住宅'!$A$1:$K$54,'比较法-住宅'!$A$57:$M$131</definedName>
    <definedName name="_xlnm.Print_Area" localSheetId="18">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7" i="43"/>
  <c r="G19" i="6"/>
  <c r="D93" i="33" l="1"/>
  <c r="G104" i="33" l="1"/>
  <c r="H104" i="33" s="1"/>
  <c r="I104" i="33" s="1"/>
  <c r="F104" i="33"/>
  <c r="E89" i="33" l="1"/>
  <c r="F89" i="33"/>
  <c r="G89" i="33"/>
  <c r="D89" i="33"/>
  <c r="P92" i="33"/>
  <c r="P91" i="33"/>
  <c r="O93" i="33" l="1"/>
  <c r="B54" i="1"/>
  <c r="G23" i="4"/>
  <c r="AE22" i="1" l="1"/>
  <c r="AD18" i="1"/>
  <c r="AD20" i="1" s="1"/>
  <c r="AE19" i="1"/>
  <c r="T18" i="1"/>
  <c r="X19" i="1" l="1"/>
  <c r="E127" i="33" l="1"/>
  <c r="F127" i="33" s="1"/>
  <c r="G127" i="33" s="1"/>
  <c r="D127" i="33"/>
  <c r="G22" i="4" l="1"/>
  <c r="N18" i="1"/>
  <c r="U18" i="1" l="1"/>
  <c r="E28" i="9" l="1"/>
  <c r="J49" i="67"/>
  <c r="O19" i="1"/>
  <c r="C19" i="6"/>
  <c r="E92" i="37" l="1"/>
  <c r="F92" i="37"/>
  <c r="D92" i="37"/>
  <c r="D33" i="43" l="1"/>
  <c r="C33" i="33"/>
  <c r="J52" i="15"/>
  <c r="J49" i="15"/>
  <c r="N20" i="1"/>
  <c r="N6" i="1" s="1"/>
  <c r="Y6" i="1" l="1"/>
  <c r="C36" i="33" s="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AA21" i="33" s="1"/>
  <c r="E83" i="21"/>
  <c r="F83" i="21" s="1"/>
  <c r="H1" i="69"/>
  <c r="AC25" i="40"/>
  <c r="W25" i="40"/>
  <c r="U25" i="40"/>
  <c r="U29" i="39"/>
  <c r="W29" i="39"/>
  <c r="W18" i="36"/>
  <c r="U21" i="34"/>
  <c r="AC18" i="35"/>
  <c r="W18" i="35"/>
  <c r="J21" i="37"/>
  <c r="W21" i="37" s="1"/>
  <c r="G84" i="34"/>
  <c r="J21" i="34"/>
  <c r="W21" i="34" s="1"/>
  <c r="J21" i="33"/>
  <c r="W21" i="33" s="1"/>
  <c r="H21" i="21"/>
  <c r="U21" i="21" s="1"/>
  <c r="F38" i="69"/>
  <c r="E37" i="69"/>
  <c r="F36" i="69"/>
  <c r="F35" i="69"/>
  <c r="F21" i="69"/>
  <c r="F40" i="69" s="1"/>
  <c r="F20" i="69"/>
  <c r="F39" i="69" s="1"/>
  <c r="E10" i="69"/>
  <c r="E9" i="69"/>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S37" i="33" s="1"/>
  <c r="D111" i="33"/>
  <c r="E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s="1"/>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s="1"/>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S41" i="33" s="1"/>
  <c r="E113" i="33"/>
  <c r="F32" i="33"/>
  <c r="AA32" i="33" s="1"/>
  <c r="J19" i="33"/>
  <c r="AC19"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F113" i="33"/>
  <c r="G113" i="33"/>
  <c r="H113" i="33"/>
  <c r="I113" i="33" s="1"/>
  <c r="J113" i="33" s="1"/>
  <c r="K113" i="33" s="1"/>
  <c r="L113" i="33"/>
  <c r="M113" i="33" s="1"/>
  <c r="H37" i="33"/>
  <c r="AB37"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s="1"/>
  <c r="J10" i="36"/>
  <c r="AC10" i="36" s="1"/>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H42" i="33"/>
  <c r="AB42" i="33" s="1"/>
  <c r="J43" i="33"/>
  <c r="W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G54" i="43" s="1"/>
  <c r="M54" i="43" s="1"/>
  <c r="N54" i="43" s="1"/>
  <c r="F72" i="43"/>
  <c r="H75" i="43" s="1"/>
  <c r="U17" i="39"/>
  <c r="S14" i="35"/>
  <c r="U43" i="21"/>
  <c r="U35" i="21"/>
  <c r="AC35" i="21"/>
  <c r="G10" i="1"/>
  <c r="AC11" i="39"/>
  <c r="AZ563" i="3"/>
  <c r="AZ501" i="3"/>
  <c r="W44" i="34"/>
  <c r="AC44" i="34"/>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AA37" i="33"/>
  <c r="S39" i="33"/>
  <c r="F101" i="33"/>
  <c r="G101" i="33"/>
  <c r="H101" i="33" s="1"/>
  <c r="I101" i="33" s="1"/>
  <c r="J101" i="33" s="1"/>
  <c r="K101" i="33" s="1"/>
  <c r="L101" i="33" s="1"/>
  <c r="M101" i="33" s="1"/>
  <c r="J32" i="33"/>
  <c r="AC32" i="33" s="1"/>
  <c r="S46" i="33"/>
  <c r="S43" i="33"/>
  <c r="H27" i="33"/>
  <c r="AB27" i="33" s="1"/>
  <c r="F87" i="33"/>
  <c r="H25" i="33"/>
  <c r="U25" i="33" s="1"/>
  <c r="F25" i="33"/>
  <c r="S25" i="33" s="1"/>
  <c r="J23" i="33"/>
  <c r="AC23" i="33" s="1"/>
  <c r="H23" i="33"/>
  <c r="F81" i="33"/>
  <c r="G81" i="33" s="1"/>
  <c r="F19" i="33"/>
  <c r="S19" i="33" s="1"/>
  <c r="W19" i="33"/>
  <c r="J17" i="33"/>
  <c r="AC17"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AB34" i="33"/>
  <c r="S30" i="33"/>
  <c r="AA30" i="33"/>
  <c r="AC14" i="33"/>
  <c r="W14" i="33"/>
  <c r="AC30" i="33"/>
  <c r="W30" i="33"/>
  <c r="S31" i="33"/>
  <c r="AA31" i="33"/>
  <c r="W13" i="33"/>
  <c r="AC13" i="33"/>
  <c r="S11"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W35" i="33"/>
  <c r="J27" i="33"/>
  <c r="W27" i="33" s="1"/>
  <c r="G87" i="33"/>
  <c r="H87" i="33"/>
  <c r="I87" i="33"/>
  <c r="J87" i="33" s="1"/>
  <c r="K87" i="33" s="1"/>
  <c r="L87" i="33" s="1"/>
  <c r="M87" i="33" s="1"/>
  <c r="J25" i="33"/>
  <c r="AC25" i="33" s="1"/>
  <c r="AB23" i="33"/>
  <c r="U23" i="33"/>
  <c r="F23" i="33"/>
  <c r="H19" i="33"/>
  <c r="AB19" i="33" s="1"/>
  <c r="H17" i="33"/>
  <c r="U17" i="33" s="1"/>
  <c r="F17" i="33"/>
  <c r="S17" i="33" s="1"/>
  <c r="W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F3" i="73"/>
  <c r="B11" i="76"/>
  <c r="E7" i="76"/>
  <c r="D6" i="73"/>
  <c r="F6" i="73"/>
  <c r="AO13" i="1"/>
  <c r="E2" i="69"/>
  <c r="E11" i="76"/>
  <c r="B12" i="76"/>
  <c r="B10" i="76"/>
  <c r="B9" i="76"/>
  <c r="E9" i="76"/>
  <c r="F7" i="73"/>
  <c r="B13" i="76"/>
  <c r="B7" i="76"/>
  <c r="F4" i="73"/>
  <c r="E13" i="76"/>
  <c r="F5" i="73"/>
  <c r="E8" i="76"/>
  <c r="E12" i="76"/>
  <c r="B8" i="76"/>
  <c r="E10" i="76"/>
  <c r="F20" i="31"/>
  <c r="G13" i="3" l="1"/>
  <c r="U3" i="43"/>
  <c r="T19" i="1" s="1"/>
  <c r="D23" i="15"/>
  <c r="W8" i="33"/>
  <c r="D22" i="15"/>
  <c r="W33" i="33"/>
  <c r="U27" i="33"/>
  <c r="S27" i="33"/>
  <c r="AC27" i="33"/>
  <c r="W25" i="33"/>
  <c r="AA25" i="33"/>
  <c r="AB25" i="33"/>
  <c r="F111" i="33"/>
  <c r="J36" i="33"/>
  <c r="W36" i="33" s="1"/>
  <c r="S33" i="33"/>
  <c r="S21" i="33"/>
  <c r="U19" i="33"/>
  <c r="AA17" i="33"/>
  <c r="J15" i="33"/>
  <c r="W15" i="33" s="1"/>
  <c r="H15" i="33"/>
  <c r="AB15" i="33" s="1"/>
  <c r="F15" i="33"/>
  <c r="H38" i="33"/>
  <c r="AB38" i="33" s="1"/>
  <c r="F38" i="33"/>
  <c r="S38" i="33" s="1"/>
  <c r="U32" i="33"/>
  <c r="U33" i="33"/>
  <c r="AA41" i="33"/>
  <c r="AC43" i="33"/>
  <c r="U37" i="33"/>
  <c r="S28" i="33"/>
  <c r="AC28" i="33"/>
  <c r="AB28" i="33"/>
  <c r="W26" i="33"/>
  <c r="S26" i="33"/>
  <c r="AB26" i="33"/>
  <c r="AC21" i="33"/>
  <c r="AB21" i="33"/>
  <c r="AA19" i="33"/>
  <c r="AA44" i="33"/>
  <c r="U44" i="33"/>
  <c r="W44" i="33"/>
  <c r="S42" i="33"/>
  <c r="U42" i="33"/>
  <c r="W42" i="33"/>
  <c r="W38" i="33"/>
  <c r="AC37" i="33"/>
  <c r="AB35" i="33"/>
  <c r="AA35" i="33"/>
  <c r="AC34" i="33"/>
  <c r="AA34" i="33"/>
  <c r="W32" i="33"/>
  <c r="S32" i="33"/>
  <c r="U9" i="33"/>
  <c r="K54" i="43"/>
  <c r="J54" i="43" s="1"/>
  <c r="D54"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D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C58" i="33" s="1"/>
  <c r="D58" i="33" s="1"/>
  <c r="E58" i="33" s="1"/>
  <c r="F58" i="33" s="1"/>
  <c r="G58" i="33" s="1"/>
  <c r="H58" i="33" s="1"/>
  <c r="I58" i="33" s="1"/>
  <c r="J58" i="33" s="1"/>
  <c r="K58" i="33" s="1"/>
  <c r="L58" i="33" s="1"/>
  <c r="M58" i="33" s="1"/>
  <c r="N58" i="33" s="1"/>
  <c r="O58" i="33" s="1"/>
  <c r="F29" i="6"/>
  <c r="B41" i="1"/>
  <c r="F28" i="15" s="1"/>
  <c r="D93" i="9"/>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77" i="9"/>
  <c r="C74" i="9" s="1"/>
  <c r="C21" i="69"/>
  <c r="J85" i="43"/>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G55" i="43" s="1"/>
  <c r="H86" i="43"/>
  <c r="G86" i="43" s="1"/>
  <c r="H87" i="43"/>
  <c r="G87" i="43" s="1"/>
  <c r="H89" i="43"/>
  <c r="G89" i="43" s="1"/>
  <c r="H88" i="43"/>
  <c r="G88" i="43" s="1"/>
  <c r="H84" i="43"/>
  <c r="G84" i="43"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9" i="69"/>
  <c r="D9" i="68"/>
  <c r="M23" i="67"/>
  <c r="F26" i="15"/>
  <c r="F6" i="15"/>
  <c r="M28" i="15"/>
  <c r="D4" i="73"/>
  <c r="F13" i="67"/>
  <c r="L48" i="67"/>
  <c r="L47" i="15"/>
  <c r="C76" i="15"/>
  <c r="M24" i="67"/>
  <c r="F42" i="15"/>
  <c r="F37" i="15"/>
  <c r="M28" i="67"/>
  <c r="L47" i="67"/>
  <c r="F38" i="15"/>
  <c r="M8" i="15"/>
  <c r="F36" i="15"/>
  <c r="M9" i="15"/>
  <c r="L48" i="15"/>
  <c r="M6" i="15"/>
  <c r="F40" i="67"/>
  <c r="F43" i="15"/>
  <c r="M23" i="15"/>
  <c r="F42" i="67"/>
  <c r="M29" i="67"/>
  <c r="F43" i="67"/>
  <c r="M29" i="15"/>
  <c r="F37" i="67"/>
  <c r="M8" i="67"/>
  <c r="M22" i="67"/>
  <c r="F38" i="67"/>
  <c r="M6" i="67"/>
  <c r="F36" i="67"/>
  <c r="C76" i="67"/>
  <c r="D3" i="73"/>
  <c r="F16" i="67"/>
  <c r="F8" i="15"/>
  <c r="M9" i="67"/>
  <c r="F7" i="67"/>
  <c r="M24" i="15"/>
  <c r="F9" i="15"/>
  <c r="F16" i="15"/>
  <c r="M26" i="67"/>
  <c r="J15" i="67"/>
  <c r="F9" i="67"/>
  <c r="F6" i="67"/>
  <c r="F26" i="67"/>
  <c r="F7" i="15"/>
  <c r="M26" i="15"/>
  <c r="D7" i="73"/>
  <c r="M22" i="15"/>
  <c r="F40" i="15"/>
  <c r="J15" i="15"/>
  <c r="D5" i="73"/>
  <c r="F13" i="15"/>
  <c r="F8" i="67"/>
  <c r="Y20" i="1" l="1"/>
  <c r="X20" i="1"/>
  <c r="U15" i="33"/>
  <c r="AC36" i="33"/>
  <c r="Q16" i="1"/>
  <c r="F27" i="69" s="1"/>
  <c r="C47" i="69" s="1"/>
  <c r="D45" i="69" s="1"/>
  <c r="J7" i="37"/>
  <c r="C36" i="68"/>
  <c r="C28" i="15"/>
  <c r="F31" i="15"/>
  <c r="F31" i="67"/>
  <c r="AA38" i="33"/>
  <c r="H36" i="33"/>
  <c r="G111" i="33"/>
  <c r="H111" i="33" s="1"/>
  <c r="I111" i="33" s="1"/>
  <c r="J111" i="33" s="1"/>
  <c r="K111" i="33" s="1"/>
  <c r="L111" i="33" s="1"/>
  <c r="M111" i="33" s="1"/>
  <c r="F36" i="33"/>
  <c r="AA15" i="33"/>
  <c r="S15" i="33"/>
  <c r="AC15" i="33"/>
  <c r="U38" i="33"/>
  <c r="C44" i="43"/>
  <c r="M52" i="43"/>
  <c r="N52" i="43" s="1"/>
  <c r="K52" i="43"/>
  <c r="M55" i="43"/>
  <c r="N55" i="43" s="1"/>
  <c r="K55" i="43"/>
  <c r="M57" i="43"/>
  <c r="N57" i="43" s="1"/>
  <c r="K57" i="43"/>
  <c r="J57" i="43" s="1"/>
  <c r="D57" i="43" s="1"/>
  <c r="K56" i="43"/>
  <c r="M56" i="43"/>
  <c r="N56" i="43" s="1"/>
  <c r="K50" i="43"/>
  <c r="M50" i="43"/>
  <c r="N50" i="43" s="1"/>
  <c r="M58" i="43"/>
  <c r="N58" i="43" s="1"/>
  <c r="K58" i="43"/>
  <c r="K53" i="43"/>
  <c r="M53" i="43"/>
  <c r="N53" i="43" s="1"/>
  <c r="M51" i="43"/>
  <c r="N51" i="43" s="1"/>
  <c r="K51" i="43"/>
  <c r="M18" i="15"/>
  <c r="F31" i="12"/>
  <c r="C31" i="12" s="1"/>
  <c r="V18" i="1"/>
  <c r="V19" i="1"/>
  <c r="D67" i="39"/>
  <c r="D69" i="39" s="1"/>
  <c r="A1" i="79"/>
  <c r="P26" i="43"/>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S10" i="39" s="1"/>
  <c r="M59" i="15"/>
  <c r="J57" i="15"/>
  <c r="J55" i="15" s="1"/>
  <c r="J58" i="15" s="1"/>
  <c r="Q50" i="15" s="1"/>
  <c r="H16" i="1"/>
  <c r="E13" i="6"/>
  <c r="E12" i="6"/>
  <c r="E57" i="40" s="1"/>
  <c r="F50" i="15"/>
  <c r="M7" i="15"/>
  <c r="J6" i="15" s="1"/>
  <c r="J18" i="15" s="1"/>
  <c r="C6" i="15"/>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AC7" i="36" s="1"/>
  <c r="V36" i="36" s="1"/>
  <c r="I36" i="36" s="1"/>
  <c r="O23" i="43"/>
  <c r="N94" i="46"/>
  <c r="N370" i="46"/>
  <c r="F28" i="67"/>
  <c r="C28" i="67" s="1"/>
  <c r="F30" i="11"/>
  <c r="F30" i="69"/>
  <c r="F32" i="67"/>
  <c r="F60" i="67" s="1"/>
  <c r="M18" i="67"/>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58" i="40"/>
  <c r="E62" i="39"/>
  <c r="M14" i="1"/>
  <c r="D5" i="43"/>
  <c r="C7" i="43"/>
  <c r="C5" i="43" s="1"/>
  <c r="D10" i="52"/>
  <c r="D125" i="9"/>
  <c r="D11" i="52" s="1"/>
  <c r="B7" i="74"/>
  <c r="C7" i="74" s="1"/>
  <c r="H7" i="37"/>
  <c r="AB7" i="37" s="1"/>
  <c r="H7" i="33"/>
  <c r="J7" i="33"/>
  <c r="D65" i="40"/>
  <c r="E63" i="40"/>
  <c r="F48" i="35"/>
  <c r="AA7" i="36"/>
  <c r="R36" i="36" s="1"/>
  <c r="AC7" i="37"/>
  <c r="W7" i="37"/>
  <c r="F7" i="33"/>
  <c r="E58" i="21"/>
  <c r="F7" i="37"/>
  <c r="P28" i="43"/>
  <c r="B66" i="40" s="1"/>
  <c r="P25" i="43"/>
  <c r="P29" i="43"/>
  <c r="P27" i="43"/>
  <c r="B70" i="39" s="1"/>
  <c r="M11" i="67"/>
  <c r="J10" i="67" s="1"/>
  <c r="F11" i="15"/>
  <c r="M11" i="15"/>
  <c r="J10" i="15" s="1"/>
  <c r="F11" i="67"/>
  <c r="AE11" i="1"/>
  <c r="AE9" i="1"/>
  <c r="F27" i="68"/>
  <c r="AE7" i="1"/>
  <c r="AE8" i="1"/>
  <c r="AE12" i="1"/>
  <c r="AE10" i="1"/>
  <c r="G1" i="73"/>
  <c r="C16" i="67"/>
  <c r="C16" i="15"/>
  <c r="U7" i="36" l="1"/>
  <c r="F45" i="69"/>
  <c r="C49" i="15"/>
  <c r="J18" i="67"/>
  <c r="C29" i="69"/>
  <c r="D27" i="69" s="1"/>
  <c r="J51" i="43"/>
  <c r="D51" i="43"/>
  <c r="J58" i="43"/>
  <c r="D58" i="43"/>
  <c r="J56" i="43"/>
  <c r="D56" i="43"/>
  <c r="J50" i="43"/>
  <c r="D50" i="43"/>
  <c r="F59" i="67"/>
  <c r="F67" i="39"/>
  <c r="F59" i="15"/>
  <c r="M17" i="67"/>
  <c r="M17" i="15"/>
  <c r="AA36" i="33"/>
  <c r="S36" i="33"/>
  <c r="U36" i="33"/>
  <c r="AB36" i="33"/>
  <c r="J10" i="39"/>
  <c r="W10" i="39" s="1"/>
  <c r="F10" i="40"/>
  <c r="S10" i="40" s="1"/>
  <c r="AA10" i="39"/>
  <c r="H10" i="39"/>
  <c r="U10" i="39" s="1"/>
  <c r="H10" i="40"/>
  <c r="AB10" i="40" s="1"/>
  <c r="J10" i="40"/>
  <c r="AC10" i="40" s="1"/>
  <c r="W7" i="36"/>
  <c r="J55" i="43"/>
  <c r="D55" i="43"/>
  <c r="J52" i="43"/>
  <c r="D52" i="43"/>
  <c r="J53" i="43"/>
  <c r="D53" i="43"/>
  <c r="C32" i="15"/>
  <c r="F1" i="67"/>
  <c r="Q60" i="15"/>
  <c r="Q60" i="67"/>
  <c r="Q61" i="15"/>
  <c r="Q74" i="67"/>
  <c r="C49" i="67"/>
  <c r="C53" i="67" s="1"/>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8" i="35"/>
  <c r="U7" i="33"/>
  <c r="AB7" i="33"/>
  <c r="T48" i="33" s="1"/>
  <c r="G48" i="33" s="1"/>
  <c r="C10" i="67"/>
  <c r="C5" i="67" s="1"/>
  <c r="C38" i="67" s="1"/>
  <c r="C53" i="15"/>
  <c r="C10" i="15"/>
  <c r="C5" i="15" s="1"/>
  <c r="C38" i="15" s="1"/>
  <c r="F41" i="15"/>
  <c r="M27" i="15"/>
  <c r="AE6" i="1"/>
  <c r="D3" i="34" l="1"/>
  <c r="E6" i="6"/>
  <c r="D10" i="11" s="1"/>
  <c r="C10" i="11" s="1"/>
  <c r="C48" i="15"/>
  <c r="C66" i="15" s="1"/>
  <c r="AG6" i="1"/>
  <c r="AC10" i="39"/>
  <c r="U10" i="40"/>
  <c r="W10" i="40"/>
  <c r="AA10" i="40"/>
  <c r="G54" i="34"/>
  <c r="H54" i="34" s="1"/>
  <c r="AB10" i="39"/>
  <c r="R50" i="34"/>
  <c r="C49" i="34" s="1"/>
  <c r="E50" i="43"/>
  <c r="B48" i="43" s="1"/>
  <c r="C48" i="67"/>
  <c r="C66" i="67" s="1"/>
  <c r="E6" i="3"/>
  <c r="O16" i="1"/>
  <c r="G47" i="37"/>
  <c r="H47" i="37" s="1"/>
  <c r="E83" i="43"/>
  <c r="B81" i="43" s="1"/>
  <c r="C28" i="43" s="1"/>
  <c r="C33" i="43" s="1"/>
  <c r="F22" i="68"/>
  <c r="F41" i="68"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0" i="12"/>
  <c r="C20" i="12" s="1"/>
  <c r="D25" i="6"/>
  <c r="D15" i="6"/>
  <c r="D22" i="6"/>
  <c r="D21" i="6"/>
  <c r="D24" i="6"/>
  <c r="D20" i="6"/>
  <c r="M19" i="9"/>
  <c r="C118" i="9" s="1"/>
  <c r="B2" i="74" s="1"/>
  <c r="D26" i="6"/>
  <c r="D8" i="6"/>
  <c r="D14"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D10" i="69"/>
  <c r="C34" i="69"/>
  <c r="D10" i="68"/>
  <c r="C17" i="67"/>
  <c r="M27" i="67"/>
  <c r="C17" i="15"/>
  <c r="C14" i="67"/>
  <c r="F41" i="67"/>
  <c r="D6" i="6" l="1"/>
  <c r="C50" i="34"/>
  <c r="F69" i="67"/>
  <c r="B14" i="74"/>
  <c r="B1" i="74" s="1"/>
  <c r="C60" i="67"/>
  <c r="C44" i="68"/>
  <c r="D41" i="68" s="1"/>
  <c r="H21" i="6"/>
  <c r="R21" i="6" s="1"/>
  <c r="R8" i="1" s="1"/>
  <c r="D30" i="6"/>
  <c r="H22" i="6"/>
  <c r="R22" i="6" s="1"/>
  <c r="R9" i="1" s="1"/>
  <c r="H25" i="6"/>
  <c r="R25" i="6" s="1"/>
  <c r="R12" i="1" s="1"/>
  <c r="C26" i="68"/>
  <c r="D22" i="68" s="1"/>
  <c r="T15" i="43"/>
  <c r="V15" i="43" s="1"/>
  <c r="T7" i="43"/>
  <c r="V7" i="43" s="1"/>
  <c r="T10" i="43"/>
  <c r="V10" i="43" s="1"/>
  <c r="T2" i="43"/>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D31" i="6" l="1"/>
  <c r="V2" i="43"/>
  <c r="C34" i="43" s="1"/>
  <c r="E34" i="43" s="1"/>
  <c r="C7" i="69"/>
  <c r="C8" i="69"/>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5" i="69" l="1"/>
  <c r="C23" i="69" s="1"/>
  <c r="C18" i="12"/>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4" i="68"/>
  <c r="C39" i="69"/>
  <c r="C43" i="69" s="1"/>
  <c r="C42" i="69"/>
  <c r="J69" i="39"/>
  <c r="K67" i="39"/>
  <c r="U7" i="21"/>
  <c r="AB7" i="21"/>
  <c r="T48" i="21" s="1"/>
  <c r="G48" i="21" s="1"/>
  <c r="J63" i="40"/>
  <c r="I65" i="40"/>
  <c r="K48" i="35"/>
  <c r="L48" i="35" s="1"/>
  <c r="M48" i="35" s="1"/>
  <c r="N48" i="35" s="1"/>
  <c r="O48" i="35" s="1"/>
  <c r="H7" i="35" s="1"/>
  <c r="E6" i="76"/>
  <c r="B6" i="76"/>
  <c r="C20" i="69" l="1"/>
  <c r="C28" i="69" s="1"/>
  <c r="C27" i="69" s="1"/>
  <c r="E2" i="76"/>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G52" i="21"/>
  <c r="H52" i="21" s="1"/>
  <c r="G53" i="21"/>
  <c r="H53" i="21" s="1"/>
  <c r="F7" i="35"/>
  <c r="F35" i="67"/>
  <c r="M21" i="15"/>
  <c r="F35" i="15"/>
  <c r="M21" i="67"/>
  <c r="C25" i="69" l="1"/>
  <c r="C22" i="69" s="1"/>
  <c r="C31" i="69" s="1"/>
  <c r="E48" i="21"/>
  <c r="I53" i="21" s="1"/>
  <c r="J53" i="21" s="1"/>
  <c r="B3" i="76"/>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E52" i="21" l="1"/>
  <c r="F52" i="21" s="1"/>
  <c r="E53" i="21"/>
  <c r="F53" i="21" s="1"/>
  <c r="C52" i="69"/>
  <c r="B2" i="69" s="1"/>
  <c r="B3" i="69" s="1"/>
  <c r="C25" i="68"/>
  <c r="C22" i="68" s="1"/>
  <c r="C31" i="68" s="1"/>
  <c r="C52" i="68" s="1"/>
  <c r="B2" i="68" s="1"/>
  <c r="I42" i="35"/>
  <c r="J42" i="35" s="1"/>
  <c r="C11" i="71"/>
  <c r="T12" i="71"/>
  <c r="D12" i="71"/>
  <c r="U12" i="71" s="1"/>
  <c r="C58" i="67"/>
  <c r="C67" i="67" s="1"/>
  <c r="C68" i="67" s="1"/>
  <c r="C71" i="67" s="1"/>
  <c r="J16" i="67"/>
  <c r="J25" i="67" s="1"/>
  <c r="J26" i="67" s="1"/>
  <c r="J29" i="67" s="1"/>
  <c r="C30" i="67"/>
  <c r="C39" i="67" s="1"/>
  <c r="H3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Q69" i="67"/>
  <c r="Q68" i="67" s="1"/>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0" i="1"/>
  <c r="D34" i="9"/>
  <c r="D35" i="9"/>
  <c r="AO7" i="1"/>
  <c r="AO9" i="1"/>
  <c r="AO8" i="1"/>
  <c r="AO11" i="1"/>
  <c r="C19" i="9"/>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G27"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95" i="9"/>
  <c r="C96" i="9" s="1"/>
  <c r="E96" i="9" s="1"/>
  <c r="E97" i="9" s="1"/>
  <c r="D14" i="53"/>
  <c r="B32" i="72" s="1"/>
  <c r="B30" i="72"/>
  <c r="C81" i="9" l="1"/>
  <c r="C97" i="9"/>
  <c r="D58" i="9" s="1"/>
  <c r="D56" i="9" s="1"/>
  <c r="M54" i="9" s="1"/>
  <c r="N57" i="9" s="1"/>
  <c r="N58" i="9" s="1"/>
  <c r="D5" i="74"/>
  <c r="C5" i="74"/>
  <c r="M69" i="9"/>
  <c r="N69" i="9" s="1"/>
  <c r="D6" i="74"/>
  <c r="C6" i="74"/>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<sst xmlns="http://schemas.openxmlformats.org/spreadsheetml/2006/main" count="8026" uniqueCount="3495">
  <si>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</si>
  <si>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</si>
  <si>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</si>
  <si>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</si>
  <si>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</si>
  <si>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</si>
  <si>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</si>
  <si>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</si>
  <si>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</si>
  <si>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</si>
  <si>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</si>
  <si>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</si>
  <si>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</si>
  <si>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</si>
  <si>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</si>
  <si>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</si>
  <si>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</si>
  <si>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</si>
  <si>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</si>
  <si>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</si>
  <si>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</si>
  <si>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</si>
  <si>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</si>
  <si>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</si>
  <si>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</si>
  <si>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</si>
  <si>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</si>
  <si>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</si>
  <si>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</si>
  <si>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</si>
  <si>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</si>
  <si>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</si>
  <si>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</si>
  <si>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</si>
  <si>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</si>
  <si>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</si>
  <si>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</si>
  <si>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</si>
  <si>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</si>
  <si>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</si>
  <si>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</si>
  <si>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</si>
  <si>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</si>
  <si>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</si>
  <si>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</si>
  <si>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</si>
  <si>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</si>
  <si>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</si>
  <si>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</si>
  <si>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</si>
  <si>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</si>
  <si>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</si>
  <si>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</si>
  <si>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</si>
  <si>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</si>
  <si>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</si>
  <si>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</si>
  <si>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</si>
  <si>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</si>
  <si>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</si>
  <si>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</si>
  <si>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</si>
  <si>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</si>
  <si>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</si>
  <si>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</si>
  <si>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</si>
  <si>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</si>
  <si>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</si>
  <si>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</si>
  <si>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</si>
  <si>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</si>
  <si>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</si>
  <si>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</si>
  <si>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</si>
  <si>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</si>
  <si>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</si>
  <si>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</si>
  <si>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</si>
  <si>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</si>
  <si>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</si>
  <si>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</si>
  <si>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</si>
  <si>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</si>
  <si>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</si>
  <si>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</si>
  <si>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</si>
  <si>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</si>
  <si>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</si>
  <si>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</si>
  <si>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</si>
  <si>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</si>
  <si>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</si>
  <si>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</si>
  <si>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</si>
  <si>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</si>
  <si>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</si>
  <si>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</si>
  <si>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</si>
  <si>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</si>
  <si>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</si>
  <si>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</si>
  <si>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</si>
  <si>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</si>
  <si>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</si>
  <si>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</si>
  <si>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</si>
  <si>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</si>
  <si>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</si>
  <si>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</si>
  <si>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</si>
  <si>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</si>
  <si>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</si>
  <si>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</si>
  <si>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</si>
  <si>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</si>
  <si>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</si>
  <si>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</si>
  <si>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</si>
  <si>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</si>
  <si>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</si>
  <si>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</si>
  <si>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</si>
  <si>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</si>
  <si>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</si>
  <si>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</si>
  <si>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</si>
  <si>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</si>
  <si>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</si>
  <si>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</si>
  <si>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</si>
  <si>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</si>
  <si>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</si>
  <si>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</si>
  <si>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</si>
  <si>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</si>
  <si>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</si>
  <si>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</si>
  <si>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</si>
  <si>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</si>
  <si>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</si>
  <si>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</si>
  <si>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</si>
  <si>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</si>
  <si>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</si>
  <si>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</si>
  <si>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</si>
  <si>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</si>
  <si>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</si>
  <si>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</si>
  <si>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</si>
  <si>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</si>
  <si>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</si>
  <si>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</si>
  <si>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</si>
  <si>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</si>
  <si>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</si>
  <si>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</si>
  <si>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</si>
  <si>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</si>
  <si>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</si>
  <si>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</si>
  <si>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</si>
  <si>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</si>
  <si>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</si>
  <si>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</si>
  <si>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</si>
  <si>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</si>
  <si>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</si>
  <si>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</si>
  <si>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</si>
  <si>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</si>
  <si>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</si>
  <si>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</si>
  <si>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</si>
  <si>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</si>
  <si>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</si>
  <si>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</si>
  <si>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</si>
  <si>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</si>
  <si>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</si>
  <si>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</si>
  <si>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</si>
  <si>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</si>
  <si>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</si>
  <si>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</si>
  <si>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</si>
  <si>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</si>
  <si>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</si>
  <si>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</si>
  <si>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</si>
  <si>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</si>
  <si>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</si>
  <si>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</si>
  <si>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</si>
  <si>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</si>
  <si>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</si>
  <si>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</si>
  <si>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</si>
  <si>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</si>
  <si>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</si>
  <si>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</si>
  <si>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</si>
  <si>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</si>
  <si>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</si>
  <si>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</si>
  <si>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</si>
  <si>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</si>
  <si>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</si>
  <si>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</si>
  <si>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</si>
  <si>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</si>
  <si>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</si>
  <si>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</si>
  <si>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</si>
  <si>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</si>
  <si>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</si>
  <si>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</si>
  <si>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</si>
  <si>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</si>
  <si>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</si>
  <si>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</si>
  <si>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</si>
  <si>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</si>
  <si>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</si>
  <si>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</si>
  <si>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</si>
  <si>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</si>
  <si>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</si>
  <si>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</si>
  <si>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</si>
  <si>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</si>
  <si>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</si>
  <si>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</si>
  <si>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</si>
  <si>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</si>
  <si>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</si>
  <si>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</si>
  <si>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</si>
  <si>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</si>
  <si>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</si>
  <si>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</si>
  <si>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</si>
  <si>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</si>
  <si>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</si>
  <si>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</si>
  <si>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</si>
  <si>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</si>
  <si>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</si>
  <si>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</si>
  <si>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</si>
  <si>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</si>
  <si>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</si>
  <si>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</si>
  <si>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</si>
  <si>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</si>
  <si>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</si>
  <si>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</si>
  <si>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</si>
  <si>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</si>
  <si>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</si>
  <si>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</si>
  <si>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</si>
  <si>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</si>
  <si>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</si>
  <si>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</si>
  <si>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</si>
  <si>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</si>
  <si>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</si>
  <si>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</si>
  <si>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</si>
  <si>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</si>
  <si>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</si>
  <si>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</si>
  <si>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</si>
  <si>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</si>
  <si>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</si>
  <si>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</si>
  <si>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</si>
  <si>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</si>
  <si>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</si>
  <si>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</si>
  <si>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</si>
  <si>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</si>
  <si>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</si>
  <si>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</si>
  <si>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</si>
  <si>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</si>
  <si>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</si>
  <si>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</si>
  <si>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</si>
  <si>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</si>
  <si>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</si>
  <si>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</si>
  <si>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</si>
  <si>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</si>
  <si>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</si>
  <si>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</si>
  <si>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</si>
  <si>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</si>
  <si>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</si>
  <si>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</si>
  <si>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</si>
  <si>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</si>
  <si>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</si>
  <si>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</si>
  <si>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</si>
  <si>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</si>
  <si>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</si>
  <si>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</si>
  <si>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</si>
  <si>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</si>
  <si>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</si>
  <si>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</si>
  <si>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</si>
  <si>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</si>
  <si>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</si>
  <si>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</si>
  <si>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</si>
  <si>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</si>
  <si>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</si>
  <si>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</si>
  <si>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</si>
  <si>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</si>
  <si>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</si>
  <si>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</si>
  <si>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</si>
  <si>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</si>
  <si>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</si>
  <si>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</si>
  <si>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</si>
  <si>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</si>
  <si>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</si>
  <si>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</si>
  <si>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</si>
  <si>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</si>
  <si>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</si>
  <si>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</si>
  <si>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</si>
  <si>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</si>
  <si>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</si>
  <si>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</si>
  <si>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</si>
  <si>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</si>
  <si>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</si>
  <si>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</si>
  <si>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</si>
  <si>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</si>
  <si>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</si>
  <si>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</si>
  <si>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</si>
  <si>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</si>
  <si>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</si>
  <si>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</si>
  <si>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</si>
  <si>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</si>
  <si>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</si>
  <si>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</si>
  <si>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</si>
  <si>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</si>
  <si>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</si>
  <si>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</si>
  <si>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</si>
  <si>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</si>
  <si>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</si>
  <si>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</si>
  <si>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</si>
  <si>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</si>
  <si>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</si>
  <si>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</si>
  <si>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</si>
  <si>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</si>
  <si>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</si>
  <si>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</si>
  <si>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</si>
  <si>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</si>
  <si>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</si>
  <si>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</si>
  <si>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</si>
  <si>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</si>
  <si>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</si>
  <si>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</si>
  <si>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</si>
  <si>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</si>
  <si>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</si>
  <si>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</si>
  <si>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</si>
  <si>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</si>
  <si>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</si>
  <si>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</si>
  <si>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</si>
  <si>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</si>
  <si>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</si>
  <si>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</si>
  <si>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</si>
  <si>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</si>
  <si>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</si>
  <si>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</si>
  <si>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</si>
  <si>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</si>
  <si>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</si>
  <si>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</si>
  <si>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</si>
  <si>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</si>
  <si>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</si>
  <si>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</si>
  <si>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</si>
  <si>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</si>
  <si>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</si>
  <si>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</si>
  <si>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</si>
  <si>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</si>
  <si>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</si>
  <si>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</si>
  <si>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</si>
  <si>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</si>
  <si>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</si>
  <si>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</si>
  <si>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</si>
  <si>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</si>
  <si>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</si>
  <si>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</si>
  <si>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</si>
  <si>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</si>
  <si>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</si>
  <si>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</si>
  <si>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</si>
  <si>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</si>
  <si>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</si>
  <si>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</si>
  <si>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</si>
  <si>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</si>
  <si>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</si>
  <si>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</si>
  <si>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</si>
  <si>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</si>
  <si>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</si>
  <si>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</si>
  <si>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</si>
  <si>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</si>
  <si>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</si>
  <si>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</si>
  <si>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</si>
  <si>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</si>
  <si>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</si>
  <si>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</si>
  <si>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</si>
  <si>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</si>
  <si>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</si>
  <si>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</si>
  <si>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</si>
  <si>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</si>
  <si>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</si>
  <si>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</si>
  <si>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</si>
  <si>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</si>
  <si>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</si>
  <si>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</si>
  <si>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</si>
  <si>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</si>
  <si>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</si>
  <si>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</si>
  <si>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</si>
  <si>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</si>
  <si>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</si>
  <si>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</si>
  <si>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</si>
  <si>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</si>
  <si>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</si>
  <si>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</si>
  <si>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</si>
  <si>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</si>
  <si>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</si>
  <si>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</si>
  <si>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</si>
  <si>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</si>
  <si>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</si>
  <si>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</si>
  <si>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</si>
  <si>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</si>
  <si>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</si>
  <si>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</si>
  <si>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</si>
  <si>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</si>
  <si>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</si>
  <si>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</si>
  <si>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</si>
  <si>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</si>
  <si>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</si>
  <si>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</si>
  <si>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</si>
  <si>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</si>
  <si>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</si>
  <si>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</si>
  <si>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</si>
  <si>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</si>
  <si>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</si>
  <si>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</si>
  <si>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</si>
  <si>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</si>
  <si>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</si>
  <si>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</si>
  <si>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</si>
  <si>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</si>
  <si>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</si>
  <si>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</si>
  <si>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</si>
  <si>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</si>
  <si>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</si>
  <si>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</si>
  <si>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</si>
  <si>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</si>
  <si>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</si>
  <si>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</si>
  <si>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</si>
  <si>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</si>
  <si>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</si>
  <si>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</si>
  <si>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</si>
  <si>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</si>
  <si>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</si>
  <si>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</si>
  <si>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</si>
  <si>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</si>
  <si>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</si>
  <si>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</si>
  <si>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</si>
  <si>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</si>
  <si>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</si>
  <si>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</si>
  <si>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</si>
  <si>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</si>
  <si>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</si>
  <si>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</si>
  <si>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</si>
  <si>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</si>
  <si>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</si>
  <si>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</si>
  <si>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</si>
  <si>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</si>
  <si>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</si>
  <si>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</si>
  <si>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</si>
  <si>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</si>
  <si>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</si>
  <si>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</si>
  <si>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</si>
  <si>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</si>
  <si>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</si>
  <si>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</si>
  <si>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</si>
  <si>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</si>
  <si>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</si>
  <si>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</si>
  <si>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</si>
  <si>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</si>
  <si>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</si>
  <si>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</si>
  <si>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</si>
  <si>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</si>
  <si>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</si>
  <si>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</si>
  <si>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</si>
  <si>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</si>
  <si>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</si>
  <si>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</si>
  <si>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</si>
  <si>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</si>
  <si>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</si>
  <si>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</si>
  <si>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</si>
  <si>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</si>
  <si>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</si>
  <si>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</si>
  <si>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</si>
  <si>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</si>
  <si>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</si>
  <si>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</si>
  <si>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</si>
  <si>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</si>
  <si>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</si>
  <si>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</si>
  <si>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</si>
  <si>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</si>
  <si>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</si>
  <si>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</si>
  <si>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</si>
  <si>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</si>
  <si>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</si>
  <si>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</si>
  <si>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</si>
  <si>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</si>
  <si>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</si>
  <si>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</si>
  <si>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</si>
  <si>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</si>
  <si>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</si>
  <si>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</si>
  <si>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</si>
  <si>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</si>
  <si>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</si>
  <si>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</si>
  <si>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</si>
  <si>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</si>
  <si>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</si>
  <si>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</si>
  <si>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</si>
  <si>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</si>
  <si>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</si>
  <si>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</si>
  <si>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</si>
  <si>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</si>
  <si>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</si>
  <si>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</si>
  <si>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</si>
  <si>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</si>
  <si>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</si>
  <si>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</si>
  <si>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</si>
  <si>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</si>
  <si>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</si>
  <si>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</si>
  <si>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</si>
  <si>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</si>
  <si>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</si>
  <si>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</si>
  <si>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</si>
  <si>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</si>
  <si>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</si>
  <si>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</si>
  <si>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</si>
  <si>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</si>
  <si>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</si>
  <si>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</si>
  <si>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</si>
  <si>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</si>
  <si>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</si>
  <si>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</si>
  <si>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</si>
  <si>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</si>
  <si>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</si>
  <si>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</si>
  <si>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</si>
  <si>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</si>
  <si>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</si>
  <si>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</si>
  <si>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</si>
  <si>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</si>
  <si>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</si>
  <si>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</si>
  <si>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</si>
  <si>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</si>
  <si>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</si>
  <si>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</si>
  <si>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</si>
  <si>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</si>
  <si>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</si>
  <si>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</si>
  <si>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</si>
  <si>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</si>
  <si>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</si>
  <si>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</si>
  <si>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</si>
  <si>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</si>
  <si>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</si>
  <si>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</si>
  <si>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</si>
  <si>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</si>
  <si>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</si>
  <si>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</si>
  <si>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</si>
  <si>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</si>
  <si>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</si>
  <si>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</si>
  <si>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</si>
  <si>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</si>
  <si>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</si>
  <si>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</si>
  <si>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</si>
  <si>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</si>
  <si>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</si>
  <si>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</si>
  <si>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</si>
  <si>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</si>
  <si>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</si>
  <si>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</si>
  <si>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</si>
  <si>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</si>
  <si>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</si>
  <si>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</si>
  <si>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</si>
  <si>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</si>
  <si>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</si>
  <si>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</si>
  <si>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</si>
  <si>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</si>
  <si>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</si>
  <si>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</si>
  <si>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</si>
  <si>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</si>
  <si>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</si>
  <si>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</si>
  <si>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</si>
  <si>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</si>
  <si>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</si>
  <si>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</si>
  <si>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</si>
  <si>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</si>
  <si>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</si>
  <si>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</si>
  <si>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</si>
  <si>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</si>
  <si>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</si>
  <si>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</si>
  <si>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</si>
  <si>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</si>
  <si>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</si>
  <si>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</si>
  <si>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</si>
  <si>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</si>
  <si>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</si>
  <si>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</si>
  <si>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</si>
  <si>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</si>
  <si>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</si>
  <si>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</si>
  <si>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</si>
  <si>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</si>
  <si>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</si>
  <si>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</si>
  <si>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</si>
  <si>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</si>
  <si>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</si>
  <si>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</si>
  <si>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</si>
  <si>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</si>
  <si>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</si>
  <si>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</si>
  <si>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</si>
  <si>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</si>
  <si>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</si>
  <si>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</si>
  <si>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</si>
  <si>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</si>
  <si>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</si>
  <si>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</si>
  <si>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</si>
  <si>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</si>
  <si>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</si>
  <si>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</si>
  <si>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</si>
  <si>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</si>
  <si>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</si>
  <si>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</si>
  <si>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</si>
  <si>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</si>
  <si>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</si>
  <si>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</si>
  <si>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</si>
  <si>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</si>
  <si>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</si>
  <si>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</si>
  <si>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</si>
  <si>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</si>
  <si>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</si>
  <si>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</si>
  <si>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</si>
  <si>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</si>
  <si>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</si>
  <si>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</si>
  <si>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</si>
  <si>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</si>
  <si>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</si>
  <si>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</si>
  <si>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</si>
  <si>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</si>
  <si>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</si>
  <si>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</si>
  <si>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</si>
  <si>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</si>
  <si>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</si>
  <si>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</si>
  <si>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</si>
  <si>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</si>
  <si>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</si>
  <si>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</si>
  <si>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</si>
  <si>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</si>
  <si>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</si>
  <si>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</si>
  <si>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</si>
  <si>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</si>
  <si>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</si>
  <si>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</si>
  <si>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</si>
  <si>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</si>
  <si>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</si>
  <si>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</si>
  <si>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</si>
  <si>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</si>
  <si>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</si>
  <si>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</si>
  <si>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</si>
  <si>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</si>
  <si>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</si>
  <si>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</si>
  <si>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</si>
  <si>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</si>
  <si>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</si>
  <si>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</si>
  <si>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</si>
  <si>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</si>
  <si>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</si>
  <si>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</si>
  <si>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</si>
  <si>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</si>
  <si>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</si>
  <si>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</si>
  <si>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</si>
  <si>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</si>
  <si>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</si>
  <si>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</si>
  <si>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</si>
  <si>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</si>
  <si>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</si>
  <si>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</si>
  <si>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</si>
  <si>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</si>
  <si>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</si>
  <si>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</si>
  <si>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</si>
  <si>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</si>
  <si>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</si>
  <si>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</si>
  <si>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</si>
  <si>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</si>
  <si>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</si>
  <si>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</si>
  <si>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</si>
  <si>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</si>
  <si>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</si>
  <si>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</si>
  <si>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</si>
  <si>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</si>
  <si>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</si>
  <si>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</si>
  <si>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</si>
  <si>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</si>
  <si>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</si>
  <si>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</si>
  <si>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</si>
  <si>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</si>
  <si>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</si>
  <si>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</si>
  <si>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</si>
  <si>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</si>
  <si>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</si>
  <si>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</si>
  <si>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</si>
  <si>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</si>
  <si>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</si>
  <si>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</si>
  <si>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</si>
  <si>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</si>
  <si>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</si>
  <si>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</si>
  <si>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</si>
  <si>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</si>
  <si>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</si>
  <si>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</si>
  <si>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</si>
  <si>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</si>
  <si>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</si>
  <si>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</si>
  <si>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</si>
  <si>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</si>
  <si>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</si>
  <si>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</si>
  <si>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</si>
  <si>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</si>
  <si>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</si>
  <si>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</si>
  <si>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</si>
  <si>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</si>
  <si>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</si>
  <si>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</si>
  <si>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</si>
  <si>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</si>
  <si>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</si>
  <si>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</si>
  <si>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</si>
  <si>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</si>
  <si>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</si>
  <si>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</si>
  <si>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</si>
  <si>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</si>
  <si>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</si>
  <si>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</si>
  <si>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</si>
  <si>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</si>
  <si>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</si>
  <si>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</si>
  <si>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</si>
  <si>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</si>
  <si>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</si>
  <si>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</si>
  <si>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</si>
  <si>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</si>
  <si>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</si>
  <si>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</si>
  <si>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</si>
  <si>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</si>
  <si>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</si>
  <si>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</si>
  <si>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</si>
  <si>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</si>
  <si>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</si>
  <si>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</si>
  <si>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</si>
  <si>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</si>
  <si>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</si>
  <si>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</si>
  <si>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</si>
  <si>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</si>
  <si>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</si>
  <si>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</si>
  <si>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</si>
  <si>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</si>
  <si>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</si>
  <si>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</si>
  <si>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</si>
  <si>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</si>
  <si>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</si>
  <si>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</si>
  <si>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</si>
  <si>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</si>
  <si>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</si>
  <si>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</si>
  <si>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</si>
  <si>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</si>
  <si>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</si>
  <si>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</si>
  <si>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</si>
  <si>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</si>
  <si>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</si>
  <si>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</si>
  <si>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</si>
  <si>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</si>
  <si>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</si>
  <si>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</si>
  <si>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</si>
  <si>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</si>
  <si>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</si>
  <si>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</si>
  <si>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</si>
  <si>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</si>
  <si>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</si>
  <si>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</si>
  <si>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</si>
  <si>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</si>
  <si>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</si>
  <si>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</si>
  <si>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</si>
  <si>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</si>
  <si>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</si>
  <si>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</si>
  <si>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</si>
  <si>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</si>
  <si>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</si>
  <si>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</si>
  <si>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</si>
  <si>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</si>
  <si>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</si>
  <si>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</si>
  <si>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</si>
  <si>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</si>
  <si>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</si>
  <si>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</si>
  <si>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</si>
  <si>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</si>
  <si>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</si>
  <si>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</si>
  <si>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</si>
  <si>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</si>
  <si>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</si>
  <si>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</si>
  <si>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</si>
  <si>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</si>
  <si>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</si>
  <si>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</si>
  <si>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</si>
  <si>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</si>
  <si>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</si>
  <si>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</si>
  <si>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</si>
  <si>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</si>
  <si>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</si>
  <si>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</si>
  <si>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</si>
  <si>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</si>
  <si>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</si>
  <si>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</si>
  <si>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</si>
  <si>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</si>
  <si>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</si>
  <si>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</si>
  <si>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</si>
  <si>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</si>
  <si>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</si>
  <si>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</si>
  <si>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</si>
  <si>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</si>
  <si>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</si>
  <si>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</si>
  <si>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</si>
  <si>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</si>
  <si>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</si>
  <si>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</si>
  <si>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</si>
  <si>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</si>
  <si>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</si>
  <si>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</si>
  <si>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</si>
  <si>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</si>
  <si>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</si>
  <si>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</si>
  <si>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</si>
  <si>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</si>
  <si>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</si>
  <si>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</si>
  <si>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</si>
  <si>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</si>
  <si>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</si>
  <si>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</si>
  <si>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</si>
  <si>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</si>
  <si>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</si>
  <si>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</si>
  <si>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</si>
  <si>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</si>
  <si>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</si>
  <si>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</si>
  <si>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</si>
  <si>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</si>
  <si>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</si>
  <si>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</si>
  <si>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</si>
  <si>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</si>
  <si>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</si>
  <si>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</si>
  <si>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</si>
  <si>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</si>
  <si>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</si>
  <si>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</si>
  <si>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</si>
  <si>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</si>
  <si>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</si>
  <si>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</si>
  <si>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</si>
  <si>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</si>
  <si>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</si>
  <si>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</si>
  <si>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</si>
  <si>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</si>
  <si>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</si>
  <si>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</si>
  <si>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</si>
  <si>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</si>
  <si>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</si>
  <si>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</si>
  <si>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</si>
  <si>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</si>
  <si>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</si>
  <si>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</si>
  <si>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</si>
  <si>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</si>
  <si>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</si>
  <si>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</si>
  <si>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</si>
  <si>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</si>
  <si>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</si>
  <si>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</si>
  <si>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</si>
  <si>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</si>
  <si>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</si>
  <si>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</si>
  <si>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</si>
  <si>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</si>
  <si>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</si>
  <si>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</si>
  <si>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</si>
  <si>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</si>
  <si>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</si>
  <si>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</si>
  <si>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</si>
  <si>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</si>
  <si>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</si>
  <si>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</si>
  <si>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</si>
  <si>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</si>
  <si>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</si>
  <si>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</si>
  <si>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</si>
  <si>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</si>
  <si>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</si>
  <si>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</si>
  <si>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</si>
  <si>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</si>
  <si>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</si>
  <si>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</si>
  <si>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</si>
  <si>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</si>
  <si>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</si>
  <si>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</si>
  <si>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</si>
  <si>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</si>
  <si>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</si>
  <si>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</si>
  <si>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</si>
  <si>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</si>
  <si>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</si>
  <si>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</si>
  <si>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</si>
  <si>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</si>
  <si>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</si>
  <si>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</si>
  <si>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</si>
  <si>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</si>
  <si>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</si>
  <si>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</si>
  <si>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</si>
  <si>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</si>
  <si>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</si>
  <si>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</si>
  <si>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</si>
  <si>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</si>
  <si>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</si>
  <si>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</si>
  <si>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</si>
  <si>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</si>
  <si>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</si>
  <si>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</si>
  <si>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</si>
  <si>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</si>
  <si>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</si>
  <si>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</si>
  <si>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</si>
  <si>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</si>
  <si>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</si>
  <si>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</si>
  <si>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</si>
  <si>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</si>
  <si>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</si>
  <si>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</si>
  <si>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</si>
  <si>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</si>
  <si>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</si>
  <si>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</si>
  <si>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</si>
  <si>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</si>
  <si>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</si>
  <si>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</si>
  <si>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</si>
  <si>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</si>
  <si>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</si>
  <si>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</si>
  <si>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</si>
  <si>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</si>
  <si>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</si>
  <si>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</si>
  <si>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</si>
  <si>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</si>
  <si>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</si>
  <si>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</si>
  <si>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</si>
  <si>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</si>
  <si>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</si>
  <si>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</si>
  <si>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</si>
  <si>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</si>
  <si>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</si>
  <si>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</si>
  <si>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</si>
  <si>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</si>
  <si>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</si>
  <si>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</si>
  <si>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</si>
  <si>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</si>
  <si>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</si>
  <si>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</si>
  <si>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</si>
  <si>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</si>
  <si>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</si>
  <si>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</si>
  <si>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</si>
  <si>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</si>
  <si>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</si>
  <si>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</si>
  <si>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</si>
  <si>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</si>
  <si>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</si>
  <si>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</si>
  <si>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</si>
  <si>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</si>
  <si>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</si>
  <si>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</si>
  <si>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</si>
  <si>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</si>
  <si>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</si>
  <si>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</si>
  <si>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</si>
  <si>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</si>
  <si>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</si>
  <si>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</si>
  <si>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</si>
  <si>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</si>
  <si>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</si>
  <si>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</si>
  <si>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</si>
  <si>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</si>
  <si>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</si>
  <si>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</si>
  <si>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</si>
  <si>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</si>
  <si>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</si>
  <si>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</si>
  <si>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</si>
  <si>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</si>
  <si>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</si>
  <si>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</si>
  <si>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</si>
  <si>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</si>
  <si>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</si>
  <si>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</si>
  <si>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</si>
  <si>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</si>
  <si>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</si>
  <si>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</si>
  <si>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</si>
  <si>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</si>
  <si>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</si>
  <si>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</si>
  <si>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</si>
  <si>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</si>
  <si>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</si>
  <si>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</si>
  <si>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</si>
  <si>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</si>
  <si>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</si>
  <si>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</si>
  <si>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</si>
  <si>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</si>
  <si>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</si>
  <si>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</si>
  <si>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</si>
  <si>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</si>
  <si>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</si>
  <si>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</si>
  <si>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</si>
  <si>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</si>
  <si>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</si>
  <si>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</si>
  <si>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</si>
  <si>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</si>
  <si>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</si>
  <si>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</si>
  <si>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</si>
  <si>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</si>
  <si>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</si>
  <si>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</si>
  <si>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</si>
  <si>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</si>
  <si>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</si>
  <si>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</si>
  <si>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</si>
  <si>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</si>
  <si>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</si>
  <si>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</si>
  <si>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</si>
  <si>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</si>
  <si>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</si>
  <si>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</si>
  <si>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</si>
  <si>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</si>
  <si>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</si>
  <si>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</si>
  <si>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</si>
  <si>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</si>
  <si>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</si>
  <si>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</si>
  <si>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</si>
  <si>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</si>
  <si>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</si>
  <si>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</si>
  <si>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</si>
  <si>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</si>
  <si>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</si>
  <si>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</si>
  <si>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</si>
  <si>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</si>
  <si>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</si>
  <si>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</si>
  <si>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</si>
  <si>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</si>
  <si>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</si>
  <si>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</si>
  <si>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</si>
  <si>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</si>
  <si>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</si>
  <si>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</si>
  <si>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</si>
  <si>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</si>
  <si>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</si>
  <si>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</si>
  <si>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</si>
  <si>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</si>
  <si>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</si>
  <si>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</si>
  <si>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</si>
  <si>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</si>
  <si>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</si>
  <si>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</si>
  <si>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</si>
  <si>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</si>
  <si>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</si>
  <si>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</si>
  <si>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</si>
  <si>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</si>
  <si>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</si>
  <si>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</si>
  <si>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</si>
  <si>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</si>
  <si>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</si>
  <si>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</si>
  <si>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</si>
  <si>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</si>
  <si>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</si>
  <si>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</si>
  <si>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</si>
  <si>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</si>
  <si>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</si>
  <si>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</si>
  <si>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</si>
  <si>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</si>
  <si>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</si>
  <si>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</si>
  <si>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</si>
  <si>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</si>
  <si>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</si>
  <si>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</si>
  <si>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</si>
  <si>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</si>
  <si>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</si>
  <si>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</si>
  <si>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</si>
  <si>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</si>
  <si>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</si>
  <si>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</si>
  <si>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</si>
  <si>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</si>
  <si>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</si>
  <si>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</si>
  <si>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</si>
  <si>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</si>
  <si>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</si>
  <si>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</si>
  <si>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</si>
  <si>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</si>
  <si>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</si>
  <si>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</si>
  <si>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</si>
  <si>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</si>
  <si>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</si>
  <si>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</si>
  <si>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</si>
  <si>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</si>
  <si>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</si>
  <si>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</si>
  <si>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</si>
  <si>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</si>
  <si>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</si>
  <si>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</si>
  <si>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</si>
  <si>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</si>
  <si>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</si>
  <si>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</si>
  <si>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</si>
  <si>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</si>
  <si>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</si>
  <si>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</si>
  <si>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</si>
  <si>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</si>
  <si>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</si>
  <si>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</si>
  <si>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</si>
  <si>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</si>
  <si>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</si>
  <si>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</si>
  <si>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</si>
  <si>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</si>
  <si>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</si>
  <si>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</si>
  <si>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</si>
  <si>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</si>
  <si>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</si>
  <si>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</si>
  <si>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</si>
  <si>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</si>
  <si>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</si>
  <si>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</si>
  <si>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</si>
  <si>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</si>
  <si>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</si>
  <si>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</si>
  <si>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</si>
  <si>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</si>
  <si>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</si>
  <si>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</si>
  <si>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</si>
  <si>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</si>
  <si>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</si>
  <si>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</si>
  <si>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</si>
  <si>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</si>
  <si>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</si>
  <si>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</si>
  <si>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</si>
  <si>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</si>
  <si>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</si>
  <si>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</si>
  <si>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</si>
  <si>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</si>
  <si>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</si>
  <si>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</si>
  <si>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</si>
  <si>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</si>
  <si>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</si>
  <si>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</si>
  <si>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</si>
  <si>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</si>
  <si>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</si>
  <si>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</si>
  <si>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</si>
  <si>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</si>
  <si>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</si>
  <si>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</si>
  <si>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</si>
  <si>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</si>
  <si>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</si>
  <si>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</si>
  <si>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</si>
  <si>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</si>
  <si>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</si>
  <si>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</si>
  <si>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</si>
  <si>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</si>
  <si>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</si>
  <si>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</si>
  <si>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</si>
  <si>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</si>
  <si>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</si>
  <si>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</si>
  <si>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</si>
  <si>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</si>
  <si>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</si>
  <si>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</si>
  <si>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</si>
  <si>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</si>
  <si>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</si>
  <si>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</si>
  <si>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</si>
  <si>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</si>
  <si>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</si>
  <si>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</si>
  <si>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</si>
  <si>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</si>
  <si>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</si>
  <si>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</si>
  <si>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</si>
  <si>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</si>
  <si>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</si>
  <si>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</si>
  <si>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</si>
  <si>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</si>
  <si>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</si>
  <si>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</si>
  <si>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</si>
  <si>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</si>
  <si>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</si>
  <si>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</si>
  <si>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</si>
  <si>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</si>
  <si>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</si>
  <si>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</si>
  <si>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</si>
  <si>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</si>
  <si>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</si>
  <si>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</si>
  <si>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</si>
  <si>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</si>
  <si>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</si>
  <si>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</si>
  <si>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</si>
  <si>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</si>
  <si>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</si>
  <si>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</si>
  <si>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</si>
  <si>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</si>
  <si>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</si>
  <si>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</si>
  <si>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</si>
  <si>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</si>
  <si>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</si>
  <si>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</si>
  <si>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</si>
  <si>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</si>
  <si>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</si>
  <si>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</si>
  <si>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</si>
  <si>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</si>
  <si>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</si>
  <si>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</si>
  <si>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</si>
  <si>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</si>
  <si>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</si>
  <si>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</si>
  <si>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</si>
  <si>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</si>
  <si>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</si>
  <si>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</si>
  <si>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</si>
  <si>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</si>
  <si>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</si>
  <si>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</si>
  <si>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</si>
  <si>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</si>
  <si>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</si>
  <si>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</si>
  <si>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</si>
  <si>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</si>
  <si>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</si>
  <si>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</si>
  <si>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</si>
  <si>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</si>
  <si>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</si>
  <si>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</si>
  <si>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</si>
  <si>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</si>
  <si>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</si>
  <si>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</si>
  <si>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</si>
  <si>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</si>
  <si>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</si>
  <si>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</si>
  <si>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</si>
  <si>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</si>
  <si>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</si>
  <si>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</si>
  <si>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</si>
  <si>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</si>
  <si>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</si>
  <si>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</si>
  <si>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</si>
  <si>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</si>
  <si>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</si>
  <si>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</si>
  <si>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</si>
  <si>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</si>
  <si>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</si>
  <si>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</si>
  <si>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</si>
  <si>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</si>
  <si>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</si>
  <si>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</si>
  <si>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</si>
  <si>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</si>
  <si>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</si>
  <si>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</si>
  <si>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</si>
  <si>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</si>
  <si>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</si>
  <si>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</si>
  <si>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</si>
  <si>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</si>
  <si>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</si>
  <si>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</si>
  <si>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</si>
  <si>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</si>
  <si>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</si>
  <si>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</si>
  <si>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</si>
  <si>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</si>
  <si>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</si>
  <si>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</si>
  <si>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</si>
  <si>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</si>
  <si>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</si>
  <si>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</si>
  <si>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</si>
  <si>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</si>
  <si>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</si>
  <si>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</si>
  <si>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</si>
  <si>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</si>
  <si>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</si>
  <si>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</si>
  <si>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</si>
  <si>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</si>
  <si>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</si>
  <si>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</si>
  <si>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</si>
  <si>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</si>
  <si>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</si>
  <si>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</si>
  <si>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</si>
  <si>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</si>
  <si>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</si>
  <si>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</si>
  <si>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</si>
  <si>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</si>
  <si>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</si>
  <si>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</si>
  <si>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</si>
  <si>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</si>
  <si>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</si>
  <si>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</si>
  <si>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</si>
  <si>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</si>
  <si>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</si>
  <si>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</si>
  <si>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</si>
  <si>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</si>
  <si>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</si>
  <si>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</si>
  <si>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</si>
  <si>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</si>
  <si>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</si>
  <si>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</si>
  <si>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</si>
  <si>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</si>
  <si>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</si>
  <si>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</si>
  <si>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</si>
  <si>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</si>
  <si>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</si>
  <si>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</si>
  <si>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</si>
  <si>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</si>
  <si>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</si>
  <si>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</si>
  <si>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</si>
  <si>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</si>
  <si>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</si>
  <si>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</si>
  <si>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</si>
  <si>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</si>
  <si>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</si>
  <si>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</si>
  <si>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</si>
  <si>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</si>
  <si>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</si>
  <si>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</si>
  <si>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</si>
  <si>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</si>
  <si>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</si>
  <si>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</si>
  <si>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</si>
  <si>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</si>
  <si>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</si>
  <si>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</si>
  <si>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</si>
  <si>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</si>
  <si>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</si>
  <si>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</si>
  <si>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</si>
  <si>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</si>
  <si>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</si>
  <si>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</si>
  <si>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</si>
  <si>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</si>
  <si>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</si>
  <si>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</si>
  <si>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</si>
  <si>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</si>
  <si>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</si>
  <si>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</si>
  <si>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</si>
  <si>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</si>
  <si>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</si>
  <si>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</si>
  <si>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</si>
  <si>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</si>
  <si>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</si>
  <si>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</si>
  <si>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</si>
  <si>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</si>
  <si>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</si>
  <si>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</si>
  <si>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</si>
  <si>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</si>
  <si>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</si>
  <si>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</si>
  <si>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</si>
  <si>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</si>
  <si>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</si>
  <si>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</si>
  <si>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</si>
  <si>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</si>
  <si>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</si>
  <si>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</si>
  <si>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</si>
  <si>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</si>
  <si>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</si>
  <si>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</si>
  <si>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</si>
  <si>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</si>
  <si>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</si>
  <si>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</si>
  <si>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</si>
  <si>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</si>
  <si>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</si>
  <si>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</si>
  <si>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</si>
  <si>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</si>
  <si>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</si>
  <si>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</si>
  <si>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</si>
  <si>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</si>
  <si>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</si>
  <si>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</si>
  <si>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</si>
  <si>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</si>
  <si>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</si>
  <si>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</si>
  <si>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</si>
  <si>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</si>
  <si>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</si>
  <si>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</si>
  <si>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</si>
  <si>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</si>
  <si>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</si>
  <si>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</si>
  <si>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</si>
  <si>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</si>
  <si>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</si>
  <si>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</si>
  <si>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</si>
  <si>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</si>
  <si>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</si>
  <si>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</si>
  <si>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</si>
  <si>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</si>
  <si>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</si>
  <si>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</si>
  <si>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</si>
  <si>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</si>
  <si>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</si>
  <si>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</si>
  <si>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</si>
  <si>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</si>
  <si>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</si>
  <si>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</si>
  <si>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</si>
  <si>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</si>
  <si>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</si>
  <si>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</si>
  <si>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</si>
  <si>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</si>
  <si>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</si>
  <si>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</si>
  <si>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</si>
  <si>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</si>
  <si>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</si>
  <si>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</si>
  <si>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</si>
  <si>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</si>
  <si>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</si>
  <si>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</si>
  <si>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</si>
  <si>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</si>
  <si>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</si>
  <si>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</si>
  <si>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</si>
  <si>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</si>
  <si>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</si>
  <si>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</si>
  <si>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</si>
  <si>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</si>
  <si>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</si>
  <si>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</si>
  <si>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</si>
  <si>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</si>
  <si>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</si>
  <si>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</si>
  <si>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</si>
  <si>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</si>
  <si>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</si>
  <si>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</si>
  <si>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</si>
  <si>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</si>
  <si>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</si>
  <si>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</si>
  <si>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</si>
  <si>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</si>
  <si>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</si>
  <si>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</si>
  <si>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</si>
  <si>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</si>
  <si>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</si>
  <si>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</si>
  <si>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</si>
  <si>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</si>
  <si>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</si>
  <si>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</si>
  <si>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</si>
  <si>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</si>
  <si>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</si>
  <si>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</si>
  <si>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</si>
  <si>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</si>
  <si>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</si>
  <si>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</si>
  <si>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</si>
  <si>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</si>
  <si>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</si>
  <si>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</si>
  <si>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</si>
  <si>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</si>
  <si>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</si>
  <si>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</si>
  <si>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</si>
  <si>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</si>
  <si>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</si>
  <si>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</si>
  <si>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</si>
  <si>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</si>
  <si>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</si>
  <si>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</si>
  <si>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</si>
  <si>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</si>
  <si>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</si>
  <si>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</si>
  <si>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</si>
  <si>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</si>
  <si>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</si>
  <si>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</si>
  <si>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</si>
  <si>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</si>
  <si>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</si>
  <si>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</si>
  <si>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</si>
  <si>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</si>
  <si>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</si>
  <si>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</si>
  <si>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</si>
  <si>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</si>
  <si>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</si>
  <si>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</si>
  <si>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</si>
  <si>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</si>
  <si>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</si>
  <si>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</si>
  <si>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</si>
  <si>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</si>
  <si>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</si>
  <si>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</si>
  <si>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</si>
  <si>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</si>
  <si>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</si>
  <si>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</si>
  <si>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</si>
  <si>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</si>
  <si>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</si>
  <si>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</si>
  <si>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</si>
  <si>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</si>
  <si>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</si>
  <si>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</si>
  <si>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</si>
  <si>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</si>
  <si>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</si>
  <si>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</si>
  <si>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</si>
  <si>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</si>
  <si>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</si>
  <si>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</si>
  <si>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</si>
  <si>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</si>
  <si>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</si>
  <si>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</si>
  <si>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</si>
  <si>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</si>
  <si>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</si>
  <si>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</si>
  <si>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</si>
  <si>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</si>
  <si>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</si>
  <si>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</si>
  <si>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</si>
  <si>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</si>
  <si>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</si>
  <si>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</si>
  <si>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</si>
  <si>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</si>
  <si>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</si>
  <si>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</si>
  <si>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</si>
  <si>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</si>
  <si>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</si>
  <si>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</si>
  <si>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</si>
  <si>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</si>
  <si>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</si>
  <si>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</si>
  <si>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</si>
  <si>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</si>
  <si>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</si>
  <si>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</si>
  <si>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</si>
  <si>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</si>
  <si>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</si>
  <si>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</si>
  <si>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</si>
  <si>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</si>
  <si>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</si>
  <si>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</si>
  <si>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</si>
  <si>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</si>
  <si>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</si>
  <si>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</si>
  <si>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</si>
  <si>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</si>
  <si>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</si>
  <si>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</si>
  <si>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</si>
  <si>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</si>
  <si>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</si>
  <si>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</si>
  <si>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</si>
  <si>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</si>
  <si>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</si>
  <si>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</si>
  <si>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</si>
  <si>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</si>
  <si>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</si>
  <si>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</si>
  <si>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</si>
  <si>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</si>
  <si>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</si>
  <si>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</si>
  <si>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</si>
  <si>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</si>
  <si>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</si>
  <si>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</si>
  <si>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</si>
  <si>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</si>
  <si>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</si>
  <si>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</si>
  <si>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</si>
  <si>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</si>
  <si>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</si>
  <si>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</si>
  <si>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</si>
  <si>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</si>
  <si>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</si>
  <si>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</si>
  <si>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</si>
  <si>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</si>
  <si>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</si>
  <si>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</si>
  <si>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</si>
  <si>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</si>
  <si>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</si>
  <si>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</si>
  <si>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</si>
  <si>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</si>
  <si>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</si>
  <si>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</si>
  <si>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</si>
  <si>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</si>
  <si>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</si>
  <si>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</si>
  <si>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</si>
  <si>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</si>
  <si>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</si>
  <si>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</si>
  <si>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</si>
  <si>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</si>
  <si>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</si>
  <si>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</si>
  <si>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</si>
  <si>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</si>
  <si>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</si>
  <si>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</si>
  <si>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</si>
  <si>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</si>
  <si>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</si>
  <si>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</si>
  <si>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</si>
  <si>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</si>
  <si>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</si>
  <si>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</si>
  <si>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</si>
  <si>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</si>
  <si>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</si>
  <si>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</si>
  <si>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</si>
  <si>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</si>
  <si>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</si>
  <si>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</si>
  <si>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</si>
  <si>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</si>
  <si>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</si>
  <si>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</si>
  <si>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</si>
  <si>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</si>
  <si>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</si>
  <si>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</si>
  <si>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</si>
  <si>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</si>
  <si>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</si>
  <si>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</si>
  <si>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</si>
  <si>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</si>
  <si>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</si>
  <si>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</si>
  <si>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</si>
  <si>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</si>
  <si>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</si>
  <si>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</si>
  <si>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</si>
  <si>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</si>
  <si>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</si>
  <si>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</si>
  <si>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</si>
  <si>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</si>
  <si>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</si>
  <si>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</si>
  <si>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</si>
  <si>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</si>
  <si>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</si>
  <si>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</si>
  <si>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</si>
  <si>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</si>
  <si>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</si>
  <si>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</si>
  <si>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</si>
  <si>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</si>
  <si>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</si>
  <si>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</si>
  <si>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</si>
  <si>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</si>
  <si>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</si>
  <si>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</si>
  <si>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</si>
  <si>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</si>
  <si>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</si>
  <si>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</si>
  <si>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</si>
  <si>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</si>
  <si>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</si>
  <si>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</si>
  <si>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</si>
  <si>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</si>
  <si>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</si>
  <si>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</si>
  <si>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</si>
  <si>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</si>
  <si>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</si>
  <si>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</si>
  <si>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</si>
  <si>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</si>
  <si>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</si>
  <si>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</si>
  <si>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</si>
  <si>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</si>
  <si>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</si>
  <si>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</si>
  <si>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</si>
  <si>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</si>
  <si>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</si>
  <si>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</si>
  <si>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</si>
  <si>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</si>
  <si>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</si>
  <si>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</si>
  <si>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</si>
  <si>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</si>
  <si>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</si>
  <si>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</si>
  <si>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</si>
  <si>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</si>
  <si>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</si>
  <si>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</si>
  <si>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</si>
  <si>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</si>
  <si>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</si>
  <si>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</si>
  <si>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</si>
  <si>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</si>
  <si>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</si>
  <si>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</si>
  <si>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</si>
  <si>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</si>
  <si>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</si>
  <si>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</si>
  <si>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</si>
  <si>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</si>
  <si>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</si>
  <si>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</si>
  <si>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</si>
  <si>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</si>
  <si>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</si>
  <si>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</si>
  <si>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</si>
  <si>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</si>
  <si>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</si>
  <si>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</si>
  <si>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</si>
  <si>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</si>
  <si>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</si>
  <si>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</si>
  <si>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</si>
  <si>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</si>
  <si>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</si>
  <si>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</si>
  <si>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</si>
  <si>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</si>
  <si>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</si>
  <si>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</si>
  <si>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</si>
  <si>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</si>
  <si>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</si>
  <si>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</si>
  <si>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</si>
  <si>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</si>
  <si>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</si>
  <si>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</si>
  <si>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</si>
  <si>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</si>
  <si>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</si>
  <si>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</si>
  <si>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</si>
  <si>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</si>
  <si>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</si>
  <si>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</si>
  <si>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</si>
  <si>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</si>
  <si>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</si>
  <si>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</si>
  <si>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</si>
  <si>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</si>
  <si>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</si>
  <si>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</si>
  <si>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</si>
  <si>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</si>
  <si>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</si>
  <si>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</si>
  <si>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</si>
  <si>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</si>
  <si>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</si>
  <si>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</si>
  <si>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</si>
  <si>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</si>
  <si>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</si>
  <si>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</si>
  <si>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</si>
  <si>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</si>
  <si>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</si>
  <si>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</si>
  <si>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</si>
  <si>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</si>
  <si>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</si>
  <si>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</si>
  <si>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</si>
  <si>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</si>
  <si>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</si>
  <si>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</si>
  <si>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</si>
  <si>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</si>
  <si>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</si>
  <si>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</si>
  <si>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</si>
  <si>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</si>
  <si>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</si>
  <si>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</si>
  <si>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</si>
  <si>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</si>
  <si>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</si>
  <si>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</si>
  <si>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</si>
  <si>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</si>
  <si>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</si>
  <si>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</si>
  <si>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</si>
  <si>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</si>
  <si>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</si>
  <si>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</si>
  <si>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</si>
  <si>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</si>
  <si>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</si>
  <si>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</si>
  <si>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</si>
  <si>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</si>
  <si>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</si>
  <si>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</si>
  <si>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</si>
  <si>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</si>
  <si>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</si>
  <si>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</si>
  <si>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</si>
  <si>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</si>
  <si>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</si>
  <si>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</si>
  <si>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</si>
  <si>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</si>
  <si>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</si>
  <si>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</si>
  <si>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</si>
  <si>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</si>
  <si>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</si>
  <si>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</si>
  <si>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</si>
  <si>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</si>
  <si>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</si>
  <si>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</si>
  <si>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</si>
  <si>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</si>
  <si>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</si>
  <si>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</si>
  <si>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</si>
  <si>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</si>
  <si>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</si>
  <si>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</si>
  <si>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</si>
  <si>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</si>
  <si>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</si>
  <si>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</si>
  <si>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</si>
  <si>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</si>
  <si>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</si>
  <si>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</si>
  <si>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</si>
  <si>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</si>
  <si>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</si>
  <si>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</si>
  <si>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</si>
  <si>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</si>
  <si>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</si>
  <si>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</si>
  <si>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</si>
  <si>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</si>
  <si>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</si>
  <si>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</si>
  <si>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</si>
  <si>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</si>
  <si>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</si>
  <si>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</si>
  <si>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</si>
  <si>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</si>
  <si>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</si>
  <si>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</si>
  <si>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</si>
  <si>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</si>
  <si>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</si>
  <si>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</si>
  <si>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</si>
  <si>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</si>
  <si>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</si>
  <si>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</si>
  <si>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</si>
  <si>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</si>
  <si>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</si>
  <si>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</si>
  <si>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</si>
  <si>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</si>
  <si>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</si>
  <si>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</si>
  <si>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</si>
  <si>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</si>
  <si>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</si>
  <si>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</si>
  <si>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</si>
  <si>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</si>
  <si>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</si>
  <si>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</si>
  <si>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</si>
  <si>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</si>
  <si>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</si>
  <si>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</si>
  <si>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</si>
  <si>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</si>
  <si>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</si>
  <si>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</si>
  <si>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</si>
  <si>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</si>
  <si>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</si>
  <si>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</si>
  <si>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</si>
  <si>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</si>
  <si>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</si>
  <si>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</si>
  <si>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</si>
  <si>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</si>
  <si>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</si>
  <si>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</si>
  <si>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</si>
  <si>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</si>
  <si>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</si>
  <si>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</si>
  <si>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</si>
  <si>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</si>
  <si>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</si>
  <si>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</si>
  <si>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</si>
  <si>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</si>
  <si>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</si>
  <si>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</si>
  <si>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</si>
  <si>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</si>
  <si>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</si>
  <si>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</si>
  <si>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</si>
  <si>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</si>
  <si>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</si>
  <si>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</si>
  <si>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</si>
  <si>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</si>
  <si>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</si>
  <si>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</si>
  <si>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</si>
  <si>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</si>
  <si>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</si>
  <si>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</si>
  <si>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</si>
  <si>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</si>
  <si>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</si>
  <si>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</si>
  <si>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</si>
  <si>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</si>
  <si>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</si>
  <si>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</si>
  <si>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</si>
  <si>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</si>
  <si>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</si>
  <si>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</si>
  <si>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</si>
  <si>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</si>
  <si>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</si>
  <si>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</si>
  <si>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</si>
  <si>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</si>
  <si>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</si>
  <si>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</si>
  <si>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</si>
  <si>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</si>
  <si>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</si>
  <si>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</si>
  <si>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</si>
  <si>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</si>
  <si>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</si>
  <si>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</si>
  <si>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</si>
  <si>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</si>
  <si>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</si>
  <si>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</si>
  <si>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</si>
  <si>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</si>
  <si>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</si>
  <si>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</si>
  <si>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</si>
  <si>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</si>
  <si>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</si>
  <si>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</si>
  <si>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</si>
  <si>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</si>
  <si>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</si>
  <si>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</si>
  <si>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</si>
  <si>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</si>
  <si>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</si>
  <si>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</si>
  <si>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</si>
  <si>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</si>
  <si>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</si>
  <si>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</si>
  <si>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</si>
  <si>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</si>
  <si>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</si>
  <si>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</si>
  <si>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</si>
  <si>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</si>
  <si>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</si>
  <si>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</si>
  <si>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</si>
  <si>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</si>
  <si>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</si>
  <si>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</si>
  <si>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</si>
  <si>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</si>
  <si>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</si>
  <si>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</si>
  <si>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</si>
  <si>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</si>
  <si>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</si>
  <si>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</si>
  <si>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</si>
  <si>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</si>
  <si>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</si>
  <si>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</si>
  <si>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</si>
  <si>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</si>
  <si>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</si>
  <si>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</si>
  <si>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</si>
  <si>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</si>
  <si>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</si>
  <si>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</si>
  <si>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</si>
  <si>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</si>
  <si>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</si>
  <si>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</si>
  <si>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</si>
  <si>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</si>
  <si>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</si>
  <si>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</si>
  <si>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</si>
  <si>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</si>
  <si>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</si>
  <si>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</si>
  <si>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</si>
  <si>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</si>
  <si>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</si>
  <si>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</si>
  <si>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</si>
  <si>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</si>
  <si>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</si>
  <si>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</si>
  <si>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</si>
  <si>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</si>
  <si>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</si>
  <si>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</si>
  <si>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</si>
  <si>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</si>
  <si>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</si>
  <si>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</si>
  <si>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</si>
  <si>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</si>
  <si>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</si>
  <si>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</si>
  <si>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</si>
  <si>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</si>
  <si>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</si>
  <si>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</si>
  <si>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</si>
  <si>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</si>
  <si>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</si>
  <si>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</si>
  <si>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</si>
  <si>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</si>
  <si>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</si>
  <si>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</si>
  <si>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</si>
  <si>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</si>
  <si>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</si>
  <si>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</si>
  <si>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</si>
  <si>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</si>
  <si>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</si>
  <si>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</si>
  <si>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</si>
  <si>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</si>
  <si>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</si>
  <si>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</si>
  <si>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</si>
  <si>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</si>
  <si>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</si>
  <si>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</si>
  <si>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</si>
  <si>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</si>
  <si>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</si>
  <si>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</si>
  <si>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</si>
  <si>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</si>
  <si>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</si>
  <si>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</si>
  <si>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</si>
  <si>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</si>
  <si>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</si>
  <si>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</si>
  <si>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</si>
  <si>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</si>
  <si>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</si>
  <si>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</si>
  <si>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</si>
  <si>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</si>
  <si>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</si>
  <si>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</si>
  <si>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</si>
  <si>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</si>
  <si>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</si>
  <si>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</si>
  <si>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</si>
  <si>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</si>
  <si>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</si>
  <si>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</si>
  <si>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</si>
  <si>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</si>
  <si>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</si>
  <si>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</si>
  <si>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</si>
  <si>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</si>
  <si>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</si>
  <si>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</si>
  <si>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</si>
  <si>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</si>
  <si>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</si>
  <si>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</si>
  <si>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</si>
  <si>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</si>
  <si>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</si>
  <si>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</si>
  <si>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</si>
  <si>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</si>
  <si>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</si>
  <si>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</si>
  <si>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</si>
  <si>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</si>
  <si>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</si>
  <si>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</si>
  <si>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</si>
  <si>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</si>
  <si>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</si>
  <si>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</si>
  <si>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</si>
  <si>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</si>
  <si>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</si>
  <si>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</si>
  <si>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</si>
  <si>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</si>
  <si>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</si>
  <si>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</si>
  <si>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</si>
  <si>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</si>
  <si>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</si>
  <si>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</si>
  <si>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</si>
  <si>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</si>
  <si>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</si>
  <si>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</si>
  <si>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</si>
  <si>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</si>
  <si>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</si>
  <si>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</si>
  <si>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</si>
  <si>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</si>
  <si>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</si>
  <si>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</si>
  <si>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</si>
  <si>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</si>
  <si>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</si>
  <si>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</si>
  <si>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</si>
  <si>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</si>
  <si>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</si>
  <si>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</si>
  <si>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</si>
  <si>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</si>
  <si>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</si>
  <si>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</si>
  <si>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</si>
  <si>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</si>
  <si>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</si>
  <si>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</si>
  <si>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</si>
  <si>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</si>
  <si>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</si>
  <si>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</si>
  <si>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</si>
  <si>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</si>
  <si>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</si>
  <si>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</si>
  <si>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</si>
  <si>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</si>
  <si>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</si>
  <si>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</si>
  <si>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</si>
  <si>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</si>
  <si>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</si>
  <si>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</si>
  <si>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</si>
  <si>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</si>
  <si>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</si>
  <si>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</si>
  <si>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</si>
  <si>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</si>
  <si>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</si>
  <si>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</si>
  <si>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</si>
  <si>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</si>
  <si>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</si>
  <si>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</si>
  <si>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</si>
  <si>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</si>
  <si>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</si>
  <si>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</si>
  <si>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</si>
  <si>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</si>
  <si>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</si>
  <si>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</si>
  <si>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</si>
  <si>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</si>
  <si>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</si>
  <si>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</si>
  <si>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</si>
  <si>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</si>
  <si>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</si>
  <si>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</si>
  <si>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</si>
  <si>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</si>
  <si>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</si>
  <si>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</si>
  <si>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</si>
  <si>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</si>
  <si>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</si>
  <si>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</si>
  <si>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</si>
  <si>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</si>
  <si>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</si>
  <si>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</si>
  <si>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</si>
  <si>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</si>
  <si>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</si>
  <si>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</si>
  <si>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</si>
  <si>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</si>
  <si>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</si>
  <si>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</si>
  <si>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</si>
  <si>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</si>
  <si>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</si>
  <si>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</si>
  <si>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</si>
  <si>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</si>
  <si>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</si>
  <si>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</si>
  <si>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</si>
  <si>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</si>
  <si>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</si>
  <si>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</si>
  <si>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</si>
  <si>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</si>
  <si>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</si>
  <si>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</si>
  <si>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</si>
  <si>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</si>
  <si>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</si>
  <si>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</si>
  <si>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</si>
  <si>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</si>
  <si>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</si>
  <si>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</si>
  <si>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</si>
  <si>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</si>
  <si>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</si>
  <si>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</si>
  <si>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</si>
  <si>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</si>
  <si>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</si>
  <si>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</si>
  <si>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</si>
  <si>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</si>
  <si>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</si>
  <si>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</si>
  <si>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</si>
  <si>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</si>
  <si>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</si>
  <si>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</si>
  <si>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</si>
  <si>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</si>
  <si>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</si>
  <si>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</si>
  <si>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</si>
  <si>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</si>
  <si>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</si>
  <si>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</si>
  <si>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</si>
  <si>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</si>
  <si>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</si>
  <si>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</si>
  <si>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</si>
  <si>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</si>
  <si>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</si>
  <si>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</si>
  <si>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</si>
  <si>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</si>
  <si>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</si>
  <si>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</si>
  <si>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</si>
  <si>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</si>
  <si>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</si>
  <si>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</si>
  <si>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</si>
  <si>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</si>
  <si>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</si>
  <si>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</si>
  <si>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</si>
  <si>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</si>
  <si>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</si>
  <si>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</si>
  <si>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</si>
  <si>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</si>
  <si>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</si>
  <si>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</si>
  <si>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</si>
  <si>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</si>
  <si>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</si>
  <si>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</si>
  <si>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</si>
  <si>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</si>
  <si>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</si>
  <si>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</si>
  <si>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</si>
  <si>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</si>
  <si>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</si>
  <si>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</si>
  <si>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</si>
  <si>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</si>
  <si>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</si>
  <si>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</si>
  <si>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</si>
  <si>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</si>
  <si>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</si>
  <si>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</si>
  <si>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</si>
  <si>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</si>
  <si>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</si>
  <si>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</si>
  <si>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</si>
  <si>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</si>
  <si>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</si>
  <si>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</si>
  <si>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</si>
  <si>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</si>
  <si>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</si>
  <si>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</si>
  <si>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</si>
  <si>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</si>
  <si>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</si>
  <si>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</si>
  <si>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</si>
  <si>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</si>
  <si>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</si>
  <si>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</si>
  <si>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</si>
  <si>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</si>
  <si>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</si>
  <si>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</si>
  <si>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</si>
  <si>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</si>
  <si>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</si>
  <si>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</si>
  <si>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</si>
  <si>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</si>
  <si>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</si>
  <si>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</si>
  <si>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</si>
  <si>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</si>
  <si>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</si>
  <si>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</si>
  <si>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</si>
  <si>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</si>
  <si>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</si>
  <si>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</si>
  <si>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</si>
  <si>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</si>
  <si>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</si>
  <si>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</si>
  <si>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</si>
  <si>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</si>
  <si>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</si>
  <si>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</si>
  <si>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</si>
  <si>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</si>
  <si>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</si>
  <si>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</si>
  <si>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</si>
  <si>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</si>
  <si>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</si>
  <si>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</si>
  <si>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</si>
  <si>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</si>
  <si>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</si>
  <si>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</si>
  <si>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</si>
  <si>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</si>
  <si>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</si>
  <si>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</si>
  <si>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</si>
  <si>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</si>
  <si>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</si>
  <si>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</si>
  <si>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</si>
  <si>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</si>
  <si>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</si>
  <si>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</si>
  <si>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</si>
  <si>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</si>
  <si>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</si>
  <si>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</si>
  <si>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</si>
  <si>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</si>
  <si>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</si>
  <si>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</si>
  <si>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</si>
  <si>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</si>
  <si>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</si>
  <si>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</si>
  <si>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</si>
  <si>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</si>
  <si>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</si>
  <si>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</si>
  <si>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</si>
  <si>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</si>
  <si>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</si>
  <si>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</si>
  <si>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</si>
  <si>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</si>
  <si>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</si>
  <si>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</si>
  <si>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</si>
  <si>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</si>
  <si>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</si>
  <si>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</si>
  <si>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</si>
  <si>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</si>
  <si>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</si>
  <si>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</si>
  <si>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</si>
  <si>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</si>
  <si>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</si>
  <si>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</si>
  <si>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</si>
  <si>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</si>
  <si>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</si>
  <si>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</si>
  <si>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</si>
  <si>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</si>
  <si>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</si>
  <si>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</si>
  <si>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</si>
  <si>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</si>
  <si>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</si>
  <si>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</si>
  <si>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</si>
  <si>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</si>
  <si>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</si>
  <si>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</si>
  <si>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</si>
  <si>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</si>
  <si>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</si>
  <si>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</si>
  <si>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</si>
  <si>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</si>
  <si>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</si>
  <si>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</si>
  <si>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</si>
  <si>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</si>
  <si>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</si>
  <si>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</si>
  <si>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</si>
  <si>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</si>
  <si>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</si>
  <si>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</si>
  <si>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</si>
  <si>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</si>
  <si>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</si>
  <si>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</si>
  <si>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</si>
  <si>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</si>
  <si>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</si>
  <si>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</si>
  <si>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</si>
  <si>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</si>
  <si>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</si>
  <si>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</si>
  <si>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</si>
  <si>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</si>
  <si>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</si>
  <si>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</si>
  <si>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</si>
  <si>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</si>
  <si>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</si>
  <si>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</si>
  <si>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</si>
  <si>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</si>
  <si>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</si>
  <si>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</si>
  <si>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</si>
  <si>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</si>
  <si>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</si>
  <si>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</si>
  <si>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</si>
  <si>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</si>
  <si>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</si>
  <si>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</si>
  <si>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</si>
  <si>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</si>
  <si>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</si>
  <si>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</si>
  <si>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</si>
  <si>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</si>
  <si>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</si>
  <si>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</si>
  <si>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</si>
  <si>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</si>
  <si>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</si>
  <si>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</si>
  <si>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</si>
  <si>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</si>
  <si>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</si>
  <si>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</si>
  <si>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</si>
  <si>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</si>
  <si>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</si>
  <si>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</si>
  <si>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</si>
  <si>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</si>
  <si>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</si>
  <si>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</si>
  <si>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</si>
  <si>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</si>
  <si>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</si>
  <si>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</si>
  <si>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</si>
  <si>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</si>
  <si>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</si>
  <si>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</si>
  <si>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</si>
  <si>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</si>
  <si>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</si>
  <si>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</si>
  <si>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</si>
  <si>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</si>
  <si>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</si>
  <si>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</si>
  <si>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</si>
  <si>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</si>
  <si>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</si>
  <si>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</si>
  <si>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</si>
  <si>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</si>
  <si>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</si>
  <si>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</si>
  <si>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</si>
  <si>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</si>
  <si>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</si>
  <si>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</si>
  <si>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</si>
  <si>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</si>
  <si>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</si>
  <si>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</si>
  <si>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</si>
  <si>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</si>
  <si>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</si>
  <si>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</si>
  <si>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</si>
  <si>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</si>
  <si>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</si>
  <si>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</si>
  <si>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</si>
  <si>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</si>
  <si>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</si>
  <si>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</si>
  <si>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</si>
  <si>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</si>
  <si>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</si>
  <si>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</si>
  <si>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</si>
  <si>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</si>
  <si>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</si>
  <si>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</si>
  <si>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</si>
  <si>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</si>
  <si>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</si>
  <si>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</si>
  <si>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</si>
  <si>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</si>
  <si>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</si>
  <si>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</si>
  <si>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</si>
  <si>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</si>
  <si>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</si>
  <si>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</si>
  <si>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</si>
  <si>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</si>
  <si>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</si>
  <si>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</si>
  <si>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</si>
  <si>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</si>
  <si>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</si>
  <si>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</si>
  <si>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</si>
  <si>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</si>
  <si>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</si>
  <si>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</si>
  <si>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</si>
  <si>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</si>
  <si>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</si>
  <si>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</si>
  <si>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</si>
  <si>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</si>
  <si>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</si>
  <si>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</si>
  <si>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</si>
  <si>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</si>
  <si>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</si>
  <si>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</si>
  <si>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</si>
  <si>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</si>
  <si>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</si>
  <si>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</si>
  <si>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</si>
  <si>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</si>
  <si>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</si>
  <si>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</si>
  <si>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</si>
  <si>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</si>
  <si>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</si>
  <si>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</si>
  <si>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</si>
  <si>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</si>
  <si>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</si>
  <si>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</si>
  <si>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</si>
  <si>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</si>
  <si>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</si>
  <si>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</si>
  <si>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</si>
  <si>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</si>
  <si>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</si>
  <si>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</si>
  <si>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</si>
  <si>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</si>
  <si>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</si>
  <si>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</si>
  <si>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</si>
  <si>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</si>
  <si>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</si>
  <si>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</si>
  <si>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</si>
  <si>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</si>
  <si>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</si>
  <si>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</si>
  <si>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</si>
  <si>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</si>
  <si>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</si>
  <si>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</si>
  <si>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</si>
  <si>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</si>
  <si>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</si>
  <si>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</si>
  <si>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</si>
  <si>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</si>
  <si>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</si>
  <si>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</si>
  <si>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</si>
  <si>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</si>
  <si>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</si>
  <si>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</si>
  <si>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</si>
  <si>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</si>
  <si>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</si>
  <si>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</si>
  <si>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</si>
  <si>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</si>
  <si>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</si>
  <si>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</si>
  <si>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</si>
  <si>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</si>
  <si>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</si>
  <si>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</si>
  <si>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</si>
  <si>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</si>
  <si>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</si>
  <si>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</si>
  <si>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</si>
  <si>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</si>
  <si>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</si>
  <si>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</si>
  <si>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</si>
  <si>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</si>
  <si>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</si>
  <si>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</si>
  <si>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</si>
  <si>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</si>
  <si>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</si>
  <si>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</si>
  <si>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</si>
  <si>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</si>
  <si>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</si>
  <si>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</si>
  <si>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</si>
  <si>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</si>
  <si>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</si>
  <si>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</si>
  <si>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</si>
  <si>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</si>
  <si>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</si>
  <si>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</si>
  <si>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</si>
  <si>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</si>
  <si>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</si>
  <si>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</si>
  <si>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</si>
  <si>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</si>
  <si>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</si>
  <si>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</si>
  <si>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</si>
  <si>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</si>
  <si>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</si>
  <si>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</si>
  <si>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</si>
  <si>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</si>
  <si>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</si>
  <si>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</si>
  <si>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</si>
  <si>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</si>
  <si>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</si>
  <si>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</si>
  <si>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</si>
  <si>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</si>
  <si>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</si>
  <si>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</si>
  <si>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</si>
  <si>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</si>
  <si>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</si>
  <si>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</si>
  <si>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</si>
  <si>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</si>
  <si>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</si>
  <si>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</si>
  <si>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</si>
  <si>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</si>
  <si>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</si>
  <si>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</si>
  <si>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</si>
  <si>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</si>
  <si>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</si>
  <si>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</si>
  <si>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</si>
  <si>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</si>
  <si>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</si>
  <si>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</si>
  <si>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</si>
  <si>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</si>
  <si>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</si>
  <si>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</si>
  <si>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</si>
  <si>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</si>
  <si>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</si>
  <si>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</si>
  <si>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</si>
  <si>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</si>
  <si>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</si>
  <si>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</si>
  <si>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</si>
  <si>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</si>
  <si>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</si>
  <si>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</si>
  <si>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</si>
  <si>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</si>
  <si>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</si>
  <si>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</si>
  <si>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</si>
  <si>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</si>
  <si>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</si>
  <si>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</si>
  <si>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</si>
  <si>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</si>
  <si>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</si>
  <si>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</si>
  <si>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</si>
  <si>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</si>
  <si>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</si>
  <si>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</si>
  <si>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</si>
  <si>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</si>
  <si>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</si>
  <si>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</si>
  <si>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</si>
  <si>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</si>
  <si>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</si>
  <si>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</si>
  <si>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</si>
  <si>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</si>
  <si>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</si>
  <si>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</si>
  <si>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</si>
  <si>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</si>
  <si>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</si>
  <si>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</si>
  <si>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</si>
  <si>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</si>
  <si>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</si>
  <si>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</si>
  <si>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</si>
  <si>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</si>
  <si>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</si>
  <si>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</si>
  <si>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</si>
  <si>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</si>
  <si>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</si>
  <si>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</si>
  <si>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</si>
  <si>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</si>
  <si>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</si>
  <si>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</si>
  <si>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</si>
  <si>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</si>
  <si>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</si>
  <si>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</si>
  <si>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</si>
  <si>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</si>
  <si>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</si>
  <si>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</si>
  <si>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</si>
  <si>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</si>
  <si>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</si>
  <si>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</si>
  <si>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</si>
  <si>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</si>
  <si>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</si>
  <si>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</si>
  <si>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</si>
  <si>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</si>
  <si>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</si>
  <si>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</si>
  <si>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</si>
  <si>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</si>
  <si>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</si>
  <si>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</si>
  <si>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</si>
  <si>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</si>
  <si>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</si>
  <si>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</si>
  <si>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</si>
  <si>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</si>
  <si>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</si>
  <si>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</si>
  <si>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</si>
  <si>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</si>
  <si>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</si>
  <si>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</si>
  <si>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</si>
  <si>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</si>
  <si>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</si>
  <si>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</si>
  <si>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</si>
  <si>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</si>
  <si>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</si>
  <si>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</si>
  <si>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</si>
  <si>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</si>
  <si>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</si>
  <si>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</si>
  <si>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</si>
  <si>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</si>
  <si>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</si>
  <si>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</si>
  <si>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</si>
  <si>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</si>
  <si>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</si>
  <si>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</si>
  <si>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</si>
  <si>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</si>
  <si>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</si>
  <si>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</si>
  <si>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</si>
  <si>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</si>
  <si>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</si>
  <si>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</si>
  <si>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</si>
  <si>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</si>
  <si>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</si>
  <si>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</si>
  <si>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</si>
  <si>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</si>
  <si>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</si>
  <si>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</si>
  <si>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</si>
  <si>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</si>
  <si>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</si>
  <si>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</si>
  <si>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</si>
  <si>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</si>
  <si>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</si>
  <si>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</si>
  <si>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</si>
  <si>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</si>
  <si>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</si>
  <si>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</si>
  <si>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</si>
  <si>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</si>
  <si>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</si>
  <si>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</si>
  <si>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</si>
  <si>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</si>
  <si>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</si>
  <si>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</si>
  <si>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</si>
  <si>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</si>
  <si>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</si>
  <si>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</si>
  <si>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</si>
  <si>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</si>
  <si>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</si>
  <si>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</si>
  <si>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</si>
  <si>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</si>
  <si>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</si>
  <si>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</si>
  <si>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</si>
  <si>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</si>
  <si>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</si>
  <si>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</si>
  <si>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</si>
  <si>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</si>
  <si>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</si>
  <si>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</si>
  <si>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</si>
  <si>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</si>
  <si>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</si>
  <si>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</si>
  <si>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</si>
  <si>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</si>
  <si>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</si>
  <si>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</si>
  <si>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</si>
  <si>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</si>
  <si>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</si>
  <si>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</si>
  <si>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</si>
  <si>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</si>
  <si>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</si>
  <si>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</si>
  <si>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</si>
  <si>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</si>
  <si>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</si>
  <si>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</si>
  <si>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</si>
  <si>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</si>
  <si>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</si>
  <si>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</si>
  <si>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</si>
  <si>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</si>
  <si>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</si>
  <si>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</si>
  <si>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</si>
  <si>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</si>
  <si>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</si>
  <si>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</si>
  <si>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</si>
  <si>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</si>
  <si>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</si>
  <si>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</si>
  <si>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</si>
  <si>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</si>
  <si>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</si>
  <si>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</si>
  <si>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</si>
  <si>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</si>
  <si>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</si>
  <si>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</si>
  <si>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</si>
  <si>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</si>
  <si>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</si>
  <si>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</si>
  <si>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</si>
  <si>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</si>
  <si>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</si>
  <si>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</si>
  <si>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</si>
  <si>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</si>
  <si>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</si>
  <si>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</si>
  <si>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</si>
  <si>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</si>
  <si>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</si>
  <si>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</si>
  <si>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</si>
  <si>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</si>
  <si>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无</t>
  </si>
  <si>
    <t>否</t>
  </si>
  <si>
    <t>现房</t>
  </si>
  <si>
    <t>是</t>
  </si>
  <si>
    <t>成新度</t>
  </si>
  <si>
    <t>较好</t>
  </si>
  <si>
    <t>一般</t>
  </si>
  <si>
    <t>较差</t>
  </si>
  <si>
    <t>好</t>
  </si>
  <si>
    <t>自定义容积率</t>
  </si>
  <si>
    <t>未包含在土地购买价格中</t>
  </si>
  <si>
    <t>全部缴纳</t>
  </si>
  <si>
    <t>已包含在土地取得成本中</t>
  </si>
  <si>
    <t>钢混</t>
  </si>
  <si>
    <t>生产用房</t>
  </si>
  <si>
    <t>押一</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</si>
  <si>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</si>
  <si>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</si>
  <si>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</si>
  <si>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</si>
  <si>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</si>
  <si>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</si>
  <si>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</si>
  <si>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</si>
  <si>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</si>
  <si>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</si>
  <si>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</si>
  <si>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</si>
  <si>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</si>
  <si>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</si>
  <si>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</si>
  <si>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</si>
  <si>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</si>
  <si>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</si>
  <si>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</si>
  <si>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</si>
  <si>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</si>
  <si>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</si>
  <si>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</si>
  <si>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</si>
  <si>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</si>
  <si>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</si>
  <si>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</si>
  <si>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</si>
  <si>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</si>
  <si>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</si>
  <si>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</si>
  <si>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</si>
  <si>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</si>
  <si>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</si>
  <si>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</si>
  <si>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</si>
  <si>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</si>
  <si>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</si>
  <si>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</si>
  <si>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</si>
  <si>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</si>
  <si>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不临65条商业街</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</si>
  <si>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</si>
  <si>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</si>
  <si>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</si>
  <si>
    <t>中心城区</t>
  </si>
  <si>
    <t>商业项目</t>
  </si>
  <si>
    <t>商业</t>
    <phoneticPr fontId="30" type="noConversion"/>
  </si>
  <si>
    <t>裙楼底商</t>
  </si>
  <si>
    <t>裙楼底商</t>
    <phoneticPr fontId="30" type="noConversion"/>
  </si>
  <si>
    <t>钢混</t>
    <phoneticPr fontId="30" type="noConversion"/>
  </si>
  <si>
    <t>可餐饮</t>
  </si>
  <si>
    <t>可餐饮</t>
    <phoneticPr fontId="30" type="noConversion"/>
  </si>
  <si>
    <t>不可餐饮</t>
    <phoneticPr fontId="30" type="noConversion"/>
  </si>
  <si>
    <t>精装</t>
  </si>
  <si>
    <t>精装</t>
    <phoneticPr fontId="30" type="noConversion"/>
  </si>
  <si>
    <t>简装</t>
    <phoneticPr fontId="30" type="noConversion"/>
  </si>
  <si>
    <t>毛坯</t>
    <phoneticPr fontId="30" type="noConversion"/>
  </si>
  <si>
    <t>差</t>
  </si>
  <si>
    <t>挂牌</t>
    <phoneticPr fontId="30" type="noConversion"/>
  </si>
  <si>
    <t>1层</t>
  </si>
  <si>
    <t>较好</t>
    <phoneticPr fontId="30" type="noConversion"/>
  </si>
  <si>
    <t>挂牌</t>
  </si>
  <si>
    <t>收益比率</t>
  </si>
  <si>
    <t>1-2层</t>
  </si>
  <si>
    <t>自然人</t>
  </si>
  <si>
    <t>单面临街</t>
  </si>
  <si>
    <t>单面临街</t>
    <phoneticPr fontId="30" type="noConversion"/>
  </si>
  <si>
    <t>较大</t>
  </si>
  <si>
    <t>较大</t>
    <phoneticPr fontId="30" type="noConversion"/>
  </si>
  <si>
    <t>一般</t>
    <phoneticPr fontId="30" type="noConversion"/>
  </si>
  <si>
    <t>较小</t>
    <phoneticPr fontId="30" type="noConversion"/>
  </si>
  <si>
    <t>不可餐饮</t>
  </si>
  <si>
    <r>
      <t>1-2</t>
    </r>
    <r>
      <rPr>
        <sz val="11"/>
        <color indexed="8"/>
        <rFont val="宋体"/>
        <family val="3"/>
        <charset val="134"/>
      </rPr>
      <t>层</t>
    </r>
    <phoneticPr fontId="30" type="noConversion"/>
  </si>
  <si>
    <r>
      <t>2</t>
    </r>
    <r>
      <rPr>
        <sz val="11"/>
        <color indexed="8"/>
        <rFont val="宋体"/>
        <family val="3"/>
        <charset val="134"/>
      </rPr>
      <t>层</t>
    </r>
    <phoneticPr fontId="30" type="noConversion"/>
  </si>
  <si>
    <r>
      <t>1</t>
    </r>
    <r>
      <rPr>
        <sz val="11"/>
        <color indexed="8"/>
        <rFont val="宋体"/>
        <family val="3"/>
        <charset val="134"/>
      </rPr>
      <t>层</t>
    </r>
    <phoneticPr fontId="30" type="noConversion"/>
  </si>
  <si>
    <t>豆瓣胡同</t>
    <phoneticPr fontId="30" type="noConversion"/>
  </si>
  <si>
    <r>
      <t>1</t>
    </r>
    <r>
      <rPr>
        <sz val="11"/>
        <color indexed="10"/>
        <rFont val="宋体"/>
        <family val="3"/>
        <charset val="134"/>
      </rPr>
      <t>层</t>
    </r>
    <phoneticPr fontId="30" type="noConversion"/>
  </si>
  <si>
    <r>
      <t>2</t>
    </r>
    <r>
      <rPr>
        <sz val="11"/>
        <color indexed="53"/>
        <rFont val="宋体"/>
        <family val="3"/>
        <charset val="134"/>
      </rPr>
      <t>层</t>
    </r>
    <phoneticPr fontId="30" type="noConversion"/>
  </si>
  <si>
    <r>
      <t>1-2</t>
    </r>
    <r>
      <rPr>
        <sz val="11"/>
        <rFont val="宋体"/>
        <family val="3"/>
        <charset val="134"/>
      </rPr>
      <t>层</t>
    </r>
    <phoneticPr fontId="30" type="noConversion"/>
  </si>
  <si>
    <t>较好</t>
    <phoneticPr fontId="30" type="noConversion"/>
  </si>
  <si>
    <t>日坛精华</t>
    <phoneticPr fontId="30" type="noConversion"/>
  </si>
  <si>
    <t>较好</t>
    <phoneticPr fontId="30" type="noConversion"/>
  </si>
  <si>
    <t>朝阳门南小街</t>
    <phoneticPr fontId="30" type="noConversion"/>
  </si>
  <si>
    <r>
      <t>20</t>
    </r>
    <r>
      <rPr>
        <sz val="11"/>
        <color indexed="8"/>
        <rFont val="宋体"/>
        <family val="3"/>
        <charset val="134"/>
      </rPr>
      <t>年</t>
    </r>
    <phoneticPr fontId="30" type="noConversion"/>
  </si>
  <si>
    <t>地下</t>
  </si>
  <si>
    <t>与级别开发程度不一致</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</si>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</sst>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14" fillId="18" borderId="37" xfId="0" applyNumberFormat="1"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protection locked="0"/>
    </xf>
    <xf numFmtId="0" fontId="44" fillId="18" borderId="5" xfId="0"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3</xdr:col>
      <xdr:colOff>323021</xdr:colOff>
      <xdr:row>19</xdr:row>
      <xdr:rowOff>72090</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
          <a:ext cx="2385391" cy="3376850"/>
        </a:xfrm>
        <a:prstGeom prst="rect">
          <a:avLst/>
        </a:prstGeom>
      </xdr:spPr>
    </xdr:pic>
    <xdr:clientData/>
  </xdr:twoCellAnchor>
  <xdr:twoCellAnchor editAs="oneCell">
    <xdr:from>
      <xdr:col>4</xdr:col>
      <xdr:colOff>58704</xdr:colOff>
      <xdr:row>0</xdr:row>
      <xdr:rowOff>8283</xdr:rowOff>
    </xdr:from>
    <xdr:to>
      <xdr:col>7</xdr:col>
      <xdr:colOff>182075</xdr:colOff>
      <xdr:row>18</xdr:row>
      <xdr:rowOff>135006</xdr:rowOff>
    </xdr:to>
    <xdr:pic>
      <xdr:nvPicPr>
        <xdr:cNvPr id="14" name="图片 13"/>
        <xdr:cNvPicPr>
          <a:picLocks noChangeAspect="1"/>
        </xdr:cNvPicPr>
      </xdr:nvPicPr>
      <xdr:blipFill>
        <a:blip xmlns:r="http://schemas.openxmlformats.org/officeDocument/2006/relationships" r:embed="rId2"/>
        <a:stretch>
          <a:fillRect/>
        </a:stretch>
      </xdr:blipFill>
      <xdr:spPr>
        <a:xfrm>
          <a:off x="2808530" y="8283"/>
          <a:ext cx="2185741" cy="3257549"/>
        </a:xfrm>
        <a:prstGeom prst="rect">
          <a:avLst/>
        </a:prstGeom>
      </xdr:spPr>
    </xdr:pic>
    <xdr:clientData/>
  </xdr:twoCellAnchor>
  <xdr:twoCellAnchor editAs="oneCell">
    <xdr:from>
      <xdr:col>7</xdr:col>
      <xdr:colOff>641918</xdr:colOff>
      <xdr:row>0</xdr:row>
      <xdr:rowOff>0</xdr:rowOff>
    </xdr:from>
    <xdr:to>
      <xdr:col>11</xdr:col>
      <xdr:colOff>29670</xdr:colOff>
      <xdr:row>19</xdr:row>
      <xdr:rowOff>12796</xdr:rowOff>
    </xdr:to>
    <xdr:pic>
      <xdr:nvPicPr>
        <xdr:cNvPr id="15" name="图片 14"/>
        <xdr:cNvPicPr>
          <a:picLocks noChangeAspect="1"/>
        </xdr:cNvPicPr>
      </xdr:nvPicPr>
      <xdr:blipFill>
        <a:blip xmlns:r="http://schemas.openxmlformats.org/officeDocument/2006/relationships" r:embed="rId3"/>
        <a:stretch>
          <a:fillRect/>
        </a:stretch>
      </xdr:blipFill>
      <xdr:spPr>
        <a:xfrm>
          <a:off x="5454114" y="0"/>
          <a:ext cx="2137578" cy="3317557"/>
        </a:xfrm>
        <a:prstGeom prst="rect">
          <a:avLst/>
        </a:prstGeom>
      </xdr:spPr>
    </xdr:pic>
    <xdr:clientData/>
  </xdr:twoCellAnchor>
  <xdr:twoCellAnchor editAs="oneCell">
    <xdr:from>
      <xdr:col>11</xdr:col>
      <xdr:colOff>400976</xdr:colOff>
      <xdr:row>0</xdr:row>
      <xdr:rowOff>0</xdr:rowOff>
    </xdr:from>
    <xdr:to>
      <xdr:col>15</xdr:col>
      <xdr:colOff>594129</xdr:colOff>
      <xdr:row>24</xdr:row>
      <xdr:rowOff>65450</xdr:rowOff>
    </xdr:to>
    <xdr:pic>
      <xdr:nvPicPr>
        <xdr:cNvPr id="16" name="图片 15"/>
        <xdr:cNvPicPr>
          <a:picLocks noChangeAspect="1"/>
        </xdr:cNvPicPr>
      </xdr:nvPicPr>
      <xdr:blipFill>
        <a:blip xmlns:r="http://schemas.openxmlformats.org/officeDocument/2006/relationships" r:embed="rId4"/>
        <a:stretch>
          <a:fillRect/>
        </a:stretch>
      </xdr:blipFill>
      <xdr:spPr>
        <a:xfrm>
          <a:off x="7962998" y="0"/>
          <a:ext cx="2942979" cy="4239885"/>
        </a:xfrm>
        <a:prstGeom prst="rect">
          <a:avLst/>
        </a:prstGeom>
      </xdr:spPr>
    </xdr:pic>
    <xdr:clientData/>
  </xdr:twoCellAnchor>
  <xdr:twoCellAnchor editAs="oneCell">
    <xdr:from>
      <xdr:col>0</xdr:col>
      <xdr:colOff>140805</xdr:colOff>
      <xdr:row>19</xdr:row>
      <xdr:rowOff>124238</xdr:rowOff>
    </xdr:from>
    <xdr:to>
      <xdr:col>4</xdr:col>
      <xdr:colOff>82827</xdr:colOff>
      <xdr:row>42</xdr:row>
      <xdr:rowOff>60143</xdr:rowOff>
    </xdr:to>
    <xdr:pic>
      <xdr:nvPicPr>
        <xdr:cNvPr id="17" name="图片 16"/>
        <xdr:cNvPicPr>
          <a:picLocks noChangeAspect="1"/>
        </xdr:cNvPicPr>
      </xdr:nvPicPr>
      <xdr:blipFill>
        <a:blip xmlns:r="http://schemas.openxmlformats.org/officeDocument/2006/relationships" r:embed="rId5"/>
        <a:stretch>
          <a:fillRect/>
        </a:stretch>
      </xdr:blipFill>
      <xdr:spPr>
        <a:xfrm>
          <a:off x="140805" y="3428999"/>
          <a:ext cx="2691848" cy="3936405"/>
        </a:xfrm>
        <a:prstGeom prst="rect">
          <a:avLst/>
        </a:prstGeom>
      </xdr:spPr>
    </xdr:pic>
    <xdr:clientData/>
  </xdr:twoCellAnchor>
  <xdr:twoCellAnchor editAs="oneCell">
    <xdr:from>
      <xdr:col>4</xdr:col>
      <xdr:colOff>609649</xdr:colOff>
      <xdr:row>19</xdr:row>
      <xdr:rowOff>140805</xdr:rowOff>
    </xdr:from>
    <xdr:to>
      <xdr:col>9</xdr:col>
      <xdr:colOff>107103</xdr:colOff>
      <xdr:row>43</xdr:row>
      <xdr:rowOff>154483</xdr:rowOff>
    </xdr:to>
    <xdr:pic>
      <xdr:nvPicPr>
        <xdr:cNvPr id="18" name="图片 17"/>
        <xdr:cNvPicPr>
          <a:picLocks noChangeAspect="1"/>
        </xdr:cNvPicPr>
      </xdr:nvPicPr>
      <xdr:blipFill>
        <a:blip xmlns:r="http://schemas.openxmlformats.org/officeDocument/2006/relationships" r:embed="rId6"/>
        <a:stretch>
          <a:fillRect/>
        </a:stretch>
      </xdr:blipFill>
      <xdr:spPr>
        <a:xfrm>
          <a:off x="3359475" y="3445566"/>
          <a:ext cx="2934737" cy="41881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估价对象为北京市房地产，为所有。根据《国有土地使用证》[]，估价对象（分摊）出让国有建设用地使用权面积为0平方米，建筑面积为942.8平方米。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估价对象为北京市房地产,属开发建设的商业项目，该项目尚在开发建设中。根据《国有土地使用证》[]，估价对象（分摊）出让国有建设用地使用权面积为0平方米，规划建筑面积为942.8平方米。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2024年11月13日</v>
      </c>
    </row>
    <row r="13" spans="1:2" s="1202" customFormat="1">
      <c r="A13" s="1200" t="s">
        <v>529</v>
      </c>
      <c r="B13" s="1201" t="str">
        <f>'预评函-1'!A18</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1021</v>
      </c>
    </row>
    <row r="21" spans="1:2" s="1202" customFormat="1">
      <c r="A21" s="1200" t="s">
        <v>537</v>
      </c>
      <c r="B21" s="1201">
        <f ca="1">'预评函-2'!D7</f>
        <v>10830</v>
      </c>
    </row>
    <row r="22" spans="1:2" s="1202" customFormat="1">
      <c r="A22" s="1200" t="s">
        <v>538</v>
      </c>
      <c r="B22" s="1201" t="str">
        <f ca="1">'预评函-2'!D6</f>
        <v>壹仟零贰拾壹万元整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1021</v>
      </c>
    </row>
    <row r="31" spans="1:2" s="1202" customFormat="1">
      <c r="A31" s="1200" t="s">
        <v>576</v>
      </c>
      <c r="B31" s="1201">
        <f ca="1">'预评函-2'!D15</f>
        <v>10830</v>
      </c>
    </row>
    <row r="32" spans="1:2" s="1202" customFormat="1">
      <c r="A32" s="1200" t="s">
        <v>543</v>
      </c>
      <c r="B32" s="1201" t="str">
        <f ca="1">'预评函-2'!D14</f>
        <v>壹仟零贰拾壹万元整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942.8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78</v>
      </c>
    </row>
    <row r="48" spans="1:2" s="1202" customFormat="1">
      <c r="A48" s="1200" t="s">
        <v>549</v>
      </c>
      <c r="B48" s="1201">
        <f ca="1">'预评函-3'!E4</f>
        <v>823</v>
      </c>
    </row>
    <row r="49" spans="1:2" s="1202" customFormat="1">
      <c r="A49" s="1200" t="s">
        <v>550</v>
      </c>
      <c r="B49" s="1201" t="str">
        <f ca="1">'预评函-3'!D5</f>
        <v>柒拾捌万元整</v>
      </c>
    </row>
    <row r="50" spans="1:2" s="1202" customFormat="1">
      <c r="A50" s="1200" t="s">
        <v>574</v>
      </c>
      <c r="B50" s="1201" t="str">
        <f>'预评函-3'!F2</f>
        <v>在建建筑物价值</v>
      </c>
    </row>
    <row r="51" spans="1:2" s="1202" customFormat="1">
      <c r="A51" s="1200" t="s">
        <v>551</v>
      </c>
      <c r="B51" s="1201">
        <f ca="1">'预评函-3'!F4</f>
        <v>943</v>
      </c>
    </row>
    <row r="52" spans="1:2" s="1202" customFormat="1">
      <c r="A52" s="1200" t="s">
        <v>552</v>
      </c>
      <c r="B52" s="1201">
        <f ca="1">'预评函-3'!G4</f>
        <v>10007</v>
      </c>
    </row>
    <row r="53" spans="1:2" s="1202" customFormat="1">
      <c r="A53" s="1200" t="s">
        <v>580</v>
      </c>
      <c r="B53" s="1201" t="str">
        <f ca="1">'预评函-3'!F5</f>
        <v>玖佰肆拾叁万元整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3351</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3337</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3338</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3339</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3340</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3341</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3342</v>
      </c>
    </row>
    <row r="8" spans="1:23">
      <c r="A8" s="1545" t="s">
        <v>1026</v>
      </c>
      <c r="B8" s="1545" t="s">
        <v>1027</v>
      </c>
      <c r="C8" s="1546" t="s">
        <v>319</v>
      </c>
      <c r="F8" s="1547" t="s">
        <v>1028</v>
      </c>
      <c r="H8" s="1547" t="s">
        <v>2579</v>
      </c>
      <c r="I8" s="1547" t="s">
        <v>3343</v>
      </c>
    </row>
    <row r="9" spans="1:23">
      <c r="A9" s="1545" t="s">
        <v>1029</v>
      </c>
      <c r="B9" s="1545" t="s">
        <v>1030</v>
      </c>
      <c r="C9" s="1546" t="s">
        <v>320</v>
      </c>
      <c r="F9" s="1547" t="s">
        <v>1031</v>
      </c>
      <c r="H9" s="1547"/>
      <c r="I9" s="1550" t="s">
        <v>3344</v>
      </c>
    </row>
    <row r="10" spans="1:23">
      <c r="A10" s="1545" t="s">
        <v>1032</v>
      </c>
      <c r="B10" s="1545" t="s">
        <v>1033</v>
      </c>
      <c r="C10" s="1546" t="s">
        <v>321</v>
      </c>
      <c r="F10" s="1547" t="s">
        <v>2580</v>
      </c>
      <c r="I10" s="1550" t="s">
        <v>3345</v>
      </c>
    </row>
    <row r="11" spans="1:23">
      <c r="A11" s="1545" t="s">
        <v>1034</v>
      </c>
      <c r="B11" s="1545" t="s">
        <v>1035</v>
      </c>
      <c r="C11" s="1546" t="s">
        <v>322</v>
      </c>
      <c r="F11" s="1547" t="s">
        <v>13</v>
      </c>
      <c r="I11" s="1550" t="s">
        <v>3346</v>
      </c>
    </row>
    <row r="12" spans="1:23">
      <c r="A12" s="1545" t="s">
        <v>1036</v>
      </c>
      <c r="B12" s="1545" t="s">
        <v>1037</v>
      </c>
      <c r="C12" s="1546" t="s">
        <v>323</v>
      </c>
      <c r="I12" s="1550" t="s">
        <v>3347</v>
      </c>
    </row>
    <row r="13" spans="1:23">
      <c r="A13" s="1545" t="s">
        <v>1038</v>
      </c>
      <c r="B13" s="1545" t="s">
        <v>1039</v>
      </c>
      <c r="C13" s="1546" t="s">
        <v>324</v>
      </c>
      <c r="I13" s="1550" t="s">
        <v>3348</v>
      </c>
    </row>
    <row r="14" spans="1:23">
      <c r="A14" s="1545" t="s">
        <v>1040</v>
      </c>
      <c r="B14" s="1545" t="s">
        <v>1041</v>
      </c>
      <c r="C14" s="1547" t="s">
        <v>13</v>
      </c>
      <c r="I14" s="1550" t="s">
        <v>3349</v>
      </c>
    </row>
    <row r="15" spans="1:23">
      <c r="A15" s="1545" t="s">
        <v>1042</v>
      </c>
      <c r="B15" s="1545" t="s">
        <v>1043</v>
      </c>
      <c r="C15" s="1546"/>
      <c r="I15" s="1550" t="s">
        <v>3350</v>
      </c>
    </row>
    <row r="16" spans="1:23">
      <c r="A16" s="1545" t="s">
        <v>1044</v>
      </c>
      <c r="B16" s="1545" t="s">
        <v>312</v>
      </c>
      <c r="C16" s="1546"/>
    </row>
    <row r="17" spans="1:3">
      <c r="A17" s="1545" t="s">
        <v>1045</v>
      </c>
      <c r="B17" s="1545" t="s">
        <v>2293</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9"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3" t="s">
        <v>385</v>
      </c>
      <c r="C54" s="1550" t="s">
        <v>583</v>
      </c>
    </row>
    <row r="55" spans="1:4">
      <c r="A55" s="3499"/>
      <c r="B55" s="1553" t="s">
        <v>386</v>
      </c>
      <c r="C55" s="1550" t="s">
        <v>584</v>
      </c>
    </row>
    <row r="56" spans="1:4">
      <c r="A56" s="3499"/>
      <c r="B56" s="1553" t="s">
        <v>387</v>
      </c>
      <c r="C56" s="1550" t="s">
        <v>588</v>
      </c>
    </row>
    <row r="57" spans="1:4">
      <c r="A57" s="3499"/>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0"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500" t="s">
        <v>2582</v>
      </c>
      <c r="J2" s="3500"/>
      <c r="K2" s="3500"/>
      <c r="L2" s="3500"/>
      <c r="M2" s="3500"/>
      <c r="N2" s="3500"/>
      <c r="O2" s="3500"/>
      <c r="P2" s="3500"/>
      <c r="Q2" s="3500"/>
      <c r="R2" s="3500"/>
    </row>
    <row r="3" spans="1:18">
      <c r="A3" s="3019" t="s">
        <v>2503</v>
      </c>
      <c r="B3" s="3020">
        <f>项目基本情况!D3</f>
        <v>45609</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2.09</v>
      </c>
      <c r="D5" s="3024">
        <f>IF(ISERROR(ROUND(POWER(1+E5,A5-C5)*(POWER(1+E5,C5)-1)/(POWER(1+E5,A5)-1),3)),0,ROUND(POWER(1+E5,A5-C5)*(POWER(1+E5,C5)-1)/(POWER(1+E5,A5)-1),4))</f>
        <v>9.9400000000000002E-2</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12.1</v>
      </c>
      <c r="D6" s="3024">
        <f>IF(ISERROR(ROUND(POWER(1+E6,A6-C6)*(POWER(1+E6,C6)-1)/(POWER(1+E6,A6)-1),3)),0,ROUND(POWER(1+E6,A6-C6)*(POWER(1+E6,C6)-1)/(POWER(1+E6,A6)-1),4))</f>
        <v>0.43969999999999998</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32.119999999999997</v>
      </c>
      <c r="D7" s="3024">
        <f>IF(ISERROR(ROUND(POWER(1+E7,A7-C7)*(POWER(1+E7,C7)-1)/(POWER(1+E7,A7)-1),3)),0,ROUND(POWER(1+E7,A7-C7)*(POWER(1+E7,C7)-1)/(POWER(1+E7,A7)-1),4))</f>
        <v>0.76539999999999997</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45609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3388</v>
      </c>
      <c r="C8" s="2389"/>
      <c r="D8" s="3504" t="s">
        <v>2177</v>
      </c>
      <c r="E8" s="2390" t="s">
        <v>3389</v>
      </c>
      <c r="F8" s="2391"/>
      <c r="G8" s="2662"/>
      <c r="H8" s="2662"/>
      <c r="I8" s="2662"/>
      <c r="J8" s="2438"/>
      <c r="K8" s="2613"/>
      <c r="L8" s="2612"/>
      <c r="M8" s="2612"/>
      <c r="N8" s="2438"/>
      <c r="O8" s="2449"/>
      <c r="P8" s="2438"/>
      <c r="Q8" s="2438"/>
      <c r="R8" s="2438"/>
    </row>
    <row r="9" spans="1:30" ht="13.5" thickBot="1">
      <c r="A9" s="2392" t="s">
        <v>2178</v>
      </c>
      <c r="B9" s="2393" t="s">
        <v>3389</v>
      </c>
      <c r="C9" s="2394"/>
      <c r="D9" s="3505"/>
      <c r="E9" s="2393"/>
      <c r="F9" s="2395"/>
      <c r="G9" s="2664"/>
      <c r="H9" s="2664"/>
      <c r="I9" s="2664"/>
      <c r="J9" s="2438"/>
      <c r="K9" s="2615"/>
      <c r="L9" s="2612"/>
      <c r="M9" s="2612"/>
      <c r="N9" s="2438"/>
      <c r="O9" s="2449"/>
      <c r="P9" s="2438"/>
      <c r="Q9" s="2438"/>
      <c r="R9" s="2438"/>
    </row>
    <row r="10" spans="1:30" ht="13.5" thickTop="1">
      <c r="A10" s="2396" t="s">
        <v>2179</v>
      </c>
      <c r="B10" s="2397" t="s">
        <v>3390</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3472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4"/>
    </row>
    <row r="13" spans="1:30">
      <c r="A13" s="3422" t="s">
        <v>3333</v>
      </c>
      <c r="B13" s="2406" t="s">
        <v>2190</v>
      </c>
      <c r="C13" s="855"/>
      <c r="D13" s="855">
        <v>52180</v>
      </c>
      <c r="E13" s="855"/>
      <c r="F13" s="855"/>
      <c r="G13" s="855"/>
      <c r="H13" s="855"/>
      <c r="I13" s="855">
        <v>46418</v>
      </c>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f>IF(A13="出让",IF(I13="","",ROUNDDOWN(MIN((I13-$D$3)/365,I14),2)),I14)</f>
        <v>2.21</v>
      </c>
      <c r="J15" s="3063"/>
      <c r="K15" s="2450"/>
      <c r="L15" s="2450"/>
      <c r="M15" s="2508"/>
      <c r="N15" s="2450"/>
      <c r="O15" s="2508"/>
      <c r="P15" s="2438"/>
      <c r="Q15" s="2438"/>
      <c r="AD15" s="1744"/>
    </row>
    <row r="16" spans="1:30">
      <c r="A16" s="2399" t="s">
        <v>2193</v>
      </c>
      <c r="B16" s="3511"/>
      <c r="C16" s="3512"/>
      <c r="D16" s="3513"/>
      <c r="E16" s="2412" t="s">
        <v>2194</v>
      </c>
      <c r="F16" s="3514"/>
      <c r="G16" s="3515"/>
      <c r="H16" s="3515"/>
      <c r="I16" s="3516"/>
      <c r="J16" s="2438"/>
      <c r="K16" s="2616"/>
      <c r="L16" s="2450"/>
      <c r="M16" s="2450"/>
      <c r="N16" s="2508"/>
      <c r="O16" s="2450"/>
      <c r="P16" s="2508"/>
      <c r="Q16" s="2438"/>
      <c r="R16" s="2438"/>
    </row>
    <row r="17" spans="1:28">
      <c r="A17" s="313" t="s">
        <v>2195</v>
      </c>
      <c r="B17" s="302" t="s">
        <v>2196</v>
      </c>
      <c r="C17" s="8">
        <f>'数据-汇总表'!E3</f>
        <v>942.8</v>
      </c>
      <c r="D17" s="2321" t="s">
        <v>2197</v>
      </c>
      <c r="E17" s="3517" t="s">
        <v>2198</v>
      </c>
      <c r="F17" s="3518"/>
      <c r="G17" s="3518"/>
      <c r="H17" s="3518"/>
      <c r="I17" s="3519"/>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0" t="s">
        <v>2202</v>
      </c>
      <c r="F18" s="3521"/>
      <c r="G18" s="3521"/>
      <c r="H18" s="3521"/>
      <c r="I18" s="3522"/>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7" t="s">
        <v>2206</v>
      </c>
      <c r="C20" s="3508"/>
      <c r="D20" s="3509" t="s">
        <v>2207</v>
      </c>
      <c r="E20" s="3510"/>
      <c r="F20" s="2646" t="s">
        <v>1056</v>
      </c>
      <c r="G20" s="2663"/>
      <c r="H20" s="2663"/>
      <c r="I20" s="2663"/>
      <c r="J20" s="2438"/>
      <c r="K20" s="3506"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0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2024-G21</f>
        <v>20</v>
      </c>
      <c r="H22" s="2663"/>
      <c r="I22" s="2663"/>
      <c r="J22" s="2438"/>
      <c r="K22" s="350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40-(G22+2)</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4" t="s">
        <v>2214</v>
      </c>
      <c r="B27" s="320" t="s">
        <v>2215</v>
      </c>
      <c r="C27" s="2415" t="s">
        <v>3453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4"/>
      <c r="B28" s="302" t="s">
        <v>2216</v>
      </c>
      <c r="C28" s="2417" t="s">
        <v>3391</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4"/>
      <c r="B29" s="302" t="s">
        <v>2217</v>
      </c>
      <c r="C29" s="2419" t="s">
        <v>3392</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25"/>
      <c r="B30" s="302" t="s">
        <v>2218</v>
      </c>
      <c r="C30" s="3526"/>
      <c r="D30" s="3527"/>
      <c r="E30" s="2663"/>
      <c r="F30" s="2663"/>
      <c r="G30" s="2663"/>
      <c r="H30" s="2663"/>
      <c r="I30" s="2663"/>
      <c r="J30" s="2438"/>
      <c r="K30" s="2615"/>
      <c r="L30" s="2612"/>
      <c r="M30" s="2612"/>
      <c r="N30" s="2438"/>
      <c r="O30" s="2449"/>
      <c r="P30" s="2438"/>
      <c r="Q30" s="2438"/>
      <c r="R30" s="2438"/>
      <c r="S30" s="2438"/>
      <c r="T30" s="2438"/>
      <c r="U30" s="2438"/>
      <c r="V30" s="2438"/>
    </row>
    <row r="31" spans="1:28">
      <c r="A31" s="3528" t="s">
        <v>2219</v>
      </c>
      <c r="B31" s="2421" t="s">
        <v>3393</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2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2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23" t="s">
        <v>2228</v>
      </c>
      <c r="T34" s="2427" t="str">
        <f>NUMBERSTRING(7-K34,1)&amp;"通"</f>
        <v>七通</v>
      </c>
      <c r="U34" s="2438"/>
      <c r="V34" s="2438"/>
    </row>
    <row r="35" spans="1:30">
      <c r="A35" s="2428"/>
      <c r="B35" s="3530" t="s">
        <v>2229</v>
      </c>
      <c r="C35" s="3530"/>
      <c r="D35" s="3530"/>
      <c r="E35" s="3530"/>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8"/>
      <c r="V35" s="2438"/>
    </row>
    <row r="36" spans="1:30">
      <c r="A36" s="2429"/>
      <c r="B36" s="663" t="s">
        <v>2185</v>
      </c>
      <c r="C36" s="663" t="s">
        <v>2186</v>
      </c>
      <c r="D36" s="663" t="s">
        <v>2184</v>
      </c>
      <c r="E36" s="663"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303</v>
      </c>
      <c r="C37" s="2430"/>
      <c r="D37" s="2430"/>
      <c r="E37" s="2430" t="s">
        <v>304</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158</v>
      </c>
      <c r="C38" s="2431"/>
      <c r="D38" s="2431"/>
      <c r="E38" s="2431" t="s">
        <v>3446</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942.8</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942.8</v>
      </c>
      <c r="H5" s="13">
        <f t="shared" ref="H5:AT5" si="0">SUM(H13:H656)</f>
        <v>942.8</v>
      </c>
      <c r="I5" s="13">
        <f t="shared" si="0"/>
        <v>942.8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942.8</v>
      </c>
      <c r="BA5" s="15">
        <f t="shared" si="1"/>
        <v>942.8</v>
      </c>
      <c r="BB5" s="15">
        <f t="shared" si="1"/>
        <v>942.8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3492</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地下</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3394</v>
      </c>
      <c r="E13" s="13">
        <f>IF($C$3="是",ROUND($A$3*G13/$B$3,2),ROUND($A$3*(G13-AT13)/$B$3,2))</f>
        <v>0</v>
      </c>
      <c r="F13" s="29"/>
      <c r="G13" s="30">
        <f>H13+AC13+AT13</f>
        <v>942.8</v>
      </c>
      <c r="H13" s="17">
        <f>SUMIF(I$12:AB$12,"总值",I13:AB13)</f>
        <v>942.8</v>
      </c>
      <c r="I13" s="1625">
        <v>942.8</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0</v>
      </c>
      <c r="AZ13" s="13">
        <f>BA13+BL13</f>
        <v>942.8</v>
      </c>
      <c r="BA13" s="13">
        <f>SUM(BB13:BK13)</f>
        <v>942.8</v>
      </c>
      <c r="BB13" s="13">
        <f>IF($D13="是",I13-J13,0)</f>
        <v>942.8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25" sqref="H25"/>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0" t="s">
        <v>1131</v>
      </c>
      <c r="B2" s="3540"/>
      <c r="C2" s="3540"/>
      <c r="D2" s="795" t="s">
        <v>1107</v>
      </c>
      <c r="E2" s="1638" t="s">
        <v>1108</v>
      </c>
      <c r="F2" s="2658"/>
      <c r="G2" s="2649"/>
      <c r="H2" s="2650"/>
      <c r="I2" s="2324" t="s">
        <v>1132</v>
      </c>
      <c r="J2" s="2658"/>
      <c r="K2" s="2658"/>
      <c r="L2" s="2658"/>
      <c r="M2" s="2658"/>
      <c r="N2" s="2660"/>
      <c r="O2" s="2658"/>
      <c r="P2" s="2658"/>
    </row>
    <row r="3" spans="1:16" ht="15.75" thickBot="1">
      <c r="A3" s="3541" t="s">
        <v>1105</v>
      </c>
      <c r="B3" s="3541"/>
      <c r="C3" s="3541"/>
      <c r="D3" s="43">
        <f>'数据-基础表'!AY6</f>
        <v>0</v>
      </c>
      <c r="E3" s="43">
        <f>'数据-基础表'!AZ5</f>
        <v>942.8</v>
      </c>
      <c r="F3" s="2658"/>
      <c r="G3" s="1144"/>
      <c r="H3" s="1025" t="s">
        <v>1106</v>
      </c>
      <c r="I3" s="854" t="e">
        <f>ROUND('数据-基础表'!B3/'数据-基础表'!A3,2)</f>
        <v>#DIV/0!</v>
      </c>
      <c r="J3" s="2658"/>
      <c r="K3" s="2658"/>
      <c r="L3" s="2658"/>
      <c r="M3" s="2658"/>
      <c r="N3" s="2660"/>
      <c r="O3" s="2658"/>
      <c r="P3" s="2658"/>
    </row>
    <row r="4" spans="1:16" ht="15">
      <c r="A4" s="3542"/>
      <c r="B4" s="3543"/>
      <c r="C4" s="3544"/>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45" t="s">
        <v>1110</v>
      </c>
      <c r="C5" s="3545"/>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45" t="s">
        <v>1111</v>
      </c>
      <c r="C6" s="3545"/>
      <c r="D6" s="45">
        <f>ROUND($D$3*E6/$E$3,2)</f>
        <v>0</v>
      </c>
      <c r="E6" s="46">
        <f>E3-E5</f>
        <v>942.8</v>
      </c>
      <c r="F6" s="2658"/>
      <c r="G6" s="2652" t="s">
        <v>1112</v>
      </c>
      <c r="H6" s="1145" t="s">
        <v>1113</v>
      </c>
      <c r="I6" s="2653" t="e">
        <f>ROUND(F31/D31,2)</f>
        <v>#DIV/0!</v>
      </c>
      <c r="J6" s="2658"/>
      <c r="K6" s="2658"/>
      <c r="L6" s="2658"/>
      <c r="M6" s="2658"/>
      <c r="N6" s="2658"/>
      <c r="O6" s="2658"/>
      <c r="P6" s="2658"/>
    </row>
    <row r="7" spans="1:16" ht="15.75" thickBot="1">
      <c r="A7" s="3537"/>
      <c r="B7" s="3538"/>
      <c r="C7" s="3539"/>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0</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942.8</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942.8</v>
      </c>
      <c r="F16" s="2658"/>
      <c r="G16" s="2659"/>
      <c r="H16" s="1647" t="s">
        <v>1135</v>
      </c>
      <c r="I16" s="1648"/>
      <c r="J16" s="1138"/>
      <c r="K16" s="3534" t="s">
        <v>1135</v>
      </c>
      <c r="L16" s="3535"/>
      <c r="M16" s="3535"/>
      <c r="N16" s="3535"/>
      <c r="O16" s="3535"/>
      <c r="P16" s="3536"/>
    </row>
    <row r="17" spans="1:19" ht="15">
      <c r="A17" s="1649" t="s">
        <v>1136</v>
      </c>
      <c r="B17" s="1650" t="s">
        <v>1137</v>
      </c>
      <c r="C17" s="1651" t="s">
        <v>1138</v>
      </c>
      <c r="D17" s="1652" t="s">
        <v>1126</v>
      </c>
      <c r="E17" s="1653" t="s">
        <v>1127</v>
      </c>
      <c r="F17" s="1654"/>
      <c r="G17" s="1655"/>
      <c r="H17" s="1656" t="s">
        <v>1139</v>
      </c>
      <c r="I17" s="1657" t="s">
        <v>1124</v>
      </c>
      <c r="J17" s="1138"/>
      <c r="K17" s="3531" t="s">
        <v>1140</v>
      </c>
      <c r="L17" s="3532"/>
      <c r="M17" s="3533"/>
      <c r="N17" s="3531" t="s">
        <v>1141</v>
      </c>
      <c r="O17" s="3532"/>
      <c r="P17" s="3533"/>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tr">
        <f>'数据-基础表'!I10</f>
        <v>商业</v>
      </c>
      <c r="D19" s="45">
        <f>ROUND($D$3*E19/$E$3,2)</f>
        <v>0</v>
      </c>
      <c r="E19" s="53">
        <f t="shared" ref="E19:E26" si="1">SUM(F19:G19)</f>
        <v>942.8</v>
      </c>
      <c r="F19" s="2794"/>
      <c r="G19" s="2795">
        <f>'数据-基础表'!I13</f>
        <v>942.8</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942.8</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942.8</v>
      </c>
      <c r="F27" s="1139">
        <f>IF(SUM(F19:F26)=E8,SUM(F19:F26),"地上面积有误")</f>
        <v>0</v>
      </c>
      <c r="G27" s="1141">
        <f>SUM(G19:G26)</f>
        <v>942.8</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942.8</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942.8</v>
      </c>
      <c r="F31" s="676">
        <f>F27+F30</f>
        <v>0</v>
      </c>
      <c r="G31" s="677">
        <f>G27+G30</f>
        <v>942.8</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45609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52180</v>
      </c>
      <c r="F6" s="64">
        <f>SUMIF(项目基本情况!C$12:I$12,C6,项目基本情况!C$15:I$15)</f>
        <v>18</v>
      </c>
      <c r="G6" s="65">
        <f>IF(ISERROR(ROUND(POWER(1+H6,D6-F6)*(POWER(1+H6,F6)-1)/(POWER(1+H6,D6)-1),3)),0,ROUND(POWER(1+H6,D6-F6)*(POWER(1+H6,F6)-1)/(POWER(1+H6,D6)-1),3))</f>
        <v>0.68100000000000005</v>
      </c>
      <c r="H6" s="731">
        <v>0.05</v>
      </c>
      <c r="I6" s="731">
        <v>5.5E-2</v>
      </c>
      <c r="J6" s="66">
        <v>7.0000000000000007E-2</v>
      </c>
      <c r="K6" s="1029">
        <f>SUMIF('数据-汇总表'!C$19:C$33,A6,'数据-汇总表'!E$19:E$33)</f>
        <v>942.8</v>
      </c>
      <c r="L6" s="732">
        <v>4500</v>
      </c>
      <c r="M6" s="67">
        <f t="shared" ref="M6:M14" si="0">ROUND(K6*L6/10000,0)</f>
        <v>424</v>
      </c>
      <c r="N6" s="730">
        <f>N20</f>
        <v>0.76</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1.5</v>
      </c>
      <c r="V6" s="70">
        <v>0.02</v>
      </c>
      <c r="W6" s="70">
        <v>0.15</v>
      </c>
      <c r="X6" s="1039"/>
      <c r="Y6" s="71">
        <f>N6</f>
        <v>0.76</v>
      </c>
      <c r="Z6" s="72"/>
      <c r="AA6" s="66"/>
      <c r="AB6" s="66"/>
      <c r="AC6" s="1039"/>
      <c r="AD6" s="73"/>
      <c r="AE6" s="1040">
        <f ca="1">IF(AN6="",0,SUMIF(INDIRECT("'"&amp;AN6&amp;"'"&amp;"!E:E"),$AE$5,INDIRECT("'"&amp;AN6&amp;"'"&amp;"!F:F")))</f>
        <v>18</v>
      </c>
      <c r="AF6" s="1347"/>
      <c r="AG6" s="138">
        <f>IF(AF6="",0,AE6-AF6)</f>
        <v>0</v>
      </c>
      <c r="AH6" s="74"/>
      <c r="AI6" s="76">
        <v>365</v>
      </c>
      <c r="AJ6" s="77"/>
      <c r="AK6" s="78">
        <v>5.0000000000000001E-3</v>
      </c>
      <c r="AL6" s="79">
        <v>1E-3</v>
      </c>
      <c r="AM6" s="80">
        <v>5.0000000000000001E-3</v>
      </c>
      <c r="AN6" s="1714" t="s">
        <v>3418</v>
      </c>
      <c r="AO6" s="52">
        <f ca="1">SUMIF(INDIRECT("'"&amp;AN6&amp;"'"&amp;"!A:A"),"总价",INDIRECT("'"&amp;AN6&amp;"'"&amp;"!B:B"))</f>
        <v>552.24919999999997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0.68100000000000005</v>
      </c>
      <c r="H16" s="90">
        <f>ROUND(SUMPRODUCT(H6:H13,K6:K13)/SUMPRODUCT((H6:H13&gt;0)*(K6:K13)),3)</f>
        <v>0.05</v>
      </c>
      <c r="I16" s="91"/>
      <c r="J16" s="91"/>
      <c r="K16" s="92">
        <f>SUM(K6:K15)</f>
        <v>942.8</v>
      </c>
      <c r="L16" s="93">
        <f>ROUND(M16*10000/SUM(K6:K14),0)</f>
        <v>4497</v>
      </c>
      <c r="M16" s="93">
        <f>SUM(M6:M14)</f>
        <v>424</v>
      </c>
      <c r="N16" s="94">
        <f>ROUND(SUMPRODUCT(M6:M14,N6:N14)/M16,3)</f>
        <v>0.76</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2004</v>
      </c>
      <c r="O17" s="2670"/>
      <c r="P17" s="2670"/>
      <c r="Q17" s="2670"/>
      <c r="R17" s="2670"/>
      <c r="S17" s="2670"/>
      <c r="T17" s="2670"/>
      <c r="U17" s="2670"/>
      <c r="V17" s="2670"/>
      <c r="W17" s="2670"/>
      <c r="X17" s="2670"/>
      <c r="Y17" s="2670"/>
      <c r="Z17" s="2670"/>
      <c r="AA17" s="2670"/>
      <c r="AB17" s="2670"/>
      <c r="AC17" s="2670"/>
      <c r="AD17" s="2670">
        <v>2004</v>
      </c>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ROUND(1-(2024-N17)/60,2)</f>
        <v>0.67</v>
      </c>
      <c r="O18" s="2670">
        <v>0.5</v>
      </c>
      <c r="P18" s="2670"/>
      <c r="Q18" s="2670"/>
      <c r="R18" s="2670"/>
      <c r="S18" s="2670"/>
      <c r="T18" s="2674">
        <f>基准地价修正!U2</f>
        <v>211.76</v>
      </c>
      <c r="U18" s="2670">
        <f>20000*12</f>
        <v>240000</v>
      </c>
      <c r="V18" s="2670">
        <f>U18/T18/365</f>
        <v>3.105091833090964</v>
      </c>
      <c r="W18" s="2670">
        <v>1</v>
      </c>
      <c r="X18" s="2670">
        <v>12.5</v>
      </c>
      <c r="Y18" s="2670">
        <v>90000</v>
      </c>
      <c r="Z18" s="2670"/>
      <c r="AA18" s="2670"/>
      <c r="AB18" s="2670"/>
      <c r="AC18" s="2670"/>
      <c r="AD18" s="2670">
        <f>ROUND(1-(2027-AD17)/60,2)</f>
        <v>0.62</v>
      </c>
      <c r="AE18" s="2670">
        <v>0.5</v>
      </c>
      <c r="AF18" s="2670"/>
      <c r="AG18" s="2670"/>
      <c r="AH18" s="2670"/>
      <c r="AI18" s="2670"/>
      <c r="AJ18" s="2670"/>
      <c r="AK18" s="2670"/>
      <c r="AL18" s="2670"/>
      <c r="AM18" s="2670"/>
      <c r="AN18" s="2670"/>
      <c r="AO18" s="2670"/>
      <c r="AP18" s="2670"/>
      <c r="AQ18" s="2670"/>
      <c r="AR18" s="2670"/>
    </row>
    <row r="19" spans="1:67" ht="14.25">
      <c r="A19" s="1721" t="s">
        <v>1211</v>
      </c>
      <c r="B19" s="103"/>
      <c r="C19" s="2798" t="s">
        <v>2303</v>
      </c>
      <c r="D19" s="2675"/>
      <c r="E19" s="2672"/>
      <c r="F19" s="2672"/>
      <c r="G19" s="2672"/>
      <c r="H19" s="2672"/>
      <c r="I19" s="2672"/>
      <c r="J19" s="2672"/>
      <c r="K19" s="2671"/>
      <c r="L19" s="2671"/>
      <c r="M19" s="2670"/>
      <c r="N19" s="2670">
        <v>0.85</v>
      </c>
      <c r="O19" s="2670">
        <f>1-O18</f>
        <v>0.5</v>
      </c>
      <c r="P19" s="2670"/>
      <c r="Q19" s="2670"/>
      <c r="R19" s="2670"/>
      <c r="S19" s="2670"/>
      <c r="T19" s="2674">
        <f>基准地价修正!U3</f>
        <v>731.04</v>
      </c>
      <c r="U19" s="2670">
        <v>180000</v>
      </c>
      <c r="V19" s="2670">
        <f>U19/T18/365</f>
        <v>2.3288188748182228</v>
      </c>
      <c r="W19" s="2670">
        <v>0.7</v>
      </c>
      <c r="X19" s="2670">
        <f>X18*W19</f>
        <v>8.75</v>
      </c>
      <c r="Y19" s="2670">
        <v>45000</v>
      </c>
      <c r="Z19" s="2670"/>
      <c r="AA19" s="2670"/>
      <c r="AB19" s="2670"/>
      <c r="AC19" s="2670"/>
      <c r="AD19" s="2670">
        <v>0.8</v>
      </c>
      <c r="AE19" s="2670">
        <f>1-AE18</f>
        <v>0.5</v>
      </c>
      <c r="AF19" s="2670"/>
      <c r="AG19" s="2670"/>
      <c r="AH19" s="2670"/>
      <c r="AI19" s="2670"/>
      <c r="AJ19" s="2670"/>
      <c r="AK19" s="2670"/>
      <c r="AL19" s="2670"/>
      <c r="AM19" s="2670"/>
      <c r="AN19" s="2670"/>
      <c r="AO19" s="2670"/>
      <c r="AP19" s="2670"/>
      <c r="AQ19" s="2670"/>
      <c r="AR19" s="2670"/>
    </row>
    <row r="20" spans="1:67" ht="14.25">
      <c r="A20" s="1722" t="s">
        <v>1212</v>
      </c>
      <c r="B20" s="104">
        <v>2</v>
      </c>
      <c r="C20" s="2799" t="s">
        <v>2301</v>
      </c>
      <c r="D20" s="2675"/>
      <c r="E20" s="2672"/>
      <c r="F20" s="2672"/>
      <c r="G20" s="2672"/>
      <c r="H20" s="2672"/>
      <c r="I20" s="2672"/>
      <c r="J20" s="2672"/>
      <c r="K20" s="2671"/>
      <c r="L20" s="2671"/>
      <c r="M20" s="2670"/>
      <c r="N20" s="2670">
        <f>ROUND(N18*O18+N19*O19,2)</f>
        <v>0.76</v>
      </c>
      <c r="O20" s="2670"/>
      <c r="P20" s="2670"/>
      <c r="Q20" s="2670"/>
      <c r="R20" s="2670"/>
      <c r="S20" s="2670"/>
      <c r="T20" s="2670"/>
      <c r="U20" s="2670"/>
      <c r="V20" s="2670"/>
      <c r="W20" s="2670"/>
      <c r="X20" s="2670">
        <f>(X18*T18+X19*T19)/(T18+T19)</f>
        <v>9.592278319898174</v>
      </c>
      <c r="Y20" s="2670">
        <f>(Y18*T18+Y19*T19)/(T18+T19)</f>
        <v>55107.339838778113</v>
      </c>
      <c r="Z20" s="2670"/>
      <c r="AA20" s="2670"/>
      <c r="AB20" s="2670"/>
      <c r="AC20" s="2670"/>
      <c r="AD20" s="2670">
        <f>ROUND(AD18*AE18+AD19*AE19,2)</f>
        <v>0.71</v>
      </c>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f>10/0.8</f>
        <v>12.5</v>
      </c>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f>
        <v>188560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0.05</v>
      </c>
      <c r="C33" s="2802" t="s">
        <v>3376</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3377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2312</v>
      </c>
      <c r="B40" s="1077">
        <f ca="1">IF(A40="利息：取LPR",存贷款利率!G1,存贷款利率!G1+C40)</f>
        <v>3.1E-2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30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144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f>C54</f>
        <v>30</v>
      </c>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3</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6" t="s">
        <v>2286</v>
      </c>
      <c r="B1" s="3547"/>
      <c r="C1" s="3547"/>
      <c r="D1" s="3547"/>
      <c r="E1" s="3547"/>
      <c r="F1" s="3547"/>
      <c r="G1" s="354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942.8</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45609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1021</v>
      </c>
      <c r="C5" s="2511">
        <f ca="1">IF(B5=D14,结果表!H102,ROUND(B5*10000/$B$1,0))</f>
        <v>10830</v>
      </c>
      <c r="D5" s="2511" t="e">
        <f ca="1">ROUND(B5*10000/$B$2,0)</f>
        <v>#DIV/0!</v>
      </c>
      <c r="E5" s="2685"/>
      <c r="F5" s="2686"/>
      <c r="G5" s="2686"/>
      <c r="H5" s="2687"/>
      <c r="I5" s="2687"/>
      <c r="J5" s="2687"/>
      <c r="K5" s="2687"/>
    </row>
    <row r="6" spans="1:11" ht="16.5">
      <c r="A6" s="2511" t="s">
        <v>656</v>
      </c>
      <c r="B6" s="2511">
        <f ca="1">SUM(G14:G23)</f>
        <v>1021</v>
      </c>
      <c r="C6" s="2511">
        <f ca="1">IF(B6=G14,结果表!H108,ROUND(B6*10000/$B$1,0))</f>
        <v>10830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942.8</v>
      </c>
      <c r="C14" s="2517"/>
      <c r="D14" s="2517">
        <f ca="1">结果表!H107</f>
        <v>1021</v>
      </c>
      <c r="E14" s="2517">
        <f ca="1">ROUND(D14*10000/B14,0)</f>
        <v>10829</v>
      </c>
      <c r="F14" s="2517" t="e">
        <f ca="1">ROUND(D14*10000/C14,0)</f>
        <v>#DIV/0!</v>
      </c>
      <c r="G14" s="2517">
        <f ca="1">D14</f>
        <v>1021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3" t="s">
        <v>1265</v>
      </c>
      <c r="B4" s="1754" t="s">
        <v>1266</v>
      </c>
      <c r="C4" s="1755" t="s">
        <v>3494</v>
      </c>
      <c r="D4" s="1755" t="s">
        <v>3418</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6"/>
      <c r="G5" s="1756"/>
      <c r="H5" s="1756"/>
      <c r="I5" s="1372"/>
    </row>
    <row r="6" spans="1:12" ht="12.75">
      <c r="A6" s="3563"/>
      <c r="B6" s="3618"/>
      <c r="C6" s="3623"/>
      <c r="D6" s="3609"/>
      <c r="E6" s="131" t="s">
        <v>1270</v>
      </c>
      <c r="F6" s="1756"/>
      <c r="G6" s="1756"/>
      <c r="H6" s="1756"/>
      <c r="I6" s="1372"/>
    </row>
    <row r="7" spans="1:12" ht="12.75">
      <c r="A7" s="3563"/>
      <c r="B7" s="3618"/>
      <c r="C7" s="3622"/>
      <c r="D7" s="3609"/>
      <c r="E7" s="131" t="s">
        <v>1271</v>
      </c>
      <c r="F7" s="1756"/>
      <c r="G7" s="1756"/>
      <c r="H7" s="1756"/>
      <c r="I7" s="1372"/>
    </row>
    <row r="8" spans="1:12" ht="12.75">
      <c r="A8" s="3563" t="s">
        <v>1272</v>
      </c>
      <c r="B8" s="3618">
        <v>15</v>
      </c>
      <c r="C8" s="3621"/>
      <c r="D8" s="3609"/>
      <c r="E8" s="131" t="s">
        <v>1273</v>
      </c>
      <c r="F8" s="1756"/>
      <c r="G8" s="1756"/>
      <c r="H8" s="1756"/>
      <c r="I8" s="1372"/>
    </row>
    <row r="9" spans="1:12" ht="12.75">
      <c r="A9" s="3563"/>
      <c r="B9" s="3618"/>
      <c r="C9" s="3622"/>
      <c r="D9" s="3609"/>
      <c r="E9" s="131" t="s">
        <v>1274</v>
      </c>
      <c r="F9" s="1756"/>
      <c r="G9" s="1756"/>
      <c r="H9" s="1756"/>
      <c r="I9" s="1372"/>
    </row>
    <row r="10" spans="1:12" ht="12.75">
      <c r="A10" s="3563" t="s">
        <v>1275</v>
      </c>
      <c r="B10" s="3618">
        <v>15</v>
      </c>
      <c r="C10" s="3621"/>
      <c r="D10" s="3609"/>
      <c r="E10" s="131" t="s">
        <v>1276</v>
      </c>
      <c r="F10" s="1756"/>
      <c r="G10" s="1756"/>
      <c r="H10" s="1756"/>
      <c r="I10" s="1372"/>
    </row>
    <row r="11" spans="1:12" ht="12.75">
      <c r="A11" s="3563"/>
      <c r="B11" s="3618"/>
      <c r="C11" s="3622"/>
      <c r="D11" s="3609"/>
      <c r="E11" s="131" t="s">
        <v>1277</v>
      </c>
      <c r="F11" s="1756"/>
      <c r="G11" s="1756"/>
      <c r="H11" s="1756"/>
      <c r="I11" s="1372"/>
    </row>
    <row r="12" spans="1:12" ht="12.75">
      <c r="A12" s="3563" t="s">
        <v>1278</v>
      </c>
      <c r="B12" s="3618">
        <v>15</v>
      </c>
      <c r="C12" s="3621"/>
      <c r="D12" s="3609"/>
      <c r="E12" s="131" t="s">
        <v>1279</v>
      </c>
      <c r="F12" s="1756"/>
      <c r="G12" s="1756"/>
      <c r="H12" s="1756"/>
      <c r="I12" s="1372"/>
    </row>
    <row r="13" spans="1:12" ht="12.75">
      <c r="A13" s="3563"/>
      <c r="B13" s="3618"/>
      <c r="C13" s="3622"/>
      <c r="D13" s="3609"/>
      <c r="E13" s="131" t="s">
        <v>1280</v>
      </c>
      <c r="F13" s="1756"/>
      <c r="G13" s="1756"/>
      <c r="H13" s="1756"/>
      <c r="I13" s="1372"/>
    </row>
    <row r="14" spans="1:12" ht="12.75">
      <c r="A14" s="3563" t="s">
        <v>1281</v>
      </c>
      <c r="B14" s="3618">
        <v>30</v>
      </c>
      <c r="C14" s="3621">
        <v>6</v>
      </c>
      <c r="D14" s="3609">
        <v>4</v>
      </c>
      <c r="E14" s="131" t="s">
        <v>1282</v>
      </c>
      <c r="F14" s="1756"/>
      <c r="G14" s="1756"/>
      <c r="H14" s="1756"/>
      <c r="I14" s="1372"/>
    </row>
    <row r="15" spans="1:12" ht="12.75">
      <c r="A15" s="3563"/>
      <c r="B15" s="3618"/>
      <c r="C15" s="3623"/>
      <c r="D15" s="3609"/>
      <c r="E15" s="131" t="s">
        <v>1283</v>
      </c>
      <c r="F15" s="1756"/>
      <c r="G15" s="1756"/>
      <c r="H15" s="1756"/>
      <c r="I15" s="1372"/>
    </row>
    <row r="16" spans="1:12" ht="12.75">
      <c r="A16" s="3563"/>
      <c r="B16" s="3618"/>
      <c r="C16" s="3622"/>
      <c r="D16" s="3609"/>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0" t="s">
        <v>2131</v>
      </c>
      <c r="F18" s="3641"/>
      <c r="G18" s="3641"/>
      <c r="H18" s="3641"/>
      <c r="I18" s="3641"/>
      <c r="K18" s="302" t="s">
        <v>1289</v>
      </c>
      <c r="L18" s="302">
        <f>IF(C1="",'数据-汇总表'!E3,SUMIF(项目类型,C1,'数据-汇总表'!E17:E26)+SUMIF(项目类型,C1,'数据-汇总表'!I17:I26))</f>
        <v>942.8</v>
      </c>
      <c r="M18" s="302">
        <f>IF(C1="",'数据-汇总表'!E3,SUMIF(项目类型,C1,'数据-汇总表'!E17:E26))</f>
        <v>942.8</v>
      </c>
    </row>
    <row r="19" spans="1:36" ht="15">
      <c r="A19" s="1760" t="s">
        <v>1290</v>
      </c>
      <c r="B19" s="1761" t="s">
        <v>1291</v>
      </c>
      <c r="C19" s="134">
        <f ca="1">SUMIF(INDIRECT("'"&amp;C4&amp;"'"&amp;"!A:A"),结果表!B19,INDIRECT("'"&amp;C4&amp;"'"&amp;"!B:B"))</f>
        <v>1333.5571</v>
      </c>
      <c r="D19" s="135">
        <f ca="1">SUMIF(INDIRECT("'"&amp;D4&amp;"'"&amp;"!A:A"),结果表!B19,INDIRECT("'"&amp;D4&amp;"'"&amp;"!B:B"))</f>
        <v>552.24919999999997</v>
      </c>
      <c r="E19" s="1760" t="s">
        <v>1292</v>
      </c>
      <c r="F19" s="1761" t="s">
        <v>1291</v>
      </c>
      <c r="G19" s="136">
        <f ca="1">ROUND(C19*$C$18+D19*$D$18,0)</f>
        <v>1021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14145</v>
      </c>
      <c r="D20" s="138">
        <f ca="1">SUMIF(INDIRECT("'"&amp;D4&amp;"'"&amp;"!A:A"),结果表!B20,INDIRECT("'"&amp;D4&amp;"'"&amp;"!B:B"))</f>
        <v>5858</v>
      </c>
      <c r="E20" s="1763"/>
      <c r="F20" s="1025" t="s">
        <v>1295</v>
      </c>
      <c r="G20" s="139">
        <f ca="1">ROUND(C20*$C$18+D20*$D$18,0)</f>
        <v>10830</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c r="J21" s="724" t="s">
        <v>3449</v>
      </c>
    </row>
    <row r="22" spans="1:36" ht="15" thickBot="1">
      <c r="A22" s="1687" t="s">
        <v>1298</v>
      </c>
      <c r="B22" s="1766"/>
      <c r="C22" s="1767"/>
      <c r="D22" s="720">
        <f ca="1">IF(C19&lt;D19,D19/C19-1,C19/D19-1)</f>
        <v>1.4147741635479059</v>
      </c>
      <c r="E22" s="129"/>
      <c r="F22" s="129"/>
      <c r="G22" s="129"/>
      <c r="H22" s="129"/>
      <c r="I22" s="129"/>
      <c r="J22" s="724" t="s">
        <v>3450</v>
      </c>
    </row>
    <row r="23" spans="1:36" ht="13.5" thickBot="1">
      <c r="A23" s="1746"/>
      <c r="B23" s="1746"/>
      <c r="C23" s="1746"/>
      <c r="D23" s="1746"/>
      <c r="E23" s="129"/>
      <c r="F23" s="129"/>
      <c r="G23" s="129"/>
      <c r="H23" s="129"/>
      <c r="I23" s="129"/>
      <c r="J23" s="724">
        <v>16002</v>
      </c>
    </row>
    <row r="24" spans="1:36" ht="14.25">
      <c r="A24" s="3633" t="s">
        <v>1299</v>
      </c>
      <c r="B24" s="1761" t="s">
        <v>1291</v>
      </c>
      <c r="C24" s="136">
        <f>IF(B30=0,0,D30)</f>
        <v>0</v>
      </c>
      <c r="D24" s="1768"/>
      <c r="E24" s="129"/>
      <c r="F24" s="129"/>
      <c r="G24" s="129"/>
      <c r="H24" s="129"/>
      <c r="I24" s="129"/>
    </row>
    <row r="25" spans="1:36" ht="14.25">
      <c r="A25" s="363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v>1</v>
      </c>
      <c r="F26" s="129"/>
      <c r="G26" s="129">
        <f ca="1">G20</f>
        <v>10830</v>
      </c>
      <c r="H26" s="129">
        <v>0.8</v>
      </c>
      <c r="I26" s="129"/>
    </row>
    <row r="27" spans="1:36" ht="14.25">
      <c r="A27" s="1770"/>
      <c r="B27" s="142">
        <v>0</v>
      </c>
      <c r="C27" s="142">
        <v>0</v>
      </c>
      <c r="D27" s="143">
        <f>ROUND(C27*B27/10000,0)</f>
        <v>0</v>
      </c>
      <c r="E27" s="129">
        <v>0.5</v>
      </c>
      <c r="F27" s="129"/>
      <c r="G27" s="129">
        <f ca="1">E27*G26</f>
        <v>5415</v>
      </c>
      <c r="H27" s="129"/>
      <c r="I27" s="129"/>
    </row>
    <row r="28" spans="1:36" ht="14.25">
      <c r="A28" s="1770"/>
      <c r="B28" s="142"/>
      <c r="C28" s="142"/>
      <c r="D28" s="143"/>
      <c r="E28" s="129">
        <f>(E26+E27)/2</f>
        <v>0.75</v>
      </c>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10830</v>
      </c>
      <c r="D32" s="1774" t="s">
        <v>3451</v>
      </c>
      <c r="E32" s="129"/>
      <c r="F32" s="129"/>
      <c r="G32" s="129"/>
      <c r="H32" s="129"/>
      <c r="I32" s="129"/>
    </row>
    <row r="33" spans="1:15" ht="15">
      <c r="A33" s="785" t="s">
        <v>1306</v>
      </c>
      <c r="B33" s="1775"/>
      <c r="C33" s="1776" t="s">
        <v>3470</v>
      </c>
      <c r="D33" s="1777" t="s">
        <v>3418</v>
      </c>
      <c r="E33" s="1778" t="s">
        <v>1307</v>
      </c>
      <c r="F33" s="1779" t="str">
        <f>IF(D32="楼面单价","取值（单价）","取值（总价）")</f>
        <v>取值（单价）</v>
      </c>
      <c r="G33" s="129"/>
      <c r="H33" s="129"/>
      <c r="I33" s="129"/>
    </row>
    <row r="34" spans="1:15" ht="15">
      <c r="A34" s="1780"/>
      <c r="B34" s="1781" t="s">
        <v>1308</v>
      </c>
      <c r="C34" s="148">
        <f ca="1">IF(C33="自定义",F34,C32-C35)</f>
        <v>823</v>
      </c>
      <c r="D34" s="860">
        <f ca="1">IF(C33="自定义",ROUND(C34/C32,3),IF(C33="收益比率",SUMIF(INDIRECT("'"&amp;D33&amp;"'"&amp;"!b:b"),"土地收益比率",INDIRECT("'"&amp;D33&amp;"'"&amp;"!c:c")),SUMIF(INDIRECT("'"&amp;D33&amp;"'"&amp;"!b:b"),"土地成本比率",INDIRECT("'"&amp;D33&amp;"'"&amp;"!c:c"))))</f>
        <v>7.5999999999999956E-2</v>
      </c>
      <c r="E34" s="1782" t="s">
        <v>1309</v>
      </c>
      <c r="F34" s="1329"/>
      <c r="G34" s="129"/>
      <c r="H34" s="129"/>
      <c r="I34" s="129"/>
    </row>
    <row r="35" spans="1:15" ht="15.75" thickBot="1">
      <c r="A35" s="1783"/>
      <c r="B35" s="1784" t="s">
        <v>1310</v>
      </c>
      <c r="C35" s="1169">
        <f ca="1">IF(C33="自定义",F35,ROUND(C32*D35,0))</f>
        <v>10007</v>
      </c>
      <c r="D35" s="1170">
        <f ca="1">IF(C33="自定义",ROUND(C35/C32,3),IF(C33="收益比率",SUMIF(INDIRECT("'"&amp;D33&amp;"'"&amp;"!b:b"),"建筑物收益比率",INDIRECT("'"&amp;D33&amp;"'"&amp;"!c:c")),SUMIF(INDIRECT("'"&amp;D33&amp;"'"&amp;"!b:b"),"建筑物成本比率",INDIRECT("'"&amp;D33&amp;"'"&amp;"!c:c"))))</f>
        <v>0.92400000000000004</v>
      </c>
      <c r="E35" s="1785" t="s">
        <v>1311</v>
      </c>
      <c r="F35" s="154"/>
      <c r="G35" s="129"/>
      <c r="H35" s="129"/>
      <c r="I35" s="129"/>
    </row>
    <row r="36" spans="1:15" ht="15.75" thickBot="1">
      <c r="A36" s="3610" t="s">
        <v>1312</v>
      </c>
      <c r="B36" s="1786" t="s">
        <v>1313</v>
      </c>
      <c r="C36" s="145"/>
      <c r="D36" s="1787"/>
      <c r="E36" s="1788"/>
      <c r="F36" s="1789"/>
      <c r="G36" s="129"/>
      <c r="H36" s="129"/>
      <c r="I36" s="129"/>
    </row>
    <row r="37" spans="1:15" ht="15.75" thickBot="1">
      <c r="A37" s="3611"/>
      <c r="B37" s="1673" t="s">
        <v>1314</v>
      </c>
      <c r="C37" s="147"/>
      <c r="D37" s="1138"/>
      <c r="E37" s="1138"/>
      <c r="F37" s="1789"/>
      <c r="G37" s="129"/>
      <c r="H37" s="129"/>
      <c r="I37" s="129"/>
    </row>
    <row r="38" spans="1:15" ht="15.75" thickBot="1">
      <c r="A38" s="3612"/>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0" t="s">
        <v>1326</v>
      </c>
      <c r="B45" s="3631"/>
      <c r="C45" s="3632"/>
      <c r="D45" s="155">
        <f ca="1">ROUND(H101*F45,0)</f>
        <v>1021</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5"/>
      <c r="I46" s="159"/>
      <c r="J46" s="2522">
        <v>1</v>
      </c>
      <c r="K46" s="3551" t="s">
        <v>1331</v>
      </c>
      <c r="L46" s="3551"/>
      <c r="M46" s="3552"/>
      <c r="N46" s="3552"/>
      <c r="O46" s="3552"/>
    </row>
    <row r="47" spans="1:15" ht="12" customHeight="1">
      <c r="A47" s="160" t="s">
        <v>1332</v>
      </c>
      <c r="B47" s="161"/>
      <c r="C47" s="162"/>
      <c r="D47" s="1086" t="s">
        <v>1333</v>
      </c>
      <c r="E47" s="302" t="s">
        <v>1334</v>
      </c>
      <c r="F47" s="163" t="s">
        <v>1335</v>
      </c>
      <c r="G47" s="2545" t="s">
        <v>1336</v>
      </c>
      <c r="H47" s="2546"/>
      <c r="I47" s="159"/>
      <c r="J47" s="2522">
        <v>2</v>
      </c>
      <c r="K47" s="3551" t="s">
        <v>1337</v>
      </c>
      <c r="L47" s="3551"/>
      <c r="M47" s="3553">
        <f>'数据-取费表'!B2</f>
        <v>45609</v>
      </c>
      <c r="N47" s="3553"/>
      <c r="O47" s="3553"/>
    </row>
    <row r="48" spans="1:15" ht="25.5">
      <c r="A48" s="3613" t="s">
        <v>1338</v>
      </c>
      <c r="B48" s="3614"/>
      <c r="C48" s="3614"/>
      <c r="D48" s="2323">
        <f ca="1">IF(H48="情况1",0,IF(H48="情况2",D52,IF(H48="情况3",D53,IF(H48="情况4",D54))))</f>
        <v>54</v>
      </c>
      <c r="E48" s="2333" t="str">
        <f>IF(H48="情况4","(销售额-原购置价)×税（费）率","销售额×税（费）率")</f>
        <v>销售额×税（费）率</v>
      </c>
      <c r="F48" s="2547">
        <f>IF(H48="情况1","免征",'数据-取费表'!B41)</f>
        <v>5.6000000000000001E-2</v>
      </c>
      <c r="G48" s="2548" t="s">
        <v>1339</v>
      </c>
      <c r="H48" s="2549" t="s">
        <v>3408</v>
      </c>
      <c r="I48" s="1805"/>
      <c r="J48" s="2522">
        <v>3</v>
      </c>
      <c r="K48" s="3551" t="s">
        <v>1340</v>
      </c>
      <c r="L48" s="3551"/>
      <c r="M48" s="3554">
        <f ca="1">H101</f>
        <v>1021</v>
      </c>
      <c r="N48" s="3554"/>
      <c r="O48" s="3554"/>
    </row>
    <row r="49" spans="1:35" ht="25.5" customHeight="1">
      <c r="A49" s="2332" t="s">
        <v>1341</v>
      </c>
      <c r="B49" s="3599" t="s">
        <v>1342</v>
      </c>
      <c r="C49" s="3599"/>
      <c r="D49" s="1589">
        <v>0</v>
      </c>
      <c r="E49" s="324" t="s">
        <v>1343</v>
      </c>
      <c r="F49" s="2423" t="s">
        <v>28</v>
      </c>
      <c r="G49" s="3582"/>
      <c r="H49" s="2309" t="s">
        <v>2134</v>
      </c>
      <c r="I49" s="2310"/>
      <c r="J49" s="2522">
        <v>4</v>
      </c>
      <c r="K49" s="3551" t="str">
        <f>IF(项目基本情况!E8="房地产抵押价值","房地产抵押价值","抵押担保权已注销时的房地产抵押价值")</f>
        <v>房地产抵押价值</v>
      </c>
      <c r="L49" s="3551"/>
      <c r="M49" s="3554">
        <f ca="1">IF(项目基本情况!E8="房地产抵押价值",H107,H109)</f>
        <v>1021</v>
      </c>
      <c r="N49" s="3554"/>
      <c r="O49" s="3554"/>
    </row>
    <row r="50" spans="1:35" ht="25.5" customHeight="1">
      <c r="A50" s="2550"/>
      <c r="B50" s="3599" t="s">
        <v>1344</v>
      </c>
      <c r="C50" s="3599"/>
      <c r="D50" s="2551"/>
      <c r="E50" s="332"/>
      <c r="F50" s="2423"/>
      <c r="G50" s="3583"/>
      <c r="H50" s="2311" t="s">
        <v>2135</v>
      </c>
      <c r="I50" s="2310"/>
      <c r="J50" s="3550" t="s">
        <v>1345</v>
      </c>
      <c r="K50" s="3550"/>
      <c r="L50" s="3550"/>
      <c r="M50" s="3550"/>
      <c r="N50" s="3550"/>
      <c r="O50" s="3550"/>
    </row>
    <row r="51" spans="1:35" ht="20.45" customHeight="1">
      <c r="A51" s="2552"/>
      <c r="B51" s="3599" t="s">
        <v>1346</v>
      </c>
      <c r="C51" s="3599"/>
      <c r="D51" s="1086"/>
      <c r="E51" s="327"/>
      <c r="F51" s="2423"/>
      <c r="G51" s="3584"/>
      <c r="H51" s="2311" t="s">
        <v>2136</v>
      </c>
      <c r="I51" s="2310"/>
      <c r="J51" s="2523" t="s">
        <v>1347</v>
      </c>
      <c r="K51" s="3551" t="s">
        <v>1348</v>
      </c>
      <c r="L51" s="3551"/>
      <c r="M51" s="2523" t="s">
        <v>1349</v>
      </c>
      <c r="N51" s="2523" t="s">
        <v>1350</v>
      </c>
      <c r="O51" s="2523" t="s">
        <v>1351</v>
      </c>
    </row>
    <row r="52" spans="1:35" ht="24" customHeight="1">
      <c r="A52" s="2334" t="s">
        <v>1352</v>
      </c>
      <c r="B52" s="3599" t="s">
        <v>1353</v>
      </c>
      <c r="C52" s="3599"/>
      <c r="D52" s="1086">
        <f ca="1">ROUND(D45*'数据-取费表'!B41/(1+'数据-取费表'!C42),0)</f>
        <v>54</v>
      </c>
      <c r="E52" s="2333" t="s">
        <v>1354</v>
      </c>
      <c r="F52" s="2553">
        <f>'数据-取费表'!B41</f>
        <v>5.6000000000000001E-2</v>
      </c>
      <c r="G52" s="2554"/>
      <c r="H52" s="2543"/>
      <c r="I52" s="1806"/>
      <c r="J52" s="2522">
        <v>1</v>
      </c>
      <c r="K52" s="3576" t="s">
        <v>1355</v>
      </c>
      <c r="L52" s="3576"/>
      <c r="M52" s="2524">
        <f ca="1">D48</f>
        <v>54</v>
      </c>
      <c r="N52" s="2522" t="str">
        <f>E48</f>
        <v>销售额×税（费）率</v>
      </c>
      <c r="O52" s="2525">
        <f>F48</f>
        <v>5.6000000000000001E-2</v>
      </c>
    </row>
    <row r="53" spans="1:35" ht="12" customHeight="1">
      <c r="A53" s="2334" t="s">
        <v>1356</v>
      </c>
      <c r="B53" s="3600" t="s">
        <v>2291</v>
      </c>
      <c r="C53" s="3601"/>
      <c r="D53" s="1086">
        <f ca="1">ROUND(D45*'数据-取费表'!B41/(1+'数据-取费表'!C42),0)</f>
        <v>54</v>
      </c>
      <c r="E53" s="2333" t="s">
        <v>1354</v>
      </c>
      <c r="F53" s="2553">
        <f>'数据-取费表'!B41</f>
        <v>5.6000000000000001E-2</v>
      </c>
      <c r="G53" s="2554"/>
      <c r="H53" s="2543"/>
      <c r="I53" s="1806"/>
      <c r="J53" s="2522">
        <v>2</v>
      </c>
      <c r="K53" s="3576" t="s">
        <v>1357</v>
      </c>
      <c r="L53" s="3576"/>
      <c r="M53" s="2524">
        <f t="shared" ref="M53:O54" ca="1" si="0">D55</f>
        <v>1</v>
      </c>
      <c r="N53" s="2522" t="str">
        <f t="shared" si="0"/>
        <v>销售额×税（费）率</v>
      </c>
      <c r="O53" s="2525">
        <f t="shared" si="0"/>
        <v>5.0000000000000001E-4</v>
      </c>
    </row>
    <row r="54" spans="1:35" ht="12" customHeight="1">
      <c r="A54" s="2334" t="s">
        <v>1358</v>
      </c>
      <c r="B54" s="3600" t="s">
        <v>2292</v>
      </c>
      <c r="C54" s="3601"/>
      <c r="D54" s="1086">
        <f ca="1">C68</f>
        <v>54</v>
      </c>
      <c r="E54" s="327" t="s">
        <v>1359</v>
      </c>
      <c r="F54" s="2553">
        <f>'数据-取费表'!B41</f>
        <v>5.6000000000000001E-2</v>
      </c>
      <c r="G54" s="2554"/>
      <c r="H54" s="2555"/>
      <c r="I54" s="1806"/>
      <c r="J54" s="2522">
        <v>3</v>
      </c>
      <c r="K54" s="3576" t="s">
        <v>1360</v>
      </c>
      <c r="L54" s="3576"/>
      <c r="M54" s="2524">
        <f t="shared" ca="1" si="0"/>
        <v>0</v>
      </c>
      <c r="N54" s="2522" t="str">
        <f t="shared" si="0"/>
        <v>增值额×税（费）率</v>
      </c>
      <c r="O54" s="2526" t="str">
        <f t="shared" si="0"/>
        <v>——</v>
      </c>
    </row>
    <row r="55" spans="1:35" ht="24" customHeight="1">
      <c r="A55" s="3636" t="s">
        <v>1361</v>
      </c>
      <c r="B55" s="3614"/>
      <c r="C55" s="3614"/>
      <c r="D55" s="2323">
        <f ca="1">IF(H55="个人住宅",0,ROUND(D45*I55,0))</f>
        <v>1</v>
      </c>
      <c r="E55" s="2333" t="s">
        <v>1362</v>
      </c>
      <c r="F55" s="2553">
        <f>IF(H55="正常",I55,"免征")</f>
        <v>5.0000000000000001E-4</v>
      </c>
      <c r="G55" s="2554"/>
      <c r="H55" s="2549" t="s">
        <v>3409</v>
      </c>
      <c r="I55" s="165">
        <f>'数据-取费表'!B49</f>
        <v>5.0000000000000001E-4</v>
      </c>
      <c r="J55" s="2522" t="str">
        <f>IF(H59="非个人房产","",4)</f>
        <v/>
      </c>
      <c r="K55" s="3576" t="str">
        <f>IF(H59="非个人房产","——","个人所得税")</f>
        <v>——</v>
      </c>
      <c r="L55" s="3576"/>
      <c r="M55" s="2527" t="str">
        <f>D59</f>
        <v>——</v>
      </c>
      <c r="N55" s="2039" t="str">
        <f>E59</f>
        <v>——</v>
      </c>
      <c r="O55" s="2528" t="str">
        <f>F59</f>
        <v>——</v>
      </c>
    </row>
    <row r="56" spans="1:35" ht="24.75">
      <c r="A56" s="3636" t="s">
        <v>1363</v>
      </c>
      <c r="B56" s="3614"/>
      <c r="C56" s="3614"/>
      <c r="D56" s="2323">
        <f ca="1">IF(H56="个人住宅",D57,D58)</f>
        <v>0</v>
      </c>
      <c r="E56" s="2333" t="s">
        <v>1364</v>
      </c>
      <c r="F56" s="2553" t="str">
        <f>IF(H56="正常",F58,"免征")</f>
        <v>——</v>
      </c>
      <c r="G56" s="2556" t="s">
        <v>1365</v>
      </c>
      <c r="H56" s="2557" t="s">
        <v>3409</v>
      </c>
      <c r="I56" s="1807"/>
      <c r="J56" s="2522" t="str">
        <f>IF(项目基本情况!K6="上海银行",IF(J55="",4,J55+1),"")</f>
        <v/>
      </c>
      <c r="K56" s="3557" t="str">
        <f>IF(项目基本情况!K6="上海银行","其他处置费用","")</f>
        <v/>
      </c>
      <c r="L56" s="3558"/>
      <c r="M56" s="2524" t="str">
        <f>IF(项目基本情况!K6="上海银行",M69,"")</f>
        <v/>
      </c>
      <c r="N56" s="3557" t="str">
        <f>IF(项目基本情况!K6="上海银行","包含处置中涉及的律师、诉讼、拍卖、评估等费用","")</f>
        <v/>
      </c>
      <c r="O56" s="3560"/>
    </row>
    <row r="57" spans="1:35" ht="12.75">
      <c r="A57" s="2334" t="s">
        <v>1341</v>
      </c>
      <c r="B57" s="3600" t="s">
        <v>1366</v>
      </c>
      <c r="C57" s="3601"/>
      <c r="D57" s="1589">
        <v>0</v>
      </c>
      <c r="E57" s="324" t="s">
        <v>1343</v>
      </c>
      <c r="F57" s="302"/>
      <c r="G57" s="2554"/>
      <c r="H57" s="2558"/>
      <c r="I57" s="1807"/>
      <c r="J57" s="3576">
        <f>IF(AND(J55="",J56=""),4,IF(项目基本情况!K6="上海银行",结果表!J56+1,结果表!J55+1))</f>
        <v>4</v>
      </c>
      <c r="K57" s="3576" t="s">
        <v>1367</v>
      </c>
      <c r="L57" s="2529" t="s">
        <v>1368</v>
      </c>
      <c r="M57" s="2530"/>
      <c r="N57" s="2531">
        <f ca="1">SUMIF(M52:M56,"&lt;9e307")</f>
        <v>55</v>
      </c>
      <c r="O57" s="2532"/>
      <c r="P57" s="2689">
        <f ca="1">N57/M49</f>
        <v>5.3868756121449562E-2</v>
      </c>
    </row>
    <row r="58" spans="1:35" ht="24.75">
      <c r="A58" s="2334" t="s">
        <v>1352</v>
      </c>
      <c r="B58" s="3600" t="s">
        <v>1369</v>
      </c>
      <c r="C58" s="3599"/>
      <c r="D58" s="2323">
        <f ca="1">IF(H58="转让取得",C81,C97)</f>
        <v>0</v>
      </c>
      <c r="E58" s="2333" t="s">
        <v>1364</v>
      </c>
      <c r="F58" s="302" t="s">
        <v>28</v>
      </c>
      <c r="G58" s="2554"/>
      <c r="H58" s="2557" t="s">
        <v>3410</v>
      </c>
      <c r="I58" s="1807"/>
      <c r="J58" s="3576"/>
      <c r="K58" s="3576"/>
      <c r="L58" s="2529" t="s">
        <v>1370</v>
      </c>
      <c r="M58" s="2533"/>
      <c r="N58" s="2534" t="str">
        <f ca="1">NUMBERSTRING(INT(N57*10000),2)&amp;"元整"</f>
        <v>伍拾伍万元整</v>
      </c>
      <c r="O58" s="2535"/>
    </row>
    <row r="59" spans="1:35" ht="24.75" thickBot="1">
      <c r="A59" s="3580" t="s">
        <v>1371</v>
      </c>
      <c r="B59" s="3581"/>
      <c r="C59" s="3581"/>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3411</v>
      </c>
      <c r="I59" s="2312" t="s">
        <v>2137</v>
      </c>
      <c r="J59" s="3578">
        <f>J57+1</f>
        <v>5</v>
      </c>
      <c r="K59" s="3576" t="s">
        <v>1372</v>
      </c>
      <c r="L59" s="2522" t="s">
        <v>1368</v>
      </c>
      <c r="M59" s="2536"/>
      <c r="N59" s="2537">
        <f ca="1">M49-N57</f>
        <v>966</v>
      </c>
      <c r="O59" s="2538"/>
    </row>
    <row r="60" spans="1:35" ht="12" customHeight="1">
      <c r="A60" s="1808"/>
      <c r="B60" s="1746"/>
      <c r="C60" s="1746"/>
      <c r="D60" s="1746"/>
      <c r="E60" s="1577"/>
      <c r="F60" s="1807"/>
      <c r="G60" s="1807"/>
      <c r="H60" s="1809"/>
      <c r="I60" s="129"/>
      <c r="J60" s="3579"/>
      <c r="K60" s="3576"/>
      <c r="L60" s="2529" t="s">
        <v>1370</v>
      </c>
      <c r="M60" s="2533"/>
      <c r="N60" s="2534" t="str">
        <f ca="1">NUMBERSTRING(INT(N59*10000),2)&amp;"元整"</f>
        <v>玖佰陆拾陆万元整</v>
      </c>
      <c r="O60" s="2535"/>
    </row>
    <row r="61" spans="1:35" ht="13.5" thickBot="1">
      <c r="A61" s="3635" t="s">
        <v>1373</v>
      </c>
      <c r="B61" s="3635"/>
      <c r="C61" s="3635"/>
      <c r="D61" s="3635"/>
      <c r="E61" s="3635"/>
      <c r="F61" s="1807"/>
      <c r="G61" s="1807"/>
      <c r="H61" s="1809"/>
      <c r="I61" s="129"/>
      <c r="J61" s="2522">
        <f>J59+1</f>
        <v>6</v>
      </c>
      <c r="K61" s="3576" t="s">
        <v>1374</v>
      </c>
      <c r="L61" s="3576"/>
      <c r="M61" s="2539"/>
      <c r="N61" s="2540">
        <f ca="1">ROUND(N59*10000/'数据-汇总表'!E3,0)</f>
        <v>10246</v>
      </c>
      <c r="O61" s="2541"/>
    </row>
    <row r="62" spans="1:35" ht="12.75">
      <c r="A62" s="3595" t="s">
        <v>1375</v>
      </c>
      <c r="B62" s="3596"/>
      <c r="C62" s="2020"/>
      <c r="D62" s="2020" t="s">
        <v>1376</v>
      </c>
      <c r="E62" s="166" t="s">
        <v>1377</v>
      </c>
      <c r="F62" s="1807"/>
      <c r="G62" s="1807"/>
      <c r="H62" s="1809"/>
      <c r="I62" s="129"/>
    </row>
    <row r="63" spans="1:35" ht="12.75">
      <c r="A63" s="173" t="s">
        <v>330</v>
      </c>
      <c r="B63" s="167" t="s">
        <v>1378</v>
      </c>
      <c r="C63" s="2563">
        <f ca="1">ROUND((C64+C65)/(1+'数据-取费表'!C42),0)</f>
        <v>972</v>
      </c>
      <c r="D63" s="167"/>
      <c r="E63" s="168"/>
      <c r="F63" s="1807"/>
      <c r="G63" s="1807"/>
      <c r="H63" s="1809"/>
      <c r="I63" s="129"/>
      <c r="J63" s="3559" t="s">
        <v>1379</v>
      </c>
      <c r="K63" s="1331" t="s">
        <v>1380</v>
      </c>
      <c r="L63" s="1331">
        <f ca="1">IF(M49&gt;10000,M49*0.5%,IF(AND(M49&gt;1000,M49&lt;=10000),M49*1%,IF(AND(M49&gt;100,M49&lt;=1000),M49*3%,IF(AND(M49&gt;10,M49&lt;=100),M49*5%,M49*8%))))</f>
        <v>10.210000000000001</v>
      </c>
      <c r="M63" s="302">
        <f ca="1">ROUND(L63,1)</f>
        <v>10.199999999999999</v>
      </c>
      <c r="N63" s="2542"/>
      <c r="Z63" s="1751"/>
      <c r="AI63" s="1752"/>
    </row>
    <row r="64" spans="1:35" ht="14.25" customHeight="1">
      <c r="A64" s="169" t="s">
        <v>325</v>
      </c>
      <c r="B64" s="170" t="s">
        <v>1381</v>
      </c>
      <c r="C64" s="2564">
        <f ca="1">D45</f>
        <v>1021</v>
      </c>
      <c r="D64" s="170" t="s">
        <v>26</v>
      </c>
      <c r="E64" s="172"/>
      <c r="F64" s="1807"/>
      <c r="G64" s="1807"/>
      <c r="H64" s="1809"/>
      <c r="I64" s="129"/>
      <c r="J64" s="3559"/>
      <c r="K64" s="1331" t="s">
        <v>1382</v>
      </c>
      <c r="L64" s="1331">
        <f ca="1">IF(M49&gt;2000,M49*0.5%,IF(AND(M49&gt;1000,M49&lt;=2000),M49*0.6%,IF(AND(M49&gt;500,M49&lt;=1000),M49*0.7%,IF(AND(M49&gt;200,M49&lt;=500),M49*0.8%,IF(AND(M49&gt;100,M49&lt;=200),M49*0.9%,IF(AND(M49&gt;50,M49&lt;=100),M49*1%,IF(AND(M49&gt;20,M49&lt;=50),M49*1.5%,IF(AND(M49&gt;10,M49&lt;=20),M49*2%,IF(AND(M49&gt;1,M49&lt;=10),M49*2.5%)))))))))</f>
        <v>6.1260000000000003</v>
      </c>
      <c r="M64" s="302">
        <f t="shared" ref="M64:M65" ca="1" si="1">ROUND(L64,1)</f>
        <v>6.1</v>
      </c>
      <c r="N64" s="2543" t="s">
        <v>1383</v>
      </c>
      <c r="Z64" s="1751"/>
      <c r="AI64" s="1752"/>
    </row>
    <row r="65" spans="1:35" ht="14.25" customHeight="1">
      <c r="A65" s="169" t="s">
        <v>326</v>
      </c>
      <c r="B65" s="170" t="s">
        <v>1384</v>
      </c>
      <c r="C65" s="2565"/>
      <c r="D65" s="170"/>
      <c r="E65" s="172"/>
      <c r="F65" s="1807"/>
      <c r="G65" s="1807"/>
      <c r="H65" s="1809"/>
      <c r="I65" s="129"/>
      <c r="J65" s="3559"/>
      <c r="K65" s="1331" t="s">
        <v>1385</v>
      </c>
      <c r="L65" s="1331">
        <f ca="1">IF(M49&gt;1000,M49*0.1%,IF(AND(M49&gt;500,M49&lt;=1000),M49*0.5%,IF(AND(M49&gt;50,M49&lt;=500),M49*1%,IF(AND(M49&gt;1,M49&lt;=50),M49*1.5%))))</f>
        <v>1.0210000000000001</v>
      </c>
      <c r="M65" s="302">
        <f t="shared" ca="1" si="1"/>
        <v>1</v>
      </c>
      <c r="N65" s="2543" t="s">
        <v>1383</v>
      </c>
      <c r="Z65" s="1751"/>
      <c r="AI65" s="1752"/>
    </row>
    <row r="66" spans="1:35" ht="14.25" customHeight="1">
      <c r="A66" s="173" t="s">
        <v>327</v>
      </c>
      <c r="B66" s="174" t="s">
        <v>1386</v>
      </c>
      <c r="C66" s="2566"/>
      <c r="D66" s="174" t="s">
        <v>26</v>
      </c>
      <c r="E66" s="1337" t="s">
        <v>671</v>
      </c>
      <c r="F66" s="1807"/>
      <c r="G66" s="1807"/>
      <c r="H66" s="1809"/>
      <c r="I66" s="129"/>
      <c r="J66" s="3559"/>
      <c r="K66" s="1331" t="s">
        <v>1387</v>
      </c>
      <c r="L66" s="1331">
        <f ca="1">M49*0.5%</f>
        <v>5.1050000000000004</v>
      </c>
      <c r="M66" s="302">
        <f ca="1">IF(L66&gt;0.5,0.5,ROUND(L66,0))</f>
        <v>0.5</v>
      </c>
      <c r="N66" s="2543" t="s">
        <v>1388</v>
      </c>
      <c r="Z66" s="1751"/>
      <c r="AI66" s="1752"/>
    </row>
    <row r="67" spans="1:35" ht="14.25" customHeight="1">
      <c r="A67" s="173" t="s">
        <v>328</v>
      </c>
      <c r="B67" s="174" t="s">
        <v>1389</v>
      </c>
      <c r="C67" s="2567">
        <f ca="1">C63-C66</f>
        <v>972</v>
      </c>
      <c r="D67" s="170" t="s">
        <v>26</v>
      </c>
      <c r="E67" s="172"/>
      <c r="F67" s="1807"/>
      <c r="G67" s="1807"/>
      <c r="H67" s="1809"/>
      <c r="I67" s="129"/>
      <c r="J67" s="3559"/>
      <c r="K67" s="1331" t="s">
        <v>1390</v>
      </c>
      <c r="L67" s="1331">
        <f ca="1">IF(M49&gt;=10000,(8.25+(M49-10000)*0.01%),IF(AND(M49&gt;=8000,M49&lt;10000),(7.85+(M49-8000)*0.02%),IF(AND(M49&gt;=5000,M49&lt;8000),(6.65+(M49-5000)*0.04%),IF(AND(M49&gt;=2000,M49&lt;5000),(4.25+(PM49-2000)*0.08%),IF(AND(M49&gt;=1000,M49&lt;2000),(2.75+(M49-1000)*0.15%),IF(AND(M49&gt;=100,M49&lt;1000),(0.5+(M49-100)*0.25%),IF(AND(M49&gt;0,M49&lt;100),M49*0.5%)))))))</f>
        <v>2.7814999999999999</v>
      </c>
      <c r="M67" s="302">
        <f ca="1">ROUND(L67*0.9,1)</f>
        <v>2.5</v>
      </c>
      <c r="N67" s="2542"/>
      <c r="Z67" s="1751"/>
      <c r="AI67" s="1752"/>
    </row>
    <row r="68" spans="1:35" ht="14.25" customHeight="1" thickBot="1">
      <c r="A68" s="176" t="s">
        <v>329</v>
      </c>
      <c r="B68" s="177" t="s">
        <v>1391</v>
      </c>
      <c r="C68" s="2568">
        <f ca="1">IF(C67&lt;=0,0,ROUND(C67*D68,0))</f>
        <v>54</v>
      </c>
      <c r="D68" s="2569">
        <f>'数据-取费表'!B41</f>
        <v>5.6000000000000001E-2</v>
      </c>
      <c r="E68" s="178"/>
      <c r="F68" s="1807"/>
      <c r="G68" s="1807"/>
      <c r="H68" s="1809"/>
      <c r="I68" s="129"/>
      <c r="J68" s="3559"/>
      <c r="K68" s="1331" t="s">
        <v>1392</v>
      </c>
      <c r="L68" s="1331">
        <f ca="1">IF(M49&gt;10000,M49*0.5%,IF(AND(M49&gt;5000,M49&lt;=10000),M49*1%,IF(AND(M49&gt;1000,M49&lt;=5000),M49*2%,IF(AND(M49&gt;200,M49&lt;=1000),M49*3%,M49*5%))))</f>
        <v>20.420000000000002</v>
      </c>
      <c r="M68" s="302">
        <f ca="1">ROUND(L68,1)</f>
        <v>20.399999999999999</v>
      </c>
      <c r="N68" s="2542"/>
      <c r="Z68" s="1751"/>
      <c r="AI68" s="1752"/>
    </row>
    <row r="69" spans="1:35" s="1771" customFormat="1" ht="16.5" customHeight="1">
      <c r="A69" s="1810"/>
      <c r="B69" s="1811"/>
      <c r="C69" s="1812"/>
      <c r="D69" s="1813"/>
      <c r="E69" s="1814"/>
      <c r="F69" s="1577"/>
      <c r="G69" s="1577"/>
      <c r="H69" s="1576"/>
      <c r="I69" s="1746"/>
      <c r="J69" s="3559"/>
      <c r="K69" s="1331" t="s">
        <v>1393</v>
      </c>
      <c r="L69" s="1331"/>
      <c r="M69" s="302">
        <f ca="1">ROUND(SUM(M63:M68),0)</f>
        <v>41</v>
      </c>
      <c r="N69" s="2544">
        <f ca="1">M69/M49</f>
        <v>4.0156709108716944E-2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3" t="s">
        <v>1394</v>
      </c>
      <c r="B70" s="3604"/>
      <c r="C70" s="3604"/>
      <c r="D70" s="3604"/>
      <c r="E70" s="3604"/>
      <c r="F70" s="3604"/>
      <c r="G70" s="3604"/>
      <c r="H70" s="360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5" t="s">
        <v>1375</v>
      </c>
      <c r="B71" s="3596"/>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972</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6</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0" t="s">
        <v>1402</v>
      </c>
      <c r="F76" s="3599"/>
      <c r="G76" s="3599"/>
      <c r="H76" s="360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6</v>
      </c>
      <c r="D78" s="2576">
        <f>'数据-取费表'!B43</f>
        <v>6.000000000000001E-3</v>
      </c>
      <c r="E78" s="3592" t="s">
        <v>1406</v>
      </c>
      <c r="F78" s="3593"/>
      <c r="G78" s="3593"/>
      <c r="H78" s="359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966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161</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578</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3" t="s">
        <v>1410</v>
      </c>
      <c r="B83" s="3604"/>
      <c r="C83" s="3604"/>
      <c r="D83" s="3604"/>
      <c r="E83" s="3604"/>
      <c r="F83" s="3604"/>
      <c r="G83" s="3604"/>
      <c r="H83" s="360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5" t="s">
        <v>1375</v>
      </c>
      <c r="B84" s="359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972</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3299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2061</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v>2000</v>
      </c>
      <c r="D88" s="2576"/>
      <c r="E88" s="193" t="s">
        <v>1413</v>
      </c>
      <c r="F88" s="2326"/>
      <c r="G88" s="194" t="s">
        <v>1414</v>
      </c>
      <c r="H88" s="1823" t="s">
        <v>3407</v>
      </c>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61</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1" t="s">
        <v>2129</v>
      </c>
      <c r="H90" s="3562"/>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 ca="1">IF(H91="——",成本法!C33,I91)</f>
        <v>472</v>
      </c>
      <c r="D91" s="2576"/>
      <c r="E91" s="3592" t="s">
        <v>1419</v>
      </c>
      <c r="F91" s="3593"/>
      <c r="G91" s="3593"/>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 ca="1">ROUND((C87+C90+C91)*D92,0)</f>
        <v>253</v>
      </c>
      <c r="D92" s="2582">
        <v>0.1</v>
      </c>
      <c r="E92" s="3592" t="s">
        <v>1422</v>
      </c>
      <c r="F92" s="3593"/>
      <c r="G92" s="3593"/>
      <c r="H92" s="3594"/>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6</v>
      </c>
      <c r="D93" s="2576">
        <f>'数据-取费表'!B43</f>
        <v>6.000000000000001E-3</v>
      </c>
      <c r="E93" s="3592" t="s">
        <v>1406</v>
      </c>
      <c r="F93" s="3593"/>
      <c r="G93" s="3593"/>
      <c r="H93" s="359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 ca="1">ROUND((C87+C90+C91)*D94,0)</f>
        <v>507</v>
      </c>
      <c r="D94" s="2576">
        <v>0.2</v>
      </c>
      <c r="E94" s="3637" t="s">
        <v>1426</v>
      </c>
      <c r="F94" s="3638"/>
      <c r="G94" s="3638"/>
      <c r="H94" s="363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-2327</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0</v>
      </c>
      <c r="D96" s="170" t="s">
        <v>26</v>
      </c>
      <c r="E96" s="2323" t="str">
        <f ca="1">IF(C96&gt;=200%,"增值额超过扣除项目金额200%",IF(C96&gt;=100%,"增值额超过扣除项目金额100%，未超过200%",IF(C96&gt;=50%,"增值额超过扣除项目金额50%，未超过100%",IF(C96&lt;50%,"增值额未超过扣除项目金额50%"))))</f>
        <v>增值额未超过扣除项目金额50%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4" t="str">
        <f>C4</f>
        <v>成本法 (元)</v>
      </c>
      <c r="D101" s="2585" t="str">
        <f>D4</f>
        <v>收益法 (元)</v>
      </c>
      <c r="E101" s="3555" t="s">
        <v>1431</v>
      </c>
      <c r="F101" s="3556"/>
      <c r="G101" s="1826" t="s">
        <v>1432</v>
      </c>
      <c r="H101" s="2594">
        <f ca="1">H118</f>
        <v>1021</v>
      </c>
      <c r="I101" s="129"/>
    </row>
    <row r="102" spans="1:35" ht="18.75" customHeight="1">
      <c r="A102" s="3587" t="s">
        <v>1433</v>
      </c>
      <c r="B102" s="2583" t="s">
        <v>1432</v>
      </c>
      <c r="C102" s="2584">
        <f ca="1">IF(D32="楼面单价",ROUND(C19,0),C19)</f>
        <v>1334</v>
      </c>
      <c r="D102" s="2585">
        <f ca="1">IF(D32="楼面单价",ROUND(D19,0),D19)</f>
        <v>552</v>
      </c>
      <c r="E102" s="3555"/>
      <c r="F102" s="3556"/>
      <c r="G102" s="1826" t="s">
        <v>1434</v>
      </c>
      <c r="H102" s="2554">
        <f ca="1">I118</f>
        <v>10830</v>
      </c>
      <c r="I102" s="129"/>
    </row>
    <row r="103" spans="1:35" ht="42.75" customHeight="1">
      <c r="A103" s="3587"/>
      <c r="B103" s="2583" t="s">
        <v>1434</v>
      </c>
      <c r="C103" s="2586">
        <f ca="1">C20</f>
        <v>14145</v>
      </c>
      <c r="D103" s="2587">
        <f ca="1">D20</f>
        <v>5858</v>
      </c>
      <c r="E103" s="3548" t="s">
        <v>1435</v>
      </c>
      <c r="F103" s="3549"/>
      <c r="G103" s="1827" t="s">
        <v>1436</v>
      </c>
      <c r="H103" s="2594">
        <f>IF(D36="正常操作",H104+H105+H106,H105+H106)</f>
        <v>0</v>
      </c>
      <c r="I103" s="129"/>
    </row>
    <row r="104" spans="1:35" ht="18.75" customHeight="1">
      <c r="A104" s="3587" t="s">
        <v>1437</v>
      </c>
      <c r="B104" s="2588" t="s">
        <v>1432</v>
      </c>
      <c r="C104" s="2589">
        <f ca="1">H118</f>
        <v>1021</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f ca="1">I118</f>
        <v>10830</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8" t="str">
        <f>IF(项目基本情况!E8="已注销","——","3.房地产抵押价值")</f>
        <v>3.房地产抵押价值</v>
      </c>
      <c r="F107" s="3556"/>
      <c r="G107" s="1826" t="s">
        <v>1432</v>
      </c>
      <c r="H107" s="2594">
        <f ca="1">IF(E107="——","——",H101-H103)</f>
        <v>1021</v>
      </c>
      <c r="I107" s="129"/>
    </row>
    <row r="108" spans="1:35" ht="18.75" customHeight="1">
      <c r="A108" s="129"/>
      <c r="B108" s="129"/>
      <c r="C108" s="129"/>
      <c r="D108" s="129"/>
      <c r="E108" s="3588"/>
      <c r="F108" s="3556"/>
      <c r="G108" s="1826" t="s">
        <v>1434</v>
      </c>
      <c r="H108" s="2554">
        <f ca="1">IF(H107=H101,H102,ROUND(H107*10000/'数据-汇总表'!E3,0))</f>
        <v>10830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6" t="s">
        <v>1432</v>
      </c>
      <c r="H109" s="2597" t="str">
        <f>IF(E109="——","——",H101-H105-H106)</f>
        <v>——</v>
      </c>
      <c r="I109" s="129"/>
    </row>
    <row r="110" spans="1:35" ht="18.75" customHeight="1">
      <c r="A110" s="129"/>
      <c r="B110" s="129"/>
      <c r="C110" s="129"/>
      <c r="D110" s="129"/>
      <c r="E110" s="3588"/>
      <c r="F110" s="3556"/>
      <c r="G110" s="1826" t="s">
        <v>1434</v>
      </c>
      <c r="H110" s="2554"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6" t="s">
        <v>1432</v>
      </c>
      <c r="H111" s="2594" t="str">
        <f>IF(E111="——","——",N59)</f>
        <v>——</v>
      </c>
      <c r="I111" s="129"/>
    </row>
    <row r="112" spans="1:35" ht="18.75" customHeight="1" thickBot="1">
      <c r="A112" s="129"/>
      <c r="B112" s="129"/>
      <c r="C112" s="129"/>
      <c r="D112" s="129"/>
      <c r="E112" s="3590"/>
      <c r="F112" s="3591"/>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942.8</v>
      </c>
      <c r="C118" s="2328">
        <f>M19</f>
        <v>0</v>
      </c>
      <c r="D118" s="2328">
        <f ca="1">ROUND(IF(D32="总价",C34,E118*B118/10000),0)</f>
        <v>78</v>
      </c>
      <c r="E118" s="2328">
        <f ca="1">ROUND(IF(C33="自定义",IF(D32="楼面单价",C34,D118*10000/B118),I118-G118),0)</f>
        <v>823</v>
      </c>
      <c r="F118" s="2328">
        <f ca="1">ROUND(IF(D32="总价",C35,G118*B118/10000),0)</f>
        <v>943</v>
      </c>
      <c r="G118" s="2328">
        <f ca="1">ROUND(IF(D32="楼面单价",C35,F118*10000/B118),0)</f>
        <v>10007</v>
      </c>
      <c r="H118" s="2328">
        <f ca="1">ROUND(IF(D32="总价",C32,I118*B118/10000),0)</f>
        <v>1021</v>
      </c>
      <c r="I118" s="2328">
        <f ca="1">ROUND(IF(D32="楼面单价",C32,H118*10000/B118),0)</f>
        <v>10830</v>
      </c>
    </row>
    <row r="119" spans="1:27" ht="18.75" customHeight="1">
      <c r="A119" s="3563" t="s">
        <v>1452</v>
      </c>
      <c r="B119" s="3563"/>
      <c r="C119" s="3563"/>
      <c r="D119" s="3569" t="str">
        <f ca="1">NUMBERSTRING(INT(D118*10000),2)&amp;"元整"</f>
        <v>柒拾捌万元整</v>
      </c>
      <c r="E119" s="3570"/>
      <c r="F119" s="3569" t="str">
        <f ca="1">NUMBERSTRING(INT(F118*10000),2)&amp;"元整"</f>
        <v>玖佰肆拾叁万元整</v>
      </c>
      <c r="G119" s="3570"/>
      <c r="H119" s="3569" t="str">
        <f ca="1">NUMBERSTRING(INT(H118*10000),2)&amp;"元整"</f>
        <v>壹仟零贰拾壹万元整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69" t="s">
        <v>1452</v>
      </c>
      <c r="B121" s="3571"/>
      <c r="C121" s="3570"/>
      <c r="D121" s="3569" t="str">
        <f>IF(D120=0,"零元整",NUMBERSTRING(INT(D120*10000),2)&amp;"元整")</f>
        <v>零元整</v>
      </c>
      <c r="E121" s="3571"/>
      <c r="F121" s="3571"/>
      <c r="G121" s="3571"/>
      <c r="H121" s="3571"/>
      <c r="I121" s="3570"/>
      <c r="AA121" s="724"/>
    </row>
    <row r="122" spans="1:27" ht="18.75" customHeight="1">
      <c r="A122" s="3575" t="str">
        <f>IF(项目基本情况!B9="房地产市场价值","",MID(E107,3,LEN(E107)-2))</f>
        <v>房地产抵押价值</v>
      </c>
      <c r="B122" s="3575"/>
      <c r="C122" s="3575"/>
      <c r="D122" s="3564">
        <f ca="1">H107</f>
        <v>1021</v>
      </c>
      <c r="E122" s="3565"/>
      <c r="F122" s="3565"/>
      <c r="G122" s="3565"/>
      <c r="H122" s="3565"/>
      <c r="I122" s="3566"/>
      <c r="AA122" s="724"/>
    </row>
    <row r="123" spans="1:27" ht="18.75" customHeight="1">
      <c r="A123" s="3563" t="s">
        <v>1452</v>
      </c>
      <c r="B123" s="3563"/>
      <c r="C123" s="3563"/>
      <c r="D123" s="3569" t="str">
        <f ca="1">NUMBERSTRING(INT(D122*10000),2)&amp;"元整"</f>
        <v>壹仟零贰拾壹万元整</v>
      </c>
      <c r="E123" s="3571"/>
      <c r="F123" s="3571"/>
      <c r="G123" s="3571"/>
      <c r="H123" s="3571"/>
      <c r="I123" s="3570"/>
      <c r="AA123" s="724"/>
    </row>
    <row r="124" spans="1:27" ht="18.75" customHeight="1">
      <c r="A124" s="3575" t="str">
        <f>IF(项目基本情况!B9="房地产市场价值","",MID(E109,3,LEN(E109)-2))</f>
        <v/>
      </c>
      <c r="B124" s="3575"/>
      <c r="C124" s="3575"/>
      <c r="D124" s="3564" t="str">
        <f>H109</f>
        <v>——</v>
      </c>
      <c r="E124" s="3565"/>
      <c r="F124" s="3565"/>
      <c r="G124" s="3565"/>
      <c r="H124" s="3565"/>
      <c r="I124" s="3566"/>
      <c r="AA124" s="724"/>
    </row>
    <row r="125" spans="1:27" ht="18.75" customHeight="1">
      <c r="A125" s="3563" t="s">
        <v>1452</v>
      </c>
      <c r="B125" s="3563"/>
      <c r="C125" s="3563"/>
      <c r="D125" s="3569" t="e">
        <f>NUMBERSTRING(INT(D124*10000),2)&amp;"元整"</f>
        <v>#VALUE!</v>
      </c>
      <c r="E125" s="3571"/>
      <c r="F125" s="3571"/>
      <c r="G125" s="3571"/>
      <c r="H125" s="3571"/>
      <c r="I125" s="3570"/>
      <c r="AA125" s="724"/>
    </row>
    <row r="126" spans="1:27" ht="18.75" customHeight="1">
      <c r="A126" s="3575" t="str">
        <f>IF(项目基本情况!B9="房地产市场价值","",MID(E111,3,LEN(E111)-2))</f>
        <v/>
      </c>
      <c r="B126" s="3575"/>
      <c r="C126" s="3575"/>
      <c r="D126" s="3564" t="str">
        <f>H111</f>
        <v>——</v>
      </c>
      <c r="E126" s="3565"/>
      <c r="F126" s="3565"/>
      <c r="G126" s="3565"/>
      <c r="H126" s="3565"/>
      <c r="I126" s="3566"/>
      <c r="AA126" s="724"/>
    </row>
    <row r="127" spans="1:27" ht="18.75" customHeight="1">
      <c r="A127" s="3563" t="s">
        <v>1452</v>
      </c>
      <c r="B127" s="3563"/>
      <c r="C127" s="3563"/>
      <c r="D127" s="3569" t="e">
        <f>NUMBERSTRING(INT(D126*10000),2)&amp;"元整"</f>
        <v>#VALUE!</v>
      </c>
      <c r="E127" s="3571"/>
      <c r="F127" s="3571"/>
      <c r="G127" s="3571"/>
      <c r="H127" s="3571"/>
      <c r="I127" s="3570"/>
      <c r="AA127" s="724"/>
    </row>
    <row r="128" spans="1:27" ht="21.75" customHeight="1">
      <c r="A128" s="3572" t="s">
        <v>1453</v>
      </c>
      <c r="B128" s="3572"/>
      <c r="C128" s="3572"/>
      <c r="D128" s="3572"/>
      <c r="E128" s="3572"/>
      <c r="F128" s="3572"/>
      <c r="G128" s="3572"/>
      <c r="H128" s="3572"/>
      <c r="I128" s="357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266315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2824724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190372</v>
      </c>
      <c r="D5" s="211" t="s">
        <v>1469</v>
      </c>
      <c r="E5" s="212" t="s">
        <v>1470</v>
      </c>
      <c r="F5" s="212" t="s">
        <v>1471</v>
      </c>
      <c r="G5" s="213"/>
    </row>
    <row r="6" spans="1:9" s="214" customFormat="1" ht="13.5" customHeight="1">
      <c r="A6" s="777" t="s">
        <v>1472</v>
      </c>
      <c r="B6" s="215" t="s">
        <v>1473</v>
      </c>
      <c r="C6" s="216">
        <f>基准地价修正!B2</f>
        <v>1758</v>
      </c>
      <c r="D6" s="217"/>
      <c r="E6" s="218"/>
      <c r="F6" s="218"/>
      <c r="G6" s="219"/>
    </row>
    <row r="7" spans="1:9" s="214" customFormat="1" ht="13.5" customHeight="1">
      <c r="A7" s="777" t="s">
        <v>1474</v>
      </c>
      <c r="B7" s="215" t="s">
        <v>1475</v>
      </c>
      <c r="C7" s="220">
        <f>ROUND(C6*F7,0)</f>
        <v>54</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188560</v>
      </c>
      <c r="D8" s="222"/>
      <c r="E8" s="220"/>
      <c r="F8" s="221"/>
      <c r="G8" s="1855" t="s">
        <v>3401</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t="s">
        <v>3402</v>
      </c>
      <c r="H9" s="1136"/>
      <c r="I9" s="1857" t="s">
        <v>1479</v>
      </c>
    </row>
    <row r="10" spans="1:9" s="214" customFormat="1" ht="13.5" customHeight="1">
      <c r="A10" s="778" t="s">
        <v>356</v>
      </c>
      <c r="B10" s="224" t="s">
        <v>1480</v>
      </c>
      <c r="C10" s="225">
        <f ca="1">ROUND(D10*E10/10000,0)</f>
        <v>19</v>
      </c>
      <c r="D10" s="844">
        <f ca="1">IF(B1="",'数据-汇总表'!E6,IF(INDIRECT("'数据-取费表'!c"&amp;$G$1)="住宅",INDIRECT("'数据-取费表'!s"&amp;$G$1),INDIRECT("'数据-取费表'!k"&amp;$G$1)+INDIRECT("'数据-取费表'!s"&amp;$G$1)))</f>
        <v>942.8</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942.8</v>
      </c>
      <c r="E19" s="211">
        <f>'数据-取费表'!B31</f>
        <v>200</v>
      </c>
      <c r="F19" s="231"/>
      <c r="G19" s="1855" t="s">
        <v>3403</v>
      </c>
    </row>
    <row r="20" spans="1:7" s="214" customFormat="1" ht="13.5" customHeight="1">
      <c r="A20" s="255" t="s">
        <v>1493</v>
      </c>
      <c r="B20" s="210" t="s">
        <v>1494</v>
      </c>
      <c r="C20" s="232">
        <f ca="1">ROUND((C5+C19)*F20,0)</f>
        <v>3807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12104</v>
      </c>
      <c r="D22" s="235">
        <f ca="1">C26</f>
        <v>5.9999999999999995E-4</v>
      </c>
      <c r="E22" s="236" t="s">
        <v>1498</v>
      </c>
      <c r="F22" s="237">
        <f ca="1">'数据-取费表'!B40</f>
        <v>3.1E-2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11986</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118</v>
      </c>
      <c r="D25" s="238"/>
      <c r="E25" s="241"/>
      <c r="F25" s="239"/>
      <c r="G25" s="242" t="s">
        <v>1510</v>
      </c>
    </row>
    <row r="26" spans="1:7" s="214" customFormat="1">
      <c r="A26" s="779"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38836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38836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265827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472</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424</v>
      </c>
      <c r="D34" s="217"/>
      <c r="E34" s="220"/>
      <c r="F34" s="257">
        <f ca="1">IF('数据-取费表'!B24=0,1,IF(B1="",'数据-取费表'!N16,INDIRECT("'数据-取费表'!n"&amp;$G$1)))</f>
        <v>1</v>
      </c>
      <c r="G34" s="219" t="s">
        <v>1526</v>
      </c>
    </row>
    <row r="35" spans="1:7" ht="13.5" customHeight="1">
      <c r="A35" s="779" t="s">
        <v>351</v>
      </c>
      <c r="B35" s="215" t="s">
        <v>1527</v>
      </c>
      <c r="C35" s="220">
        <f ca="1">ROUND(C34*F35,0)</f>
        <v>21</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19</v>
      </c>
      <c r="D37" s="217">
        <f ca="1">D19</f>
        <v>942.8</v>
      </c>
      <c r="E37" s="249">
        <f>'数据-取费表'!B35</f>
        <v>200</v>
      </c>
      <c r="F37" s="259"/>
      <c r="G37" s="261" t="s">
        <v>1532</v>
      </c>
    </row>
    <row r="38" spans="1:7" ht="13.5" customHeight="1">
      <c r="A38" s="779"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15</v>
      </c>
      <c r="D42" s="238"/>
      <c r="E42" s="238"/>
      <c r="F42" s="239"/>
      <c r="G42" s="3642" t="s">
        <v>1544</v>
      </c>
    </row>
    <row r="43" spans="1:7" ht="13.5" customHeight="1">
      <c r="A43" s="779" t="s">
        <v>347</v>
      </c>
      <c r="B43" s="215" t="s">
        <v>1545</v>
      </c>
      <c r="C43" s="238">
        <f ca="1">ROUND(IF('数据-取费表'!B22&lt;=1,C39*F22*'数据-取费表'!B21/2,C39*(POWER((1+F22),'数据-取费表'!B21/2)-1)),0)</f>
        <v>0</v>
      </c>
      <c r="D43" s="238"/>
      <c r="E43" s="238"/>
      <c r="F43" s="239"/>
      <c r="G43" s="3643"/>
    </row>
    <row r="44" spans="1:7" ht="13.5" customHeight="1">
      <c r="A44" s="779" t="s">
        <v>348</v>
      </c>
      <c r="B44" s="215" t="s">
        <v>1546</v>
      </c>
      <c r="C44" s="238">
        <f ca="1">ROUND(IF('数据-取费表'!B22&lt;=1,C40*F22*'数据-取费表'!B21/2,C40*(POWER((1+F22),'数据-取费表'!B21/2)-1)),4)</f>
        <v>5.9999999999999995E-4</v>
      </c>
      <c r="D44" s="238"/>
      <c r="E44" s="238"/>
      <c r="F44" s="239"/>
      <c r="G44" s="3644"/>
    </row>
    <row r="45" spans="1:7" s="214" customFormat="1" ht="13.5" customHeight="1">
      <c r="A45" s="255" t="s">
        <v>1547</v>
      </c>
      <c r="B45" s="244" t="s">
        <v>1513</v>
      </c>
      <c r="C45" s="245">
        <f ca="1">C46</f>
        <v>96</v>
      </c>
      <c r="D45" s="235">
        <f ca="1">C47</f>
        <v>4.0000000000000001E-3</v>
      </c>
      <c r="E45" s="236" t="s">
        <v>1539</v>
      </c>
      <c r="F45" s="246">
        <f ca="1">F27</f>
        <v>0.2</v>
      </c>
      <c r="G45" s="247" t="s">
        <v>1548</v>
      </c>
    </row>
    <row r="46" spans="1:7" s="214" customFormat="1" ht="13.5" customHeight="1">
      <c r="A46" s="779" t="s">
        <v>346</v>
      </c>
      <c r="B46" s="248" t="s">
        <v>1549</v>
      </c>
      <c r="C46" s="249">
        <f ca="1">ROUND((C33+C39)*F27,0)</f>
        <v>96</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642</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488</v>
      </c>
      <c r="D51" s="232"/>
      <c r="E51" s="232"/>
      <c r="F51" s="264"/>
      <c r="G51" s="234" t="s">
        <v>1560</v>
      </c>
    </row>
    <row r="52" spans="1:7" s="208" customFormat="1" ht="16.5" thickBot="1">
      <c r="A52" s="265" t="s">
        <v>1561</v>
      </c>
      <c r="B52" s="266"/>
      <c r="C52" s="267">
        <f ca="1">C31+C51</f>
        <v>266315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9" t="str">
        <f>项目基本情况!B1</f>
        <v>北京市房地产抵押价值预评估</v>
      </c>
      <c r="C37" s="3459"/>
      <c r="D37" s="3459"/>
      <c r="E37" s="3459"/>
      <c r="F37" s="3459"/>
      <c r="G37" s="3459"/>
      <c r="H37" s="3459"/>
      <c r="I37" s="3459"/>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224270</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2378765</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942.8</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942.8</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-188541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19</v>
      </c>
      <c r="D20" s="845">
        <f ca="1">IF(C1="",'数据-汇总表'!E6,IF(INDIRECT("'数据-取费表'!c"&amp;$K$1)="住宅",INDIRECT("'数据-取费表'!s"&amp;$K$1),INDIRECT("'数据-取费表'!k"&amp;$K$1)+INDIRECT("'数据-取费表'!s"&amp;$K$1)))</f>
        <v>942.8</v>
      </c>
      <c r="E20" s="21">
        <f>'数据-取费表'!B28</f>
        <v>200</v>
      </c>
      <c r="F20" s="803"/>
      <c r="G20" s="12"/>
      <c r="H20" s="808"/>
      <c r="I20" s="808"/>
      <c r="J20" s="808"/>
      <c r="K20" s="809"/>
    </row>
    <row r="21" spans="1:33" s="802" customFormat="1" ht="13.5" customHeight="1">
      <c r="A21" s="789" t="s">
        <v>357</v>
      </c>
      <c r="B21" s="812" t="s">
        <v>1628</v>
      </c>
      <c r="C21" s="813">
        <f ca="1">C16+C17+C18</f>
        <v>-188541</v>
      </c>
      <c r="D21" s="814"/>
      <c r="E21" s="281"/>
      <c r="F21" s="281"/>
      <c r="G21" s="131" t="s">
        <v>1629</v>
      </c>
      <c r="H21" s="806"/>
      <c r="I21" s="806"/>
      <c r="J21" s="806"/>
      <c r="K21" s="807"/>
    </row>
    <row r="22" spans="1:33" s="802" customFormat="1" ht="13.5" customHeight="1">
      <c r="A22" s="789" t="s">
        <v>1601</v>
      </c>
      <c r="B22" s="812" t="s">
        <v>1630</v>
      </c>
      <c r="C22" s="813">
        <f ca="1">ROUND(C21*F22,0)</f>
        <v>-3771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-38462</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-38462</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224270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#N/A</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t="e">
        <f ca="1">C6+C10+C12</f>
        <v>#N/A</v>
      </c>
      <c r="D5" s="1363" t="s">
        <v>693</v>
      </c>
      <c r="E5" s="1070"/>
      <c r="F5" s="1071"/>
      <c r="G5" s="1383"/>
      <c r="H5" s="299">
        <v>1</v>
      </c>
      <c r="I5" s="300" t="s">
        <v>692</v>
      </c>
      <c r="J5" s="1069" t="e">
        <f ca="1">J6+J10+J12</f>
        <v>#N/A</v>
      </c>
      <c r="K5" s="1363" t="s">
        <v>693</v>
      </c>
      <c r="L5" s="1070"/>
      <c r="M5" s="1071"/>
    </row>
    <row r="6" spans="1:37" ht="18" customHeight="1">
      <c r="A6" s="1068" t="s">
        <v>398</v>
      </c>
      <c r="B6" s="3647" t="s">
        <v>694</v>
      </c>
      <c r="C6" s="1073" t="e">
        <f ca="1">ROUND(F6*F8*F7*(1-F9)/10000,0)</f>
        <v>#N/A</v>
      </c>
      <c r="D6" s="155" t="s">
        <v>2109</v>
      </c>
      <c r="E6" s="302" t="s">
        <v>696</v>
      </c>
      <c r="F6" s="303" t="e">
        <f ca="1">INDIRECT("'数据-取费表'!u"&amp;$G$1)</f>
        <v>#N/A</v>
      </c>
      <c r="G6" s="1383"/>
      <c r="H6" s="1068" t="s">
        <v>398</v>
      </c>
      <c r="I6" s="3647" t="s">
        <v>694</v>
      </c>
      <c r="J6" s="301" t="e">
        <f ca="1">ROUND(M6*M8*M7*(1-M9)/10000,0)</f>
        <v>#N/A</v>
      </c>
      <c r="K6" s="155" t="s">
        <v>2108</v>
      </c>
      <c r="L6" s="302" t="s">
        <v>696</v>
      </c>
      <c r="M6" s="303" t="e">
        <f ca="1">INDIRECT("'数据-取费表'!z"&amp;$G$1)</f>
        <v>#N/A</v>
      </c>
    </row>
    <row r="7" spans="1:37" ht="18" customHeight="1">
      <c r="A7" s="1072"/>
      <c r="B7" s="3648"/>
      <c r="C7" s="1074"/>
      <c r="D7" s="307"/>
      <c r="E7" s="1075" t="s">
        <v>697</v>
      </c>
      <c r="F7" s="303" t="e">
        <f ca="1">IF(INDIRECT("'数据-取费表'!ah"&amp;$G$1)="",INDIRECT("'数据-取费表'!k"&amp;$G$1),INDIRECT("'数据-取费表'!ah"&amp;$G$1))</f>
        <v>#N/A</v>
      </c>
      <c r="G7" s="1383"/>
      <c r="H7" s="304"/>
      <c r="I7" s="3648"/>
      <c r="J7" s="306"/>
      <c r="K7" s="307"/>
      <c r="L7" s="302" t="s">
        <v>697</v>
      </c>
      <c r="M7" s="303" t="e">
        <f ca="1">F7</f>
        <v>#N/A</v>
      </c>
    </row>
    <row r="8" spans="1:37" ht="18" customHeight="1">
      <c r="A8" s="304"/>
      <c r="B8" s="3648"/>
      <c r="C8" s="306"/>
      <c r="D8" s="307"/>
      <c r="E8" s="302" t="s">
        <v>698</v>
      </c>
      <c r="F8" s="303" t="e">
        <f ca="1">INDIRECT("'数据-取费表'!ai"&amp;$G$1)</f>
        <v>#N/A</v>
      </c>
      <c r="G8" s="1383"/>
      <c r="H8" s="304"/>
      <c r="I8" s="3648"/>
      <c r="J8" s="306"/>
      <c r="K8" s="307"/>
      <c r="L8" s="302" t="s">
        <v>698</v>
      </c>
      <c r="M8" s="303" t="e">
        <f ca="1">INDIRECT("'数据-取费表'!ai"&amp;$G$1)</f>
        <v>#N/A</v>
      </c>
    </row>
    <row r="9" spans="1:37" ht="18" customHeight="1">
      <c r="A9" s="304"/>
      <c r="B9" s="3649"/>
      <c r="C9" s="306"/>
      <c r="D9" s="307"/>
      <c r="E9" s="302" t="s">
        <v>699</v>
      </c>
      <c r="F9" s="312" t="e">
        <f ca="1">INDIRECT("'数据-取费表'!w"&amp;$G$1)</f>
        <v>#N/A</v>
      </c>
      <c r="G9" s="1383"/>
      <c r="H9" s="304"/>
      <c r="I9" s="3649"/>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2117</v>
      </c>
      <c r="E10" s="313" t="s">
        <v>701</v>
      </c>
      <c r="F10" s="1115" t="s">
        <v>3406</v>
      </c>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INDIRECT("'数据-取费表'!m"&amp;$G$1)+INDIRECT("'数据-取费表'!t"&amp;$G$1)</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0.05</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ROUND(INDIRECT("'数据-取费表'!m"&amp;$G$1)*F16,0)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ROUND(F17*(F43+INDIRECT("'数据-取费表'!S"&amp;$G$1))/10000,0)</f>
        <v>#N/A</v>
      </c>
      <c r="D17" s="302" t="s">
        <v>717</v>
      </c>
      <c r="E17" s="302" t="s">
        <v>718</v>
      </c>
      <c r="F17" s="23">
        <f>'数据-取费表'!B35</f>
        <v>200</v>
      </c>
      <c r="G17" s="1395"/>
      <c r="H17" s="981" t="s">
        <v>398</v>
      </c>
      <c r="I17" s="302" t="s">
        <v>719</v>
      </c>
      <c r="J17" s="2315" t="e">
        <f ca="1">ROUND(IF(AND(项目基本情况!B11="自然人",项目基本情况!B10="北京市"),J6*M17/(1+'数据-取费表'!C42),J18+J19+J20),2)</f>
        <v>#N/A</v>
      </c>
      <c r="K17" s="1344" t="s">
        <v>720</v>
      </c>
      <c r="L17" s="1343" t="s">
        <v>721</v>
      </c>
      <c r="M17" s="2314" t="e">
        <f ca="1">IF(项目基本情况!B11="企业","",IF('数据-取费表'!B10="住宅",IF(M6*M7*M8/12/(1+'数据-取费表'!F30)&gt;100000,4%,2.5%),IF(M6*M7*M8/12/(1+'数据-取费表'!F30)&gt;100000,12%,7%)))</f>
        <v>#N/A</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ROUND(J6*M18/(1+'数据-取费表'!C42),2)</f>
        <v>#N/A</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IF(K19="按租金收入计税",ROUND(J6*M19/(1+'数据-取费表'!C42),2),ROUND(C29*M19*0.7,2))</f>
        <v>#N/A</v>
      </c>
      <c r="K19" s="1369" t="s">
        <v>3336</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ROUND(M20*M21/10000,2)</f>
        <v>#N/A</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ROUND(J14*M22,2)</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t="e">
        <f ca="1">ROUND(J13*M23,2)</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t="e">
        <f ca="1">ROUND(J5*M24,2)</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ROUND(IF(AND(项目基本情况!B11="自然人",项目基本情况!B10="北京市"),C6*F31/(1+'数据-取费表'!C42),C32+C33+C34),2)</f>
        <v>#N/A</v>
      </c>
      <c r="D31" s="1344" t="s">
        <v>720</v>
      </c>
      <c r="E31" s="1343" t="s">
        <v>770</v>
      </c>
      <c r="F31" s="2314" t="e">
        <f ca="1">IF(项目基本情况!B11="企业","——",IF(M47="住宅",IF(F6*F7*F8/12/(1+'数据-取费表'!F30)&gt;100000,4%,2.5%),IF(F6*F7*F8/12/(1+'数据-取费表'!F30)&gt;100000,12%,7%)))</f>
        <v>#N/A</v>
      </c>
      <c r="G31" s="1383"/>
      <c r="H31" s="2807" t="s">
        <v>2308</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ROUND(C29*F36,2)</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ROUND(C13*F37,2)</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ROUND(C5*F38,2)</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ROUND(C40*10000/F43,0)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#N/A</v>
      </c>
      <c r="D46" s="1405" t="str">
        <f>C2</f>
        <v>万元</v>
      </c>
      <c r="E46" s="1399"/>
      <c r="F46" s="1399"/>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3404</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3405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ROUND(F49*F51*F50*(1-F52)/10000,0)</f>
        <v>#N/A</v>
      </c>
      <c r="D49" s="1054" t="s">
        <v>2110</v>
      </c>
      <c r="E49" s="1371" t="s">
        <v>780</v>
      </c>
      <c r="F49" s="1059"/>
      <c r="G49" s="1424"/>
      <c r="H49" s="722"/>
      <c r="I49" s="1420" t="s">
        <v>823</v>
      </c>
      <c r="J49" s="1425">
        <f>'数据-取费表'!N17</f>
        <v>2004</v>
      </c>
      <c r="K49" s="1422" t="s">
        <v>824</v>
      </c>
      <c r="L49" s="1426"/>
      <c r="O49" s="1427" t="s">
        <v>405</v>
      </c>
      <c r="P49" s="1418" t="s">
        <v>825</v>
      </c>
      <c r="Q49" s="1419" t="e">
        <f ca="1">C29</f>
        <v>#N/A</v>
      </c>
      <c r="R49" s="1419" t="s">
        <v>818</v>
      </c>
    </row>
    <row r="50" spans="1:18" s="1383" customFormat="1" ht="13.5" thickBot="1">
      <c r="A50" s="975"/>
      <c r="B50" s="978"/>
      <c r="C50" s="1117"/>
      <c r="D50" s="952"/>
      <c r="E50" s="1055" t="s">
        <v>697</v>
      </c>
      <c r="F50" s="1056" t="e">
        <f ca="1">F7</f>
        <v>#N/A</v>
      </c>
      <c r="H50" s="722"/>
      <c r="I50" s="1420" t="s">
        <v>826</v>
      </c>
      <c r="J50" s="1428">
        <f>SUMPRODUCT((I63:I65=J47)*(J62:L62=J48)*(J63:L65))</f>
        <v>50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30</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t="e">
        <f ca="1">IF(M47="住宅",IF(D1="——",MAX(J51,L48),MAX(J51,L48-'数据-取费表'!B24)),IF(D1="——",MIN(J51,L48),MIN(J51,L48-'数据-取费表'!B24)))</f>
        <v>#N/A</v>
      </c>
      <c r="K53" s="3645" t="s">
        <v>837</v>
      </c>
      <c r="L53" s="3646"/>
      <c r="O53" s="1417" t="s">
        <v>409</v>
      </c>
      <c r="P53" s="1418" t="s">
        <v>838</v>
      </c>
      <c r="Q53" s="1419" t="e">
        <f ca="1">Q47+Q48</f>
        <v>#N/A</v>
      </c>
      <c r="R53" s="1419" t="s">
        <v>410</v>
      </c>
    </row>
    <row r="54" spans="1:18" s="1383" customFormat="1" ht="13.5" thickBot="1">
      <c r="A54" s="1152"/>
      <c r="B54" s="1366" t="s">
        <v>679</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25.5" thickTop="1" thickBot="1">
      <c r="A56" s="956">
        <v>2</v>
      </c>
      <c r="B56" s="957" t="s">
        <v>704</v>
      </c>
      <c r="C56" s="232" t="e">
        <f ca="1">C13</f>
        <v>#N/A</v>
      </c>
      <c r="D56" s="1446"/>
      <c r="E56" s="1447"/>
      <c r="F56" s="1439"/>
      <c r="I56" s="1448" t="s">
        <v>842</v>
      </c>
      <c r="J56" s="1449" t="s">
        <v>3392</v>
      </c>
      <c r="K56" s="1420" t="s">
        <v>843</v>
      </c>
      <c r="L56" s="1423" t="e">
        <f ca="1">IF(L48&lt;J51,"——",L48-J53)</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845</v>
      </c>
      <c r="L57" s="1423" t="e">
        <f ca="1">IF(L48&lt;J51,"——",IF(L55="比较法",L49,IF(L55="基准地价",L50,L51)))</f>
        <v>#N/A</v>
      </c>
      <c r="O57" s="1417" t="s">
        <v>404</v>
      </c>
      <c r="P57" s="1418" t="s">
        <v>846</v>
      </c>
      <c r="Q57" s="1419" t="e">
        <f ca="1">L60</f>
        <v>#N/A</v>
      </c>
      <c r="R57" s="1419" t="s">
        <v>847</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849</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e">
        <f ca="1">IF(项目基本情况!B11="企业","——",IF('数据-取费表'!B10="住宅",IF(F49*F50*F51/12/(1+'数据-取费表'!F30)&gt;100000,4%,2.5%),IF(F49*F50*F51/12/(1+'数据-取费表'!F30)&gt;100000,12%,7%)))</f>
        <v>#N/A</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79" t="e">
        <f ca="1">ROUND(POWER(1+L52,L47-(J51+'数据-取费表'!B24))*(POWER(1+L52,(J51+'数据-取费表'!B24))-1)/(POWER(1+L52,L47)-1),4)</f>
        <v>#N/A</v>
      </c>
      <c r="N59" s="1379"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5.6000000000000001E-2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str">
        <f>IF(项目基本情况!B11="自然人","——",ROUND(F62*F63/10000,2))</f>
        <v>——</v>
      </c>
      <c r="D62" s="964" t="s">
        <v>786</v>
      </c>
      <c r="E62" s="949" t="s">
        <v>787</v>
      </c>
      <c r="F62" s="325">
        <f t="shared" si="0"/>
        <v>30</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ROUND(C57*F64,2)</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ROUND(C56*F65,2)</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ROUND(C48*F66,2)</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ROUND(C68*10000/F71,0)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t="s">
        <v>3</v>
      </c>
      <c r="E1" s="3432" t="s">
        <v>3420</v>
      </c>
      <c r="F1" s="1878" t="s">
        <v>3421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e">
        <f>IF(E1="项目模式",IF(C2="——",ROUND(C43*D3/10000,0),ROUND(C43*D3/10000,0)-D2),IF(E1="单套模式",IF(C2="——",ROUND(C43*D3/10000,4),ROUND(C43*D3/10000,4)-D2)))</f>
        <v>#DIV/0!</v>
      </c>
      <c r="C2" s="1880" t="s">
        <v>43</v>
      </c>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t="e">
        <f>IF(C2="——",C43,ROUND(B2*10000/D3,0))</f>
        <v>#DIV/0!</v>
      </c>
      <c r="C3" s="354" t="s">
        <v>1768</v>
      </c>
      <c r="D3" s="353">
        <f>IF(D1="",'数据-汇总表'!E3,SUMIF('数据-汇总表'!$C19:$C33,D1,'数据-汇总表'!$E19:$E33))</f>
        <v>0</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912"/>
      <c r="M4" s="913"/>
      <c r="N4" s="913"/>
      <c r="O4" s="913"/>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659" t="s">
        <v>3443</v>
      </c>
      <c r="F5" s="3660"/>
      <c r="G5" s="3665" t="s">
        <v>3445</v>
      </c>
      <c r="H5" s="3662"/>
      <c r="I5" s="3665" t="s">
        <v>3444</v>
      </c>
      <c r="J5" s="3662"/>
      <c r="K5" s="559"/>
      <c r="L5" s="912"/>
      <c r="M5" s="913"/>
      <c r="N5" s="913"/>
      <c r="O5" s="913"/>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2"/>
      <c r="M6" s="913"/>
      <c r="N6" s="913"/>
      <c r="O6" s="913"/>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45609</v>
      </c>
      <c r="D7" s="365">
        <v>100</v>
      </c>
      <c r="E7" s="366">
        <v>45566</v>
      </c>
      <c r="F7" s="367">
        <f>SUMIF(52:52,YEAR(E7)&amp;"-"&amp;MONTH(E7),53:53)</f>
        <v>0</v>
      </c>
      <c r="G7" s="366">
        <v>45566</v>
      </c>
      <c r="H7" s="365">
        <f>SUMIF(52:52,YEAR(G7)&amp;"-"&amp;MONTH(G7),53:53)</f>
        <v>0</v>
      </c>
      <c r="I7" s="366">
        <v>45566</v>
      </c>
      <c r="J7" s="365">
        <f>SUMIF(52:52,YEAR(I7)&amp;"-"&amp;MONTH(I7),53:53)</f>
        <v>0</v>
      </c>
      <c r="K7" s="560"/>
      <c r="L7" s="914"/>
      <c r="M7" s="915"/>
      <c r="N7" s="915"/>
      <c r="O7" s="915"/>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t="s">
        <v>3409</v>
      </c>
      <c r="D8" s="365">
        <v>100</v>
      </c>
      <c r="E8" s="368" t="s">
        <v>3438</v>
      </c>
      <c r="F8" s="367">
        <f>SUMIF(55:55,E8,56:56)-SUMIF(55:55,C8,56:56)+100</f>
        <v>103</v>
      </c>
      <c r="G8" s="368" t="s">
        <v>3438</v>
      </c>
      <c r="H8" s="365">
        <f>SUMIF(55:55,G8,56:56)-SUMIF(55:55,C8,56:56)+100</f>
        <v>103</v>
      </c>
      <c r="I8" s="368" t="s">
        <v>3438</v>
      </c>
      <c r="J8" s="365">
        <f>SUMIF(55:55,I8,56:56)-SUMIF(55:55,C8,56:56)+100</f>
        <v>103</v>
      </c>
      <c r="K8" s="560"/>
      <c r="L8" s="914"/>
      <c r="M8" s="915"/>
      <c r="N8" s="915"/>
      <c r="O8" s="915"/>
      <c r="P8" s="3653" t="s">
        <v>1683</v>
      </c>
      <c r="Q8" s="3654"/>
      <c r="R8" s="700" t="s">
        <v>14</v>
      </c>
      <c r="S8" s="701">
        <f t="shared" si="0"/>
        <v>103</v>
      </c>
      <c r="T8" s="700" t="s">
        <v>14</v>
      </c>
      <c r="U8" s="701">
        <f t="shared" si="1"/>
        <v>103</v>
      </c>
      <c r="V8" s="700" t="s">
        <v>14</v>
      </c>
      <c r="W8" s="701">
        <f t="shared" si="2"/>
        <v>103</v>
      </c>
      <c r="X8" s="702"/>
      <c r="Y8" s="3653" t="s">
        <v>1683</v>
      </c>
      <c r="Z8" s="3654"/>
      <c r="AA8" s="703">
        <f t="shared" ref="AA8:AA40" si="3">D8/F8</f>
        <v>0.970873786407767</v>
      </c>
      <c r="AB8" s="703">
        <f t="shared" ref="AB8:AB40" si="4">D8/H8</f>
        <v>0.970873786407767</v>
      </c>
      <c r="AC8" s="703">
        <f t="shared" ref="AC8:AC40" si="5">D8/J8</f>
        <v>0.970873786407767</v>
      </c>
    </row>
    <row r="9" spans="1:29" s="108" customFormat="1">
      <c r="A9" s="369" t="s">
        <v>1684</v>
      </c>
      <c r="B9" s="63" t="s">
        <v>1685</v>
      </c>
      <c r="C9" s="3448" t="s">
        <v>3423</v>
      </c>
      <c r="D9" s="126">
        <v>100</v>
      </c>
      <c r="E9" s="373" t="s">
        <v>3422</v>
      </c>
      <c r="F9" s="126">
        <f>SUMIF(57:57,E9,58:58)-SUMIF(57:57,C9,58:58)+100</f>
        <v>100</v>
      </c>
      <c r="G9" s="373" t="s">
        <v>3422</v>
      </c>
      <c r="H9" s="126">
        <f>SUMIF(57:57,G9,58:58)-SUMIF(57:57,C9,58:58)+100</f>
        <v>100</v>
      </c>
      <c r="I9" s="373" t="s">
        <v>3422</v>
      </c>
      <c r="J9" s="126">
        <f>SUMIF(57:57,I9,58:58)-SUMIF(57:57,C9,58:58)+100</f>
        <v>100</v>
      </c>
      <c r="K9" s="560"/>
      <c r="L9" s="914"/>
      <c r="M9" s="915"/>
      <c r="N9" s="915"/>
      <c r="O9" s="916"/>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8"/>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t="s">
        <v>3396</v>
      </c>
      <c r="D16" s="399"/>
      <c r="E16" s="398" t="s">
        <v>3396</v>
      </c>
      <c r="F16" s="400"/>
      <c r="G16" s="398" t="s">
        <v>3396</v>
      </c>
      <c r="H16" s="401"/>
      <c r="I16" s="398" t="s">
        <v>3396</v>
      </c>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t="s">
        <v>3396</v>
      </c>
      <c r="D18" s="401"/>
      <c r="E18" s="398" t="s">
        <v>3396</v>
      </c>
      <c r="F18" s="404"/>
      <c r="G18" s="398" t="s">
        <v>3396</v>
      </c>
      <c r="H18" s="399"/>
      <c r="I18" s="398" t="s">
        <v>3396</v>
      </c>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3397</v>
      </c>
      <c r="D20" s="399"/>
      <c r="E20" s="1897" t="s">
        <v>3397</v>
      </c>
      <c r="F20" s="400"/>
      <c r="G20" s="1897" t="s">
        <v>3397</v>
      </c>
      <c r="H20" s="399"/>
      <c r="I20" s="1897" t="s">
        <v>3397</v>
      </c>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3425</v>
      </c>
      <c r="D22" s="399"/>
      <c r="E22" s="398" t="s">
        <v>3425</v>
      </c>
      <c r="F22" s="400"/>
      <c r="G22" s="398" t="s">
        <v>3425</v>
      </c>
      <c r="H22" s="399"/>
      <c r="I22" s="398" t="s">
        <v>3425</v>
      </c>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t="s">
        <v>3396</v>
      </c>
      <c r="D24" s="399"/>
      <c r="E24" s="398" t="s">
        <v>3396</v>
      </c>
      <c r="F24" s="400"/>
      <c r="G24" s="398" t="s">
        <v>3396</v>
      </c>
      <c r="H24" s="399"/>
      <c r="I24" s="398" t="s">
        <v>3396</v>
      </c>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t="s">
        <v>3426</v>
      </c>
      <c r="D29" s="418">
        <v>100</v>
      </c>
      <c r="E29" s="1966" t="s">
        <v>3426</v>
      </c>
      <c r="F29" s="412">
        <f>SUMIF(88:88,E29,89:89)-SUMIF(88:88,C29,89:89)+100</f>
        <v>100</v>
      </c>
      <c r="G29" s="1966" t="s">
        <v>3426</v>
      </c>
      <c r="H29" s="386">
        <f>SUMIF(88:88,G29,89:89)-SUMIF(88:88,C29,89:89)+100</f>
        <v>100</v>
      </c>
      <c r="I29" s="1966" t="s">
        <v>3426</v>
      </c>
      <c r="J29" s="418">
        <f>SUMIF(88:88,I29,89:89)-SUMIF(88:88,C29,89:89)+100</f>
        <v>100</v>
      </c>
      <c r="K29" s="561"/>
      <c r="L29" s="922"/>
      <c r="M29" s="913"/>
      <c r="N29" s="913"/>
      <c r="O29" s="921"/>
      <c r="P29" s="3685" t="s">
        <v>1696</v>
      </c>
      <c r="Q29" s="1351" t="str">
        <f t="shared" si="11"/>
        <v>建筑类型</v>
      </c>
      <c r="R29" s="704" t="s">
        <v>14</v>
      </c>
      <c r="S29" s="705">
        <f t="shared" si="12"/>
        <v>100</v>
      </c>
      <c r="T29" s="704" t="s">
        <v>14</v>
      </c>
      <c r="U29" s="705">
        <f t="shared" si="13"/>
        <v>100</v>
      </c>
      <c r="V29" s="704" t="s">
        <v>14</v>
      </c>
      <c r="W29" s="705">
        <f t="shared" si="14"/>
        <v>100</v>
      </c>
      <c r="X29" s="1354"/>
      <c r="Y29" s="3686" t="s">
        <v>1696</v>
      </c>
      <c r="Z29" s="1355" t="str">
        <f t="shared" si="15"/>
        <v>建筑类型</v>
      </c>
      <c r="AA29" s="1352">
        <f t="shared" si="3"/>
        <v>1</v>
      </c>
      <c r="AB29" s="1352">
        <f t="shared" si="4"/>
        <v>1</v>
      </c>
      <c r="AC29" s="1352">
        <f t="shared" si="5"/>
        <v>1</v>
      </c>
    </row>
    <row r="30" spans="1:29" s="422" customFormat="1" ht="15">
      <c r="A30" s="419"/>
      <c r="B30" s="375" t="s">
        <v>1697</v>
      </c>
      <c r="C30" s="420">
        <f>'数据-基础表'!B3</f>
        <v>942.8</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0"/>
      <c r="M30" s="923"/>
      <c r="N30" s="923"/>
      <c r="O30" s="924"/>
      <c r="P30" s="3686"/>
      <c r="Q30" s="706" t="str">
        <f t="shared" si="11"/>
        <v>项目建筑规模</v>
      </c>
      <c r="R30" s="707" t="s">
        <v>14</v>
      </c>
      <c r="S30" s="708">
        <f t="shared" si="12"/>
        <v>99</v>
      </c>
      <c r="T30" s="707" t="s">
        <v>14</v>
      </c>
      <c r="U30" s="708">
        <f t="shared" si="13"/>
        <v>99</v>
      </c>
      <c r="V30" s="707" t="s">
        <v>14</v>
      </c>
      <c r="W30" s="708">
        <f t="shared" si="14"/>
        <v>98</v>
      </c>
      <c r="X30" s="709"/>
      <c r="Y30" s="3686"/>
      <c r="Z30" s="710" t="str">
        <f t="shared" si="15"/>
        <v>项目建筑规模</v>
      </c>
      <c r="AA30" s="1352">
        <f t="shared" si="3"/>
        <v>1.0101010101010102</v>
      </c>
      <c r="AB30" s="1352">
        <f t="shared" si="4"/>
        <v>1.0101010101010102</v>
      </c>
      <c r="AC30" s="1352">
        <f t="shared" si="5"/>
        <v>1.0204081632653061</v>
      </c>
    </row>
    <row r="31" spans="1:29" ht="15">
      <c r="A31" s="423"/>
      <c r="B31" s="375" t="s">
        <v>1698</v>
      </c>
      <c r="C31" s="411" t="s">
        <v>3404</v>
      </c>
      <c r="D31" s="386">
        <v>100</v>
      </c>
      <c r="E31" s="411" t="s">
        <v>3404</v>
      </c>
      <c r="F31" s="412">
        <f>SUMIF(93:93,E31,94:94)-SUMIF(93:93,C31,94:94)+100</f>
        <v>100</v>
      </c>
      <c r="G31" s="411" t="s">
        <v>3404</v>
      </c>
      <c r="H31" s="386">
        <f>SUMIF(93:93,G31,94:94)-SUMIF(93:93,C31,94:94)+100</f>
        <v>100</v>
      </c>
      <c r="I31" s="411" t="s">
        <v>3404</v>
      </c>
      <c r="J31" s="386">
        <f>SUMIF(93:93,I31,94:94)-SUMIF(93:93,C31,94:94)+100</f>
        <v>100</v>
      </c>
      <c r="K31" s="561"/>
      <c r="L31" s="922"/>
      <c r="M31" s="913"/>
      <c r="N31" s="913"/>
      <c r="O31" s="921"/>
      <c r="P31" s="3686"/>
      <c r="Q31" s="1351" t="str">
        <f t="shared" si="11"/>
        <v>建筑结构</v>
      </c>
      <c r="R31" s="704" t="s">
        <v>14</v>
      </c>
      <c r="S31" s="705">
        <f t="shared" si="12"/>
        <v>100</v>
      </c>
      <c r="T31" s="704" t="s">
        <v>14</v>
      </c>
      <c r="U31" s="705">
        <f t="shared" si="13"/>
        <v>100</v>
      </c>
      <c r="V31" s="704" t="s">
        <v>14</v>
      </c>
      <c r="W31" s="705">
        <f t="shared" si="14"/>
        <v>100</v>
      </c>
      <c r="X31" s="1354"/>
      <c r="Y31" s="368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6"/>
      <c r="Q32" s="1351" t="str">
        <f t="shared" si="11"/>
        <v>公共部分装修</v>
      </c>
      <c r="R32" s="704" t="s">
        <v>14</v>
      </c>
      <c r="S32" s="705">
        <f t="shared" si="12"/>
        <v>100</v>
      </c>
      <c r="T32" s="704" t="s">
        <v>14</v>
      </c>
      <c r="U32" s="705">
        <f t="shared" si="13"/>
        <v>100</v>
      </c>
      <c r="V32" s="704" t="s">
        <v>14</v>
      </c>
      <c r="W32" s="705">
        <f t="shared" si="14"/>
        <v>100</v>
      </c>
      <c r="X32" s="1354"/>
      <c r="Y32" s="3686"/>
      <c r="Z32" s="1355" t="str">
        <f t="shared" si="15"/>
        <v>公共部分装修</v>
      </c>
      <c r="AA32" s="1352">
        <f t="shared" si="3"/>
        <v>1</v>
      </c>
      <c r="AB32" s="1352">
        <f t="shared" si="4"/>
        <v>1</v>
      </c>
      <c r="AC32" s="1352">
        <f t="shared" si="5"/>
        <v>1</v>
      </c>
    </row>
    <row r="33" spans="1:29" ht="15">
      <c r="A33" s="423"/>
      <c r="B33" s="375" t="s">
        <v>1786</v>
      </c>
      <c r="C33" s="3451">
        <f>'数据-取费表'!N6</f>
        <v>0.76</v>
      </c>
      <c r="D33" s="386">
        <v>100</v>
      </c>
      <c r="E33" s="3451">
        <f>C33</f>
        <v>0.76</v>
      </c>
      <c r="F33" s="412">
        <f>LOOKUP(E33,98:98,99:99)-LOOKUP(C33,98:98,99:99)+100</f>
        <v>100</v>
      </c>
      <c r="G33" s="3451">
        <f>C33</f>
        <v>0.76</v>
      </c>
      <c r="H33" s="412">
        <f>LOOKUP(G33,98:98,99:99)-LOOKUP(C33,98:98,99:99)+100</f>
        <v>100</v>
      </c>
      <c r="I33" s="3451">
        <f>C33</f>
        <v>0.76</v>
      </c>
      <c r="J33" s="386">
        <f>LOOKUP(I33,98:98,99:99)-LOOKUP(C33,98:98,99:99)+100</f>
        <v>100</v>
      </c>
      <c r="K33" s="561"/>
      <c r="L33" s="922"/>
      <c r="M33" s="913"/>
      <c r="N33" s="913"/>
      <c r="O33" s="921"/>
      <c r="P33" s="3686"/>
      <c r="Q33" s="1351" t="str">
        <f t="shared" si="11"/>
        <v>成新度</v>
      </c>
      <c r="R33" s="704" t="s">
        <v>14</v>
      </c>
      <c r="S33" s="705">
        <f t="shared" si="12"/>
        <v>100</v>
      </c>
      <c r="T33" s="704" t="s">
        <v>14</v>
      </c>
      <c r="U33" s="705">
        <f t="shared" si="13"/>
        <v>100</v>
      </c>
      <c r="V33" s="704" t="s">
        <v>14</v>
      </c>
      <c r="W33" s="705">
        <f t="shared" si="14"/>
        <v>100</v>
      </c>
      <c r="X33" s="1354"/>
      <c r="Y33" s="3686"/>
      <c r="Z33" s="1355" t="str">
        <f t="shared" si="15"/>
        <v>成新度</v>
      </c>
      <c r="AA33" s="1352">
        <f t="shared" si="3"/>
        <v>1</v>
      </c>
      <c r="AB33" s="1352">
        <f t="shared" si="4"/>
        <v>1</v>
      </c>
      <c r="AC33" s="1352">
        <f t="shared" si="5"/>
        <v>1</v>
      </c>
    </row>
    <row r="34" spans="1:29" s="108" customFormat="1" ht="15">
      <c r="A34" s="424"/>
      <c r="B34" s="375" t="s">
        <v>1819</v>
      </c>
      <c r="C34" s="411" t="s">
        <v>3429</v>
      </c>
      <c r="D34" s="127">
        <v>100</v>
      </c>
      <c r="E34" s="411" t="s">
        <v>3429</v>
      </c>
      <c r="F34" s="412">
        <f>SUMIF(100:100,E34,101:101)-SUMIF(100:100,C34,101:101)+100</f>
        <v>100</v>
      </c>
      <c r="G34" s="411" t="s">
        <v>3429</v>
      </c>
      <c r="H34" s="386">
        <f>SUMIF(100:100,G34,101:101)-SUMIF(100:100,C34,101:101)+100</f>
        <v>100</v>
      </c>
      <c r="I34" s="411" t="s">
        <v>3429</v>
      </c>
      <c r="J34" s="386">
        <f>SUMIF(100:100,I34,101:101)-SUMIF(100:100,C34,101:101)+100</f>
        <v>100</v>
      </c>
      <c r="K34" s="561"/>
      <c r="L34" s="914"/>
      <c r="M34" s="915"/>
      <c r="N34" s="915"/>
      <c r="O34" s="916"/>
      <c r="P34" s="3686"/>
      <c r="Q34" s="1342" t="str">
        <f t="shared" si="11"/>
        <v>物业管理</v>
      </c>
      <c r="R34" s="700" t="s">
        <v>14</v>
      </c>
      <c r="S34" s="701">
        <f t="shared" si="12"/>
        <v>100</v>
      </c>
      <c r="T34" s="700" t="s">
        <v>14</v>
      </c>
      <c r="U34" s="701">
        <f t="shared" si="13"/>
        <v>100</v>
      </c>
      <c r="V34" s="700" t="s">
        <v>14</v>
      </c>
      <c r="W34" s="701">
        <f t="shared" si="14"/>
        <v>100</v>
      </c>
      <c r="X34" s="702"/>
      <c r="Y34" s="3686"/>
      <c r="Z34" s="52" t="str">
        <f t="shared" si="15"/>
        <v>物业管理</v>
      </c>
      <c r="AA34" s="703">
        <f t="shared" si="3"/>
        <v>1</v>
      </c>
      <c r="AB34" s="703">
        <f t="shared" si="4"/>
        <v>1</v>
      </c>
      <c r="AC34" s="703">
        <f t="shared" si="5"/>
        <v>1</v>
      </c>
    </row>
    <row r="35" spans="1:29" ht="15">
      <c r="A35" s="423"/>
      <c r="B35" s="375" t="s">
        <v>1787</v>
      </c>
      <c r="C35" s="411" t="s">
        <v>3424</v>
      </c>
      <c r="D35" s="386">
        <v>100</v>
      </c>
      <c r="E35" s="411" t="s">
        <v>3424</v>
      </c>
      <c r="F35" s="412">
        <f>SUMIF(102:102,E35,103:103)-SUMIF(102:102,C35,103:103)+100</f>
        <v>100</v>
      </c>
      <c r="G35" s="411" t="s">
        <v>3424</v>
      </c>
      <c r="H35" s="386">
        <f>SUMIF(102:102,G35,103:103)-SUMIF(102:102,C35,103:103)+100</f>
        <v>100</v>
      </c>
      <c r="I35" s="411" t="s">
        <v>3424</v>
      </c>
      <c r="J35" s="386">
        <f>SUMIF(102:102,I35,103:103)-SUMIF(102:102,C35,103:103)+100</f>
        <v>100</v>
      </c>
      <c r="K35" s="561"/>
      <c r="L35" s="922"/>
      <c r="M35" s="913"/>
      <c r="N35" s="913"/>
      <c r="O35" s="921"/>
      <c r="P35" s="3686" t="s">
        <v>1696</v>
      </c>
      <c r="Q35" s="1351" t="str">
        <f t="shared" si="11"/>
        <v>市政基础设施</v>
      </c>
      <c r="R35" s="704" t="s">
        <v>14</v>
      </c>
      <c r="S35" s="705">
        <f t="shared" si="12"/>
        <v>100</v>
      </c>
      <c r="T35" s="704" t="s">
        <v>14</v>
      </c>
      <c r="U35" s="705">
        <f t="shared" si="13"/>
        <v>100</v>
      </c>
      <c r="V35" s="704" t="s">
        <v>14</v>
      </c>
      <c r="W35" s="705">
        <f t="shared" si="14"/>
        <v>100</v>
      </c>
      <c r="X35" s="1354"/>
      <c r="Y35" s="3686" t="s">
        <v>1696</v>
      </c>
      <c r="Z35" s="1355" t="str">
        <f t="shared" si="15"/>
        <v>市政基础设施</v>
      </c>
      <c r="AA35" s="1352">
        <f t="shared" si="3"/>
        <v>1</v>
      </c>
      <c r="AB35" s="1352">
        <f t="shared" si="4"/>
        <v>1</v>
      </c>
      <c r="AC35" s="1352">
        <f t="shared" si="5"/>
        <v>1</v>
      </c>
    </row>
    <row r="36" spans="1:29" ht="15">
      <c r="A36" s="423"/>
      <c r="B36" s="375" t="s">
        <v>1792</v>
      </c>
      <c r="C36" s="411" t="s">
        <v>3435</v>
      </c>
      <c r="D36" s="386">
        <v>100</v>
      </c>
      <c r="E36" s="411" t="s">
        <v>3435</v>
      </c>
      <c r="F36" s="412">
        <f>SUMIF(104:104,E36,105:105)-SUMIF(104:104,C36,105:105)+100</f>
        <v>100</v>
      </c>
      <c r="G36" s="411" t="s">
        <v>3435</v>
      </c>
      <c r="H36" s="386">
        <f>SUMIF(104:104,G36,105:105)-SUMIF(104:104,C36,105:105)+100</f>
        <v>100</v>
      </c>
      <c r="I36" s="411" t="s">
        <v>3435</v>
      </c>
      <c r="J36" s="386">
        <f>SUMIF(104:104,I36,105:105)-SUMIF(104:104,C36,105:105)+100</f>
        <v>100</v>
      </c>
      <c r="K36" s="561"/>
      <c r="L36" s="922"/>
      <c r="M36" s="913"/>
      <c r="N36" s="913"/>
      <c r="O36" s="921"/>
      <c r="P36" s="3686"/>
      <c r="Q36" s="1351" t="str">
        <f t="shared" si="11"/>
        <v>内部装修</v>
      </c>
      <c r="R36" s="704" t="s">
        <v>14</v>
      </c>
      <c r="S36" s="705">
        <f t="shared" si="12"/>
        <v>100</v>
      </c>
      <c r="T36" s="704" t="s">
        <v>14</v>
      </c>
      <c r="U36" s="705">
        <f t="shared" si="13"/>
        <v>100</v>
      </c>
      <c r="V36" s="704" t="s">
        <v>14</v>
      </c>
      <c r="W36" s="705">
        <f t="shared" si="14"/>
        <v>100</v>
      </c>
      <c r="X36" s="1354"/>
      <c r="Y36" s="3686"/>
      <c r="Z36" s="1355" t="str">
        <f t="shared" si="15"/>
        <v>内部装修</v>
      </c>
      <c r="AA36" s="1352">
        <f t="shared" si="3"/>
        <v>1</v>
      </c>
      <c r="AB36" s="1352">
        <f t="shared" si="4"/>
        <v>1</v>
      </c>
      <c r="AC36" s="1352">
        <f t="shared" si="5"/>
        <v>1</v>
      </c>
    </row>
    <row r="37" spans="1:29" ht="15">
      <c r="A37" s="423"/>
      <c r="B37" s="375" t="s">
        <v>1828</v>
      </c>
      <c r="C37" s="565" t="s">
        <v>3396</v>
      </c>
      <c r="D37" s="386">
        <v>100</v>
      </c>
      <c r="E37" s="565" t="s">
        <v>3396</v>
      </c>
      <c r="F37" s="412">
        <f>SUMIF(106:106,E37,107:107)-SUMIF(106:106,C37,107:107)+100</f>
        <v>100</v>
      </c>
      <c r="G37" s="565" t="s">
        <v>3396</v>
      </c>
      <c r="H37" s="386">
        <f>SUMIF(106:106,G37,107:107)-SUMIF(106:106,C37,107:107)+100</f>
        <v>100</v>
      </c>
      <c r="I37" s="565" t="s">
        <v>3396</v>
      </c>
      <c r="J37" s="386">
        <f>SUMIF(106:106,I37,107:107)-SUMIF(106:106,C37,107:107)+100</f>
        <v>100</v>
      </c>
      <c r="K37" s="561"/>
      <c r="L37" s="922"/>
      <c r="M37" s="913"/>
      <c r="N37" s="913"/>
      <c r="O37" s="921"/>
      <c r="P37" s="3686"/>
      <c r="Q37" s="1351" t="str">
        <f t="shared" si="11"/>
        <v>内部装修状况</v>
      </c>
      <c r="R37" s="704" t="s">
        <v>14</v>
      </c>
      <c r="S37" s="705">
        <f t="shared" si="12"/>
        <v>100</v>
      </c>
      <c r="T37" s="704" t="s">
        <v>14</v>
      </c>
      <c r="U37" s="705">
        <f t="shared" si="13"/>
        <v>100</v>
      </c>
      <c r="V37" s="704" t="s">
        <v>14</v>
      </c>
      <c r="W37" s="705">
        <f t="shared" si="14"/>
        <v>100</v>
      </c>
      <c r="X37" s="1354"/>
      <c r="Y37" s="3686"/>
      <c r="Z37" s="1355" t="str">
        <f t="shared" si="15"/>
        <v>内部装修状况</v>
      </c>
      <c r="AA37" s="1352">
        <f t="shared" si="3"/>
        <v>1</v>
      </c>
      <c r="AB37" s="1352">
        <f t="shared" si="4"/>
        <v>1</v>
      </c>
      <c r="AC37" s="1352">
        <f t="shared" si="5"/>
        <v>1</v>
      </c>
    </row>
    <row r="38" spans="1:29" s="422" customFormat="1" ht="15">
      <c r="A38" s="419"/>
      <c r="B38" s="3453" t="s">
        <v>3440</v>
      </c>
      <c r="C38" s="3454"/>
      <c r="D38" s="386">
        <v>100</v>
      </c>
      <c r="E38" s="3455"/>
      <c r="F38" s="412">
        <f>SUMIF(108:108,E38,109:109)-SUMIF(108:108,C38,109:109)+100</f>
        <v>100</v>
      </c>
      <c r="G38" s="3454"/>
      <c r="H38" s="386">
        <f>SUMIF(108:108,G38,109:109)-SUMIF(108:108,C38,109:109)+100</f>
        <v>100</v>
      </c>
      <c r="I38" s="3454"/>
      <c r="J38" s="386">
        <f>SUMIF(108:108,I38,109:1038)-SUMIF(108:108,C38,109:109)+100</f>
        <v>100</v>
      </c>
      <c r="K38" s="562"/>
      <c r="L38" s="920"/>
      <c r="M38" s="923"/>
      <c r="N38" s="923"/>
      <c r="O38" s="924"/>
      <c r="P38" s="3686"/>
      <c r="Q38" s="706" t="str">
        <f t="shared" si="11"/>
        <v>是否有地下</v>
      </c>
      <c r="R38" s="707" t="s">
        <v>14</v>
      </c>
      <c r="S38" s="708">
        <f t="shared" si="12"/>
        <v>100</v>
      </c>
      <c r="T38" s="707" t="s">
        <v>14</v>
      </c>
      <c r="U38" s="708">
        <f t="shared" si="13"/>
        <v>100</v>
      </c>
      <c r="V38" s="707" t="s">
        <v>14</v>
      </c>
      <c r="W38" s="708">
        <f t="shared" si="14"/>
        <v>100</v>
      </c>
      <c r="X38" s="709"/>
      <c r="Y38" s="3686"/>
      <c r="Z38" s="710" t="str">
        <f t="shared" si="15"/>
        <v>是否有地下</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6"/>
      <c r="Q39" s="1351">
        <f t="shared" si="11"/>
        <v>111</v>
      </c>
      <c r="R39" s="704" t="s">
        <v>14</v>
      </c>
      <c r="S39" s="705">
        <f t="shared" si="12"/>
        <v>100</v>
      </c>
      <c r="T39" s="704" t="s">
        <v>14</v>
      </c>
      <c r="U39" s="705">
        <f t="shared" si="13"/>
        <v>100</v>
      </c>
      <c r="V39" s="704" t="s">
        <v>14</v>
      </c>
      <c r="W39" s="705">
        <f t="shared" si="14"/>
        <v>100</v>
      </c>
      <c r="X39" s="1354"/>
      <c r="Y39" s="3686"/>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7"/>
      <c r="Q40" s="1351">
        <f t="shared" si="11"/>
        <v>111</v>
      </c>
      <c r="R40" s="704" t="s">
        <v>14</v>
      </c>
      <c r="S40" s="705">
        <f t="shared" si="12"/>
        <v>100</v>
      </c>
      <c r="T40" s="704" t="s">
        <v>14</v>
      </c>
      <c r="U40" s="705">
        <f t="shared" si="13"/>
        <v>100</v>
      </c>
      <c r="V40" s="704" t="s">
        <v>14</v>
      </c>
      <c r="W40" s="705">
        <f t="shared" si="14"/>
        <v>100</v>
      </c>
      <c r="X40" s="1354"/>
      <c r="Y40" s="3687"/>
      <c r="Z40" s="1355">
        <f t="shared" si="15"/>
        <v>111</v>
      </c>
      <c r="AA40" s="1352">
        <f t="shared" si="3"/>
        <v>1</v>
      </c>
      <c r="AB40" s="1352">
        <f t="shared" si="4"/>
        <v>1</v>
      </c>
      <c r="AC40" s="1352">
        <f t="shared" si="5"/>
        <v>1</v>
      </c>
    </row>
    <row r="41" spans="1:29" ht="15">
      <c r="A41" s="430" t="s">
        <v>1708</v>
      </c>
      <c r="B41" s="431"/>
      <c r="C41" s="1153" t="s">
        <v>0</v>
      </c>
      <c r="D41" s="1154"/>
      <c r="E41" s="1155">
        <v>15000</v>
      </c>
      <c r="F41" s="1156"/>
      <c r="G41" s="1157">
        <v>18000</v>
      </c>
      <c r="H41" s="1158"/>
      <c r="I41" s="1155">
        <v>15000</v>
      </c>
      <c r="J41" s="1158"/>
      <c r="K41" s="713"/>
      <c r="L41" s="925"/>
      <c r="M41" s="926"/>
      <c r="N41" s="913"/>
      <c r="O41" s="926"/>
      <c r="P41" s="3668" t="str">
        <f>A41</f>
        <v>成交单价（元/平方米）</v>
      </c>
      <c r="Q41" s="3668"/>
      <c r="R41" s="3688">
        <f>E41</f>
        <v>15000</v>
      </c>
      <c r="S41" s="3688"/>
      <c r="T41" s="3688">
        <f>G41</f>
        <v>18000</v>
      </c>
      <c r="U41" s="3688"/>
      <c r="V41" s="3688">
        <f>I41</f>
        <v>15000</v>
      </c>
      <c r="W41" s="368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8" t="str">
        <f>A42</f>
        <v>比较价值（元/平方米）</v>
      </c>
      <c r="Q42" s="3668"/>
      <c r="R42" s="3688" t="e">
        <f>IF(F1="售价",ROUND(PRODUCT(R41,AA7:AA40),0),ROUND(PRODUCT(R41,AA7:AA40),1))</f>
        <v>#DIV/0!</v>
      </c>
      <c r="S42" s="3688"/>
      <c r="T42" s="3688" t="e">
        <f>IF(F1="售价",ROUND(PRODUCT(T41,AB7:AB40),0),ROUND(PRODUCT(T41,AB7:AB40),1))</f>
        <v>#DIV/0!</v>
      </c>
      <c r="U42" s="3688"/>
      <c r="V42" s="3688" t="e">
        <f>IF(F1="售价",ROUND(PRODUCT(V41,AC7:AC40),0),ROUND(PRODUCT(V41,AC7:AC40),1))</f>
        <v>#DIV/0!</v>
      </c>
      <c r="W42" s="368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89" t="str">
        <f>A43</f>
        <v>估价对象XX用房的比较价值（楼面单价，元/平方米）</v>
      </c>
      <c r="Q43" s="3690"/>
      <c r="R43" s="3691" t="e">
        <f>IF(F1="售价",ROUND(IF(D42="简单平均",AVERAGE(R42:V42),R42*F42+T42*H42+V42*J42),0),ROUND(IF(D42="简单平均",AVERAGE(R42:V42),R42*F42+T42*H42+V42*J42),1))</f>
        <v>#DIV/0!</v>
      </c>
      <c r="S43" s="3691"/>
      <c r="T43" s="3691"/>
      <c r="U43" s="3691"/>
      <c r="V43" s="3691"/>
      <c r="W43" s="3691"/>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3452" t="s">
        <v>3439</v>
      </c>
      <c r="E55" s="472"/>
      <c r="F55" s="472"/>
      <c r="G55" s="472"/>
      <c r="H55" s="472"/>
      <c r="I55" s="472"/>
      <c r="J55" s="472"/>
      <c r="K55" s="472"/>
      <c r="L55" s="473"/>
      <c r="M55" s="474"/>
      <c r="N55" s="931"/>
      <c r="O55" s="931"/>
      <c r="P55" s="475"/>
      <c r="Q55" s="453"/>
    </row>
    <row r="56" spans="1:17" s="108" customFormat="1" ht="15.75" thickBot="1">
      <c r="A56" s="470"/>
      <c r="B56" s="459"/>
      <c r="C56" s="586">
        <v>100</v>
      </c>
      <c r="D56" s="461">
        <v>103</v>
      </c>
      <c r="E56" s="461"/>
      <c r="F56" s="461"/>
      <c r="G56" s="461"/>
      <c r="H56" s="461"/>
      <c r="I56" s="461"/>
      <c r="J56" s="461"/>
      <c r="K56" s="461"/>
      <c r="L56" s="461"/>
      <c r="M56" s="463"/>
      <c r="N56" s="931"/>
      <c r="O56" s="931"/>
      <c r="P56" s="453"/>
      <c r="Q56" s="453"/>
    </row>
    <row r="57" spans="1:17">
      <c r="A57" s="476" t="s">
        <v>1719</v>
      </c>
      <c r="B57" s="477" t="s">
        <v>1685</v>
      </c>
      <c r="C57" s="478" t="str">
        <f>C9</f>
        <v>工业（办公）</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3449" t="s">
        <v>3427</v>
      </c>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v>0</v>
      </c>
      <c r="D91" s="544">
        <v>2000</v>
      </c>
      <c r="E91" s="544">
        <v>4000</v>
      </c>
      <c r="F91" s="544">
        <v>6000</v>
      </c>
      <c r="G91" s="544"/>
      <c r="H91" s="544"/>
      <c r="I91" s="544"/>
      <c r="J91" s="545"/>
      <c r="K91" s="545"/>
      <c r="L91" s="546"/>
      <c r="M91" s="547"/>
      <c r="N91" s="934"/>
      <c r="O91" s="934"/>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3"/>
      <c r="O92" s="933"/>
      <c r="P92" s="507"/>
      <c r="Q92" s="508"/>
    </row>
    <row r="93" spans="1:17" ht="15" thickTop="1">
      <c r="A93" s="548"/>
      <c r="B93" s="487" t="s">
        <v>1738</v>
      </c>
      <c r="C93" s="3450" t="s">
        <v>3428</v>
      </c>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3"/>
      <c r="O99" s="933"/>
      <c r="P99" s="42"/>
      <c r="Q99" s="453"/>
    </row>
    <row r="100" spans="1:17" s="422" customFormat="1" ht="15" thickTop="1">
      <c r="A100" s="542"/>
      <c r="B100" s="487" t="s">
        <v>1741</v>
      </c>
      <c r="C100" s="3450" t="s">
        <v>3430</v>
      </c>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507"/>
      <c r="Q101" s="508"/>
    </row>
    <row r="102" spans="1:17" ht="15" thickTop="1">
      <c r="A102" s="548"/>
      <c r="B102" s="487" t="s">
        <v>1742</v>
      </c>
      <c r="C102" s="503" t="s">
        <v>3425</v>
      </c>
      <c r="D102" s="503" t="s">
        <v>3431</v>
      </c>
      <c r="E102" s="503" t="s">
        <v>3424</v>
      </c>
      <c r="F102" s="503" t="s">
        <v>3432</v>
      </c>
      <c r="G102" s="503" t="s">
        <v>3433</v>
      </c>
      <c r="H102" s="532"/>
      <c r="I102" s="532"/>
      <c r="J102" s="532"/>
      <c r="K102" s="533"/>
      <c r="L102" s="534"/>
      <c r="M102" s="535"/>
      <c r="N102" s="932"/>
      <c r="O102" s="932"/>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3"/>
      <c r="O103" s="933"/>
      <c r="P103" s="42"/>
      <c r="Q103" s="453"/>
    </row>
    <row r="104" spans="1:17" ht="15" thickTop="1">
      <c r="A104" s="548"/>
      <c r="B104" s="487" t="s">
        <v>1744</v>
      </c>
      <c r="C104" s="3450" t="s">
        <v>3434</v>
      </c>
      <c r="D104" s="3450" t="s">
        <v>3436</v>
      </c>
      <c r="E104" s="3450" t="s">
        <v>3437</v>
      </c>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3"/>
      <c r="O107" s="933"/>
      <c r="P107" s="42"/>
      <c r="Q107" s="453"/>
    </row>
    <row r="108" spans="1:17" s="422" customFormat="1" ht="15" thickTop="1">
      <c r="A108" s="542"/>
      <c r="B108" s="487" t="str">
        <f>B38</f>
        <v>是否有地下</v>
      </c>
      <c r="C108" s="3450" t="s">
        <v>3441</v>
      </c>
      <c r="D108" s="3450" t="s">
        <v>3442</v>
      </c>
      <c r="E108" s="503"/>
      <c r="F108" s="503"/>
      <c r="G108" s="503"/>
      <c r="H108" s="504"/>
      <c r="I108" s="504"/>
      <c r="J108" s="504"/>
      <c r="K108" s="504"/>
      <c r="L108" s="505"/>
      <c r="M108" s="506"/>
      <c r="N108" s="934"/>
      <c r="O108" s="934"/>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A13" zoomScale="115" zoomScaleNormal="115" workbookViewId="0">
      <selection activeCell="F20" sqref="F20"/>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59" zoomScaleNormal="70" zoomScaleSheetLayoutView="100" workbookViewId="0">
      <selection activeCell="D93" sqref="D9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3420</v>
      </c>
      <c r="F1" s="1878" t="s">
        <v>3421</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7563.8958000000002</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80228</v>
      </c>
      <c r="C3" s="354" t="s">
        <v>1768</v>
      </c>
      <c r="D3" s="353">
        <f>IF(D1="",'数据-汇总表'!E3,SUMIF('数据-汇总表'!$C19:$C33,D1,'数据-汇总表'!$E19:$E33))</f>
        <v>942.8</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81" t="s">
        <v>1772</v>
      </c>
      <c r="AC4" s="3650" t="s">
        <v>1773</v>
      </c>
    </row>
    <row r="5" spans="1:29" ht="15">
      <c r="A5" s="358"/>
      <c r="B5" s="359"/>
      <c r="C5" s="3661" t="s">
        <v>1673</v>
      </c>
      <c r="D5" s="3662"/>
      <c r="E5" s="3659" t="s">
        <v>3488</v>
      </c>
      <c r="F5" s="3660"/>
      <c r="G5" s="3665" t="s">
        <v>3483</v>
      </c>
      <c r="H5" s="3662"/>
      <c r="I5" s="3665" t="s">
        <v>3490</v>
      </c>
      <c r="J5" s="3662"/>
      <c r="K5" s="559"/>
      <c r="L5" s="2714"/>
      <c r="M5" s="2715"/>
      <c r="N5" s="2715"/>
      <c r="O5" s="2715"/>
      <c r="P5" s="3675"/>
      <c r="Q5" s="3676"/>
      <c r="R5" s="3657"/>
      <c r="S5" s="3658"/>
      <c r="T5" s="3657"/>
      <c r="U5" s="3658"/>
      <c r="V5" s="3681"/>
      <c r="W5" s="3681"/>
      <c r="X5" s="1354"/>
      <c r="Y5" s="3657"/>
      <c r="Z5" s="3658"/>
      <c r="AA5" s="3651"/>
      <c r="AB5" s="368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81"/>
      <c r="AC6" s="3652"/>
    </row>
    <row r="7" spans="1:29" s="108" customFormat="1" ht="15.75" thickBot="1">
      <c r="A7" s="362" t="s">
        <v>1679</v>
      </c>
      <c r="B7" s="363"/>
      <c r="C7" s="364">
        <f>'数据-取费表'!B2</f>
        <v>45609</v>
      </c>
      <c r="D7" s="365">
        <v>100</v>
      </c>
      <c r="E7" s="366">
        <v>45597</v>
      </c>
      <c r="F7" s="367">
        <f>SUMIF(58:58,YEAR(E7)&amp;"-"&amp;MONTH(E7),59:59)</f>
        <v>100</v>
      </c>
      <c r="G7" s="366">
        <v>45597</v>
      </c>
      <c r="H7" s="365">
        <f>SUMIF(58:58,YEAR(G7)&amp;"-"&amp;MONTH(G7),59:59)</f>
        <v>100</v>
      </c>
      <c r="I7" s="366">
        <v>45597</v>
      </c>
      <c r="J7" s="365">
        <f>SUMIF(58:58,YEAR(I7)&amp;"-"&amp;MONTH(I7),59:59)</f>
        <v>100</v>
      </c>
      <c r="K7" s="560"/>
      <c r="L7" s="2716"/>
      <c r="M7" s="2717"/>
      <c r="N7" s="2717"/>
      <c r="O7" s="2717"/>
      <c r="P7" s="3653" t="s">
        <v>1680</v>
      </c>
      <c r="Q7" s="3682"/>
      <c r="R7" s="700" t="s">
        <v>14</v>
      </c>
      <c r="S7" s="701">
        <f t="shared" ref="S7:S15" si="0">F7</f>
        <v>100</v>
      </c>
      <c r="T7" s="700" t="s">
        <v>14</v>
      </c>
      <c r="U7" s="701">
        <f t="shared" ref="U7:U15" si="1">H7</f>
        <v>100</v>
      </c>
      <c r="V7" s="700" t="s">
        <v>14</v>
      </c>
      <c r="W7" s="701">
        <f t="shared" ref="W7:W15" si="2">J7</f>
        <v>100</v>
      </c>
      <c r="X7" s="702"/>
      <c r="Y7" s="3653" t="s">
        <v>1680</v>
      </c>
      <c r="Z7" s="3654"/>
      <c r="AA7" s="703">
        <f>D7/F7</f>
        <v>1</v>
      </c>
      <c r="AB7" s="703">
        <f>D7/H7</f>
        <v>1</v>
      </c>
      <c r="AC7" s="703">
        <f>D7/J7</f>
        <v>1</v>
      </c>
    </row>
    <row r="8" spans="1:29" s="108" customFormat="1" ht="15.75" thickBot="1">
      <c r="A8" s="362" t="s">
        <v>1681</v>
      </c>
      <c r="B8" s="363"/>
      <c r="C8" s="368" t="s">
        <v>3409</v>
      </c>
      <c r="D8" s="365">
        <v>100</v>
      </c>
      <c r="E8" s="368" t="s">
        <v>3469</v>
      </c>
      <c r="F8" s="367">
        <f>SUMIF(61:61,E8,62:62)-SUMIF(61:61,C8,62:62)+100</f>
        <v>105</v>
      </c>
      <c r="G8" s="368" t="s">
        <v>3469</v>
      </c>
      <c r="H8" s="365">
        <f>SUMIF(61:61,G8,62:62)-SUMIF(61:61,C8,62:62)+100</f>
        <v>105</v>
      </c>
      <c r="I8" s="368" t="s">
        <v>3469</v>
      </c>
      <c r="J8" s="365">
        <f>SUMIF(61:61,I8,62:62)-SUMIF(61:61,C8,62:62)+100</f>
        <v>105</v>
      </c>
      <c r="K8" s="560"/>
      <c r="L8" s="2716"/>
      <c r="M8" s="2717"/>
      <c r="N8" s="2717"/>
      <c r="O8" s="2717"/>
      <c r="P8" s="3653" t="s">
        <v>1683</v>
      </c>
      <c r="Q8" s="3654"/>
      <c r="R8" s="700" t="s">
        <v>14</v>
      </c>
      <c r="S8" s="701">
        <f t="shared" si="0"/>
        <v>105</v>
      </c>
      <c r="T8" s="700" t="s">
        <v>14</v>
      </c>
      <c r="U8" s="701">
        <f t="shared" si="1"/>
        <v>105</v>
      </c>
      <c r="V8" s="700" t="s">
        <v>14</v>
      </c>
      <c r="W8" s="701">
        <f t="shared" si="2"/>
        <v>105</v>
      </c>
      <c r="X8" s="702"/>
      <c r="Y8" s="3653" t="s">
        <v>1683</v>
      </c>
      <c r="Z8" s="365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3454</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t="s">
        <v>3491</v>
      </c>
      <c r="D10" s="127">
        <v>100</v>
      </c>
      <c r="E10" s="3434" t="s">
        <v>3491</v>
      </c>
      <c r="F10" s="376">
        <f>SUMIF(65:65,E10,66:66)-SUMIF(65:65,C10,66:66)+100</f>
        <v>100</v>
      </c>
      <c r="G10" s="3434" t="s">
        <v>3491</v>
      </c>
      <c r="H10" s="127">
        <f>SUMIF(65:65,G10,66:66)-SUMIF(65:65,C10,66:66)+100</f>
        <v>100</v>
      </c>
      <c r="I10" s="3434" t="s">
        <v>3491</v>
      </c>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98</v>
      </c>
      <c r="I15" s="393"/>
      <c r="J15" s="392">
        <f>SUMIF(76:76,I16,77:77)-SUMIF(76:76,C16,77:77)+100</f>
        <v>100</v>
      </c>
      <c r="K15" s="563">
        <v>2</v>
      </c>
      <c r="L15" s="2721"/>
      <c r="M15" s="2715"/>
      <c r="N15" s="2715"/>
      <c r="O15" s="2715"/>
      <c r="P15" s="3693" t="s">
        <v>1691</v>
      </c>
      <c r="Q15" s="1351" t="str">
        <f t="shared" si="6"/>
        <v>商业繁华度</v>
      </c>
      <c r="R15" s="704" t="s">
        <v>14</v>
      </c>
      <c r="S15" s="705">
        <f t="shared" si="0"/>
        <v>100</v>
      </c>
      <c r="T15" s="704" t="s">
        <v>14</v>
      </c>
      <c r="U15" s="705">
        <f t="shared" si="1"/>
        <v>98</v>
      </c>
      <c r="V15" s="704" t="s">
        <v>14</v>
      </c>
      <c r="W15" s="705">
        <f t="shared" si="2"/>
        <v>100</v>
      </c>
      <c r="X15" s="1354"/>
      <c r="Y15" s="3683" t="s">
        <v>1691</v>
      </c>
      <c r="Z15" s="1355" t="str">
        <f t="shared" si="7"/>
        <v>商业繁华度</v>
      </c>
      <c r="AA15" s="1352">
        <f t="shared" si="3"/>
        <v>1</v>
      </c>
      <c r="AB15" s="1352">
        <f t="shared" si="4"/>
        <v>1.0204081632653061</v>
      </c>
      <c r="AC15" s="1352">
        <f t="shared" si="5"/>
        <v>1</v>
      </c>
    </row>
    <row r="16" spans="1:29" ht="15">
      <c r="A16" s="379"/>
      <c r="B16" s="397"/>
      <c r="C16" s="398" t="s">
        <v>3399</v>
      </c>
      <c r="D16" s="399"/>
      <c r="E16" s="398" t="s">
        <v>3399</v>
      </c>
      <c r="F16" s="400"/>
      <c r="G16" s="398" t="s">
        <v>3396</v>
      </c>
      <c r="H16" s="401"/>
      <c r="I16" s="398" t="s">
        <v>3399</v>
      </c>
      <c r="J16" s="399"/>
      <c r="K16" s="564"/>
      <c r="L16" s="2721"/>
      <c r="M16" s="2715"/>
      <c r="N16" s="2715"/>
      <c r="O16" s="2715"/>
      <c r="P16" s="369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9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398" t="s">
        <v>3396</v>
      </c>
      <c r="D18" s="401"/>
      <c r="E18" s="398" t="s">
        <v>3396</v>
      </c>
      <c r="F18" s="404"/>
      <c r="G18" s="398" t="s">
        <v>3396</v>
      </c>
      <c r="H18" s="399"/>
      <c r="I18" s="398" t="s">
        <v>3396</v>
      </c>
      <c r="J18" s="399"/>
      <c r="K18" s="564"/>
      <c r="L18" s="2721"/>
      <c r="M18" s="2715"/>
      <c r="N18" s="2715"/>
      <c r="O18" s="2715"/>
      <c r="P18" s="3694"/>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t="s">
        <v>3396</v>
      </c>
      <c r="D20" s="399"/>
      <c r="E20" s="398" t="s">
        <v>3396</v>
      </c>
      <c r="F20" s="400"/>
      <c r="G20" s="398" t="s">
        <v>3396</v>
      </c>
      <c r="H20" s="399"/>
      <c r="I20" s="398" t="s">
        <v>3396</v>
      </c>
      <c r="J20" s="399"/>
      <c r="K20" s="564"/>
      <c r="L20" s="2721"/>
      <c r="M20" s="2715"/>
      <c r="N20" s="2715"/>
      <c r="O20" s="2715"/>
      <c r="P20" s="3694"/>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t="s">
        <v>3425</v>
      </c>
      <c r="D22" s="399"/>
      <c r="E22" s="1900" t="s">
        <v>3425</v>
      </c>
      <c r="F22" s="400"/>
      <c r="G22" s="1900" t="s">
        <v>3425</v>
      </c>
      <c r="H22" s="399"/>
      <c r="I22" s="1900" t="s">
        <v>3425</v>
      </c>
      <c r="J22" s="399"/>
      <c r="K22" s="1129"/>
      <c r="L22" s="2721"/>
      <c r="M22" s="2715"/>
      <c r="N22" s="2715"/>
      <c r="O22" s="2715"/>
      <c r="P22" s="3694"/>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94"/>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98" t="s">
        <v>3396</v>
      </c>
      <c r="D24" s="399"/>
      <c r="E24" s="398" t="s">
        <v>3396</v>
      </c>
      <c r="F24" s="400"/>
      <c r="G24" s="398" t="s">
        <v>3396</v>
      </c>
      <c r="H24" s="399"/>
      <c r="I24" s="398" t="s">
        <v>3396</v>
      </c>
      <c r="J24" s="399"/>
      <c r="K24" s="564"/>
      <c r="L24" s="2721"/>
      <c r="M24" s="2715"/>
      <c r="N24" s="2715"/>
      <c r="O24" s="2715"/>
      <c r="P24" s="3694"/>
      <c r="Q24" s="1351"/>
      <c r="R24" s="704"/>
      <c r="S24" s="705"/>
      <c r="T24" s="704"/>
      <c r="U24" s="705"/>
      <c r="V24" s="704"/>
      <c r="W24" s="705"/>
      <c r="X24" s="1354"/>
      <c r="Y24" s="3684"/>
      <c r="Z24" s="1355"/>
      <c r="AA24" s="1352">
        <v>1</v>
      </c>
      <c r="AB24" s="1352">
        <v>1</v>
      </c>
      <c r="AC24" s="1352">
        <v>1</v>
      </c>
    </row>
    <row r="25" spans="1:29" ht="15">
      <c r="A25" s="379"/>
      <c r="B25" s="375" t="s">
        <v>1780</v>
      </c>
      <c r="C25" s="565" t="s">
        <v>3473</v>
      </c>
      <c r="D25" s="386">
        <v>100</v>
      </c>
      <c r="E25" s="565" t="s">
        <v>3473</v>
      </c>
      <c r="F25" s="412">
        <f>SUMIF(86:86,E25,87:87)-SUMIF(86:86,C25,87:87)+100</f>
        <v>100</v>
      </c>
      <c r="G25" s="565" t="s">
        <v>3473</v>
      </c>
      <c r="H25" s="386">
        <f>SUMIF(86:86,G25,87:87)-SUMIF(86:86,C25,87:87)+100</f>
        <v>100</v>
      </c>
      <c r="I25" s="565" t="s">
        <v>3473</v>
      </c>
      <c r="J25" s="386">
        <f>SUMIF(86:86,I25,87:87)-SUMIF(86:86,C25,87:87)+100</f>
        <v>100</v>
      </c>
      <c r="K25" s="561"/>
      <c r="L25" s="2721"/>
      <c r="M25" s="2715"/>
      <c r="N25" s="2715"/>
      <c r="O25" s="2715"/>
      <c r="P25" s="3694"/>
      <c r="Q25" s="1351" t="str">
        <f t="shared" ref="Q25:Q46" si="11">B25</f>
        <v>临街状况</v>
      </c>
      <c r="R25" s="704" t="s">
        <v>14</v>
      </c>
      <c r="S25" s="705">
        <f>F25</f>
        <v>100</v>
      </c>
      <c r="T25" s="704" t="s">
        <v>14</v>
      </c>
      <c r="U25" s="705">
        <f>H25</f>
        <v>100</v>
      </c>
      <c r="V25" s="704" t="s">
        <v>14</v>
      </c>
      <c r="W25" s="705">
        <f>J25</f>
        <v>100</v>
      </c>
      <c r="X25" s="1354"/>
      <c r="Y25" s="3684"/>
      <c r="Z25" s="1355" t="str">
        <f>Q25</f>
        <v>临街状况</v>
      </c>
      <c r="AA25" s="1352">
        <f t="shared" si="3"/>
        <v>1</v>
      </c>
      <c r="AB25" s="1352">
        <f t="shared" si="4"/>
        <v>1</v>
      </c>
      <c r="AC25" s="1352">
        <f t="shared" si="5"/>
        <v>1</v>
      </c>
    </row>
    <row r="26" spans="1:29" ht="15">
      <c r="A26" s="379"/>
      <c r="B26" s="3457" t="s">
        <v>1781</v>
      </c>
      <c r="C26" s="3456" t="s">
        <v>3489</v>
      </c>
      <c r="D26" s="386">
        <v>100</v>
      </c>
      <c r="E26" s="3455" t="s">
        <v>3468</v>
      </c>
      <c r="F26" s="412">
        <f>SUMIF(88:88,E26,89:89)-SUMIF(88:88,C26,89:89)+100</f>
        <v>100</v>
      </c>
      <c r="G26" s="3455" t="s">
        <v>3468</v>
      </c>
      <c r="H26" s="386">
        <f>SUMIF(88:88,G26,89:89)-SUMIF(88:88,C26,89:89)+100</f>
        <v>100</v>
      </c>
      <c r="I26" s="3455" t="s">
        <v>3487</v>
      </c>
      <c r="J26" s="386">
        <f>SUMIF(88:88,I26,89:89)-SUMIF(88:88,C26,89:89)+100</f>
        <v>100</v>
      </c>
      <c r="K26" s="562"/>
      <c r="L26" s="2721"/>
      <c r="M26" s="2715"/>
      <c r="N26" s="2715"/>
      <c r="O26" s="2715"/>
      <c r="P26" s="3694"/>
      <c r="Q26" s="1351" t="str">
        <f t="shared" si="11"/>
        <v>平面位置/可视性</v>
      </c>
      <c r="R26" s="704" t="s">
        <v>14</v>
      </c>
      <c r="S26" s="705">
        <f>F26</f>
        <v>100</v>
      </c>
      <c r="T26" s="704" t="s">
        <v>14</v>
      </c>
      <c r="U26" s="705">
        <f>H26</f>
        <v>100</v>
      </c>
      <c r="V26" s="704" t="s">
        <v>14</v>
      </c>
      <c r="W26" s="705">
        <f>J26</f>
        <v>100</v>
      </c>
      <c r="X26" s="1354"/>
      <c r="Y26" s="3684"/>
      <c r="Z26" s="1355" t="str">
        <f>Q26</f>
        <v>平面位置/可视性</v>
      </c>
      <c r="AA26" s="1352">
        <f t="shared" si="3"/>
        <v>1</v>
      </c>
      <c r="AB26" s="1352">
        <f t="shared" si="4"/>
        <v>1</v>
      </c>
      <c r="AC26" s="1352">
        <f t="shared" si="5"/>
        <v>1</v>
      </c>
    </row>
    <row r="27" spans="1:29" s="108" customFormat="1" ht="15">
      <c r="A27" s="382"/>
      <c r="B27" s="402" t="s">
        <v>1782</v>
      </c>
      <c r="C27" s="1955" t="s">
        <v>3475</v>
      </c>
      <c r="D27" s="413">
        <v>100</v>
      </c>
      <c r="E27" s="1955" t="s">
        <v>3397</v>
      </c>
      <c r="F27" s="415">
        <f>SUMIF(90:90,E27,91:91)-SUMIF(90:90,C27,91:91)+100</f>
        <v>95</v>
      </c>
      <c r="G27" s="1955" t="s">
        <v>3397</v>
      </c>
      <c r="H27" s="413">
        <f>SUMIF(90:90,G27,91:91)-SUMIF(90:90,C27,91:91)+100</f>
        <v>95</v>
      </c>
      <c r="I27" s="1955" t="s">
        <v>3475</v>
      </c>
      <c r="J27" s="413">
        <f>SUMIF(90:90,I27,91:91)-SUMIF(90:90,C27,91:91)+100</f>
        <v>100</v>
      </c>
      <c r="K27" s="561">
        <v>5</v>
      </c>
      <c r="L27" s="2716"/>
      <c r="M27" s="2717"/>
      <c r="N27" s="2717"/>
      <c r="O27" s="2717"/>
      <c r="P27" s="3694"/>
      <c r="Q27" s="1342" t="str">
        <f t="shared" si="11"/>
        <v>人流量</v>
      </c>
      <c r="R27" s="700" t="s">
        <v>14</v>
      </c>
      <c r="S27" s="701">
        <f>F27</f>
        <v>95</v>
      </c>
      <c r="T27" s="700" t="s">
        <v>14</v>
      </c>
      <c r="U27" s="701">
        <f>H27</f>
        <v>95</v>
      </c>
      <c r="V27" s="700" t="s">
        <v>14</v>
      </c>
      <c r="W27" s="701">
        <f>J27</f>
        <v>100</v>
      </c>
      <c r="X27" s="702"/>
      <c r="Y27" s="3684"/>
      <c r="Z27" s="52" t="str">
        <f>Q27</f>
        <v>人流量</v>
      </c>
      <c r="AA27" s="1352">
        <f>D27/F27</f>
        <v>1.0526315789473684</v>
      </c>
      <c r="AB27" s="1352">
        <f>D27/H27</f>
        <v>1.0526315789473684</v>
      </c>
      <c r="AC27" s="1352">
        <f>D27/J27</f>
        <v>1</v>
      </c>
    </row>
    <row r="28" spans="1:29" ht="15">
      <c r="A28" s="379"/>
      <c r="B28" s="375" t="s">
        <v>1783</v>
      </c>
      <c r="C28" s="565" t="s">
        <v>3471</v>
      </c>
      <c r="D28" s="386">
        <v>100</v>
      </c>
      <c r="E28" s="565" t="s">
        <v>3467</v>
      </c>
      <c r="F28" s="412">
        <f>SUMIF(92:92,E28,93:93)-SUMIF(92:92,C28,93:93)+100</f>
        <v>118</v>
      </c>
      <c r="G28" s="565" t="s">
        <v>3467</v>
      </c>
      <c r="H28" s="386">
        <f>SUMIF(92:92,G28,93:93)-SUMIF(92:92,C28,93:93)+100</f>
        <v>118</v>
      </c>
      <c r="I28" s="565" t="s">
        <v>3467</v>
      </c>
      <c r="J28" s="386">
        <f>SUMIF(92:92,I28,93:93)-SUMIF(92:92,C28,93:93)+100</f>
        <v>118</v>
      </c>
      <c r="K28" s="562"/>
      <c r="L28" s="2721"/>
      <c r="M28" s="2715"/>
      <c r="N28" s="2715"/>
      <c r="O28" s="2715"/>
      <c r="P28" s="3694"/>
      <c r="Q28" s="1351" t="str">
        <f t="shared" si="11"/>
        <v>楼层</v>
      </c>
      <c r="R28" s="704" t="s">
        <v>14</v>
      </c>
      <c r="S28" s="705">
        <f t="shared" ref="S28:S46" si="12">F28</f>
        <v>118</v>
      </c>
      <c r="T28" s="704" t="s">
        <v>14</v>
      </c>
      <c r="U28" s="705">
        <f t="shared" ref="U28:U46" si="13">H28</f>
        <v>118</v>
      </c>
      <c r="V28" s="704" t="s">
        <v>14</v>
      </c>
      <c r="W28" s="705">
        <f t="shared" ref="W28:W46" si="14">J28</f>
        <v>118</v>
      </c>
      <c r="X28" s="1354"/>
      <c r="Y28" s="3684"/>
      <c r="Z28" s="1355" t="str">
        <f t="shared" ref="Z28:Z46" si="15">Q28</f>
        <v>楼层</v>
      </c>
      <c r="AA28" s="1352">
        <f t="shared" si="3"/>
        <v>0.84745762711864403</v>
      </c>
      <c r="AB28" s="1352">
        <f t="shared" si="4"/>
        <v>0.84745762711864403</v>
      </c>
      <c r="AC28" s="1352">
        <f t="shared" si="5"/>
        <v>0.84745762711864403</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4"/>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1909" t="s">
        <v>3455</v>
      </c>
      <c r="D32" s="418">
        <v>100</v>
      </c>
      <c r="E32" s="1909" t="s">
        <v>3455</v>
      </c>
      <c r="F32" s="412">
        <f>SUMIF(100:100,E32,101:101)-SUMIF(100:100,C32,101:101)+100</f>
        <v>100</v>
      </c>
      <c r="G32" s="1909" t="s">
        <v>3455</v>
      </c>
      <c r="H32" s="386">
        <f>SUMIF(100:100,G32,101:101)-SUMIF(100:100,C32,101:101)+100</f>
        <v>100</v>
      </c>
      <c r="I32" s="1909" t="s">
        <v>3455</v>
      </c>
      <c r="J32" s="418">
        <f>SUMIF(100:100,I32,101:101)-SUMIF(100:100,C32,101:101)+100</f>
        <v>100</v>
      </c>
      <c r="K32" s="561"/>
      <c r="L32" s="2721"/>
      <c r="M32" s="2715"/>
      <c r="N32" s="2715"/>
      <c r="O32" s="2715"/>
      <c r="P32" s="3695" t="s">
        <v>1696</v>
      </c>
      <c r="Q32" s="1351" t="str">
        <f t="shared" si="11"/>
        <v>商业类型</v>
      </c>
      <c r="R32" s="704" t="s">
        <v>14</v>
      </c>
      <c r="S32" s="705">
        <f t="shared" si="12"/>
        <v>100</v>
      </c>
      <c r="T32" s="704" t="s">
        <v>14</v>
      </c>
      <c r="U32" s="705">
        <f t="shared" si="13"/>
        <v>100</v>
      </c>
      <c r="V32" s="704" t="s">
        <v>14</v>
      </c>
      <c r="W32" s="705">
        <f t="shared" si="14"/>
        <v>100</v>
      </c>
      <c r="X32" s="1354"/>
      <c r="Y32" s="3686" t="s">
        <v>1696</v>
      </c>
      <c r="Z32" s="1355" t="str">
        <f t="shared" si="15"/>
        <v>商业类型</v>
      </c>
      <c r="AA32" s="1352">
        <f t="shared" si="3"/>
        <v>1</v>
      </c>
      <c r="AB32" s="1352">
        <f t="shared" si="4"/>
        <v>1</v>
      </c>
      <c r="AC32" s="1352">
        <f t="shared" si="5"/>
        <v>1</v>
      </c>
    </row>
    <row r="33" spans="1:29" s="422" customFormat="1" ht="15">
      <c r="A33" s="419"/>
      <c r="B33" s="3458" t="s">
        <v>1697</v>
      </c>
      <c r="C33" s="420">
        <f>'数据-汇总表'!F19</f>
        <v>0</v>
      </c>
      <c r="D33" s="127">
        <v>100</v>
      </c>
      <c r="E33" s="420">
        <v>173.45</v>
      </c>
      <c r="F33" s="376">
        <f>LOOKUP(E33,103:103,104:104)-LOOKUP(C33,103:103,104:104)+100</f>
        <v>90</v>
      </c>
      <c r="G33" s="420">
        <v>89.55</v>
      </c>
      <c r="H33" s="127">
        <f>LOOKUP(G33,103:103,104:104)-LOOKUP(C33,103:103,104:104)+100</f>
        <v>95</v>
      </c>
      <c r="I33" s="420">
        <v>63.22</v>
      </c>
      <c r="J33" s="127">
        <f>LOOKUP(I33,103:103,104:104)-LOOKUP(C33,103:103,104:104)+100</f>
        <v>95</v>
      </c>
      <c r="K33" s="562"/>
      <c r="L33" s="2720"/>
      <c r="M33" s="2722"/>
      <c r="N33" s="2722"/>
      <c r="O33" s="2722"/>
      <c r="P33" s="3696"/>
      <c r="Q33" s="706" t="str">
        <f t="shared" si="11"/>
        <v>项目建筑规模</v>
      </c>
      <c r="R33" s="707" t="s">
        <v>14</v>
      </c>
      <c r="S33" s="708">
        <f t="shared" si="12"/>
        <v>90</v>
      </c>
      <c r="T33" s="707" t="s">
        <v>14</v>
      </c>
      <c r="U33" s="708">
        <f t="shared" si="13"/>
        <v>95</v>
      </c>
      <c r="V33" s="707" t="s">
        <v>14</v>
      </c>
      <c r="W33" s="708">
        <f t="shared" si="14"/>
        <v>95</v>
      </c>
      <c r="X33" s="709"/>
      <c r="Y33" s="3686"/>
      <c r="Z33" s="710" t="str">
        <f t="shared" si="15"/>
        <v>项目建筑规模</v>
      </c>
      <c r="AA33" s="1352">
        <f t="shared" si="3"/>
        <v>1.1111111111111112</v>
      </c>
      <c r="AB33" s="1352">
        <f t="shared" si="4"/>
        <v>1.0526315789473684</v>
      </c>
      <c r="AC33" s="1352">
        <f t="shared" si="5"/>
        <v>1.0526315789473684</v>
      </c>
    </row>
    <row r="34" spans="1:29" ht="15">
      <c r="A34" s="423"/>
      <c r="B34" s="375" t="s">
        <v>1698</v>
      </c>
      <c r="C34" s="1911" t="s">
        <v>3404</v>
      </c>
      <c r="D34" s="386">
        <v>100</v>
      </c>
      <c r="E34" s="1911" t="s">
        <v>3404</v>
      </c>
      <c r="F34" s="412">
        <f>SUMIF(105:105,E34,106:106)-SUMIF(105:105,C34,106:106)+100</f>
        <v>100</v>
      </c>
      <c r="G34" s="1911" t="s">
        <v>3404</v>
      </c>
      <c r="H34" s="386">
        <f>SUMIF(105:105,G34,106:106)-SUMIF(105:105,C34,106:106)+100</f>
        <v>100</v>
      </c>
      <c r="I34" s="1911" t="s">
        <v>3404</v>
      </c>
      <c r="J34" s="386">
        <f>SUMIF(105:105,I34,106:106)-SUMIF(105:105,C34,106:106)+100</f>
        <v>100</v>
      </c>
      <c r="K34" s="561">
        <v>1</v>
      </c>
      <c r="L34" s="2721"/>
      <c r="M34" s="2715"/>
      <c r="N34" s="2715"/>
      <c r="O34" s="2715"/>
      <c r="P34" s="3696"/>
      <c r="Q34" s="1351" t="str">
        <f t="shared" si="11"/>
        <v>建筑结构</v>
      </c>
      <c r="R34" s="704" t="s">
        <v>14</v>
      </c>
      <c r="S34" s="705">
        <f t="shared" si="12"/>
        <v>100</v>
      </c>
      <c r="T34" s="704" t="s">
        <v>14</v>
      </c>
      <c r="U34" s="705">
        <f t="shared" si="13"/>
        <v>100</v>
      </c>
      <c r="V34" s="704" t="s">
        <v>14</v>
      </c>
      <c r="W34" s="705">
        <f t="shared" si="14"/>
        <v>100</v>
      </c>
      <c r="X34" s="1354"/>
      <c r="Y34" s="368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6"/>
      <c r="Q35" s="1351" t="str">
        <f t="shared" si="11"/>
        <v>公共部分装修</v>
      </c>
      <c r="R35" s="704" t="s">
        <v>14</v>
      </c>
      <c r="S35" s="705">
        <f t="shared" si="12"/>
        <v>100</v>
      </c>
      <c r="T35" s="704" t="s">
        <v>14</v>
      </c>
      <c r="U35" s="705">
        <f t="shared" si="13"/>
        <v>100</v>
      </c>
      <c r="V35" s="704" t="s">
        <v>14</v>
      </c>
      <c r="W35" s="705">
        <f t="shared" si="14"/>
        <v>100</v>
      </c>
      <c r="X35" s="1354"/>
      <c r="Y35" s="3686"/>
      <c r="Z35" s="1355" t="str">
        <f t="shared" si="15"/>
        <v>公共部分装修</v>
      </c>
      <c r="AA35" s="1352">
        <f t="shared" si="3"/>
        <v>1</v>
      </c>
      <c r="AB35" s="1352">
        <f t="shared" si="4"/>
        <v>1</v>
      </c>
      <c r="AC35" s="1352">
        <f t="shared" si="5"/>
        <v>1</v>
      </c>
    </row>
    <row r="36" spans="1:29" ht="15">
      <c r="A36" s="423"/>
      <c r="B36" s="375" t="s">
        <v>1786</v>
      </c>
      <c r="C36" s="425">
        <f>'数据-取费表'!Y6</f>
        <v>0.76</v>
      </c>
      <c r="D36" s="386">
        <v>100</v>
      </c>
      <c r="E36" s="425">
        <v>0.75</v>
      </c>
      <c r="F36" s="412">
        <f>LOOKUP(E36,110:110,111:111)-LOOKUP(C36,110:110,111:111)+100</f>
        <v>100</v>
      </c>
      <c r="G36" s="425">
        <v>0.75</v>
      </c>
      <c r="H36" s="412">
        <f>LOOKUP(G36,110:110,111:111)-LOOKUP(C36,110:110,111:111)+100</f>
        <v>100</v>
      </c>
      <c r="I36" s="425">
        <v>0.75</v>
      </c>
      <c r="J36" s="386">
        <f>LOOKUP(I36,110:110,111:111)-LOOKUP(C36,110:110,111:111)+100</f>
        <v>100</v>
      </c>
      <c r="K36" s="561">
        <v>2</v>
      </c>
      <c r="L36" s="2721"/>
      <c r="M36" s="2715"/>
      <c r="N36" s="2715"/>
      <c r="O36" s="2715"/>
      <c r="P36" s="3696"/>
      <c r="Q36" s="1351" t="str">
        <f t="shared" si="11"/>
        <v>成新度</v>
      </c>
      <c r="R36" s="704" t="s">
        <v>14</v>
      </c>
      <c r="S36" s="705">
        <f t="shared" si="12"/>
        <v>100</v>
      </c>
      <c r="T36" s="704" t="s">
        <v>14</v>
      </c>
      <c r="U36" s="705">
        <f t="shared" si="13"/>
        <v>100</v>
      </c>
      <c r="V36" s="704" t="s">
        <v>14</v>
      </c>
      <c r="W36" s="705">
        <f t="shared" si="14"/>
        <v>100</v>
      </c>
      <c r="X36" s="1354"/>
      <c r="Y36" s="3686"/>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6"/>
      <c r="Q37" s="1342" t="str">
        <f t="shared" si="11"/>
        <v>市政基础设施</v>
      </c>
      <c r="R37" s="700" t="s">
        <v>14</v>
      </c>
      <c r="S37" s="701">
        <f t="shared" si="12"/>
        <v>100</v>
      </c>
      <c r="T37" s="700" t="s">
        <v>14</v>
      </c>
      <c r="U37" s="701">
        <f t="shared" si="13"/>
        <v>100</v>
      </c>
      <c r="V37" s="700" t="s">
        <v>14</v>
      </c>
      <c r="W37" s="701">
        <f t="shared" si="14"/>
        <v>100</v>
      </c>
      <c r="X37" s="702"/>
      <c r="Y37" s="3686"/>
      <c r="Z37" s="52" t="str">
        <f t="shared" si="15"/>
        <v>市政基础设施</v>
      </c>
      <c r="AA37" s="703">
        <f t="shared" si="3"/>
        <v>1</v>
      </c>
      <c r="AB37" s="703">
        <f t="shared" si="4"/>
        <v>1</v>
      </c>
      <c r="AC37" s="703">
        <f t="shared" si="5"/>
        <v>1</v>
      </c>
    </row>
    <row r="38" spans="1:29" ht="15">
      <c r="A38" s="423"/>
      <c r="B38" s="375" t="s">
        <v>1788</v>
      </c>
      <c r="C38" s="1905" t="s">
        <v>3479</v>
      </c>
      <c r="D38" s="386">
        <v>100</v>
      </c>
      <c r="E38" s="1905" t="s">
        <v>3479</v>
      </c>
      <c r="F38" s="412">
        <f>SUMIF(114:114,E38,115:115)-SUMIF(114:114,C38,115:115)+100</f>
        <v>100</v>
      </c>
      <c r="G38" s="1905" t="s">
        <v>3479</v>
      </c>
      <c r="H38" s="386">
        <f>SUMIF(114:114,G38,115:115)-SUMIF(114:114,C38,115:115)+100</f>
        <v>100</v>
      </c>
      <c r="I38" s="1905" t="s">
        <v>3458</v>
      </c>
      <c r="J38" s="386">
        <f>SUMIF(114:114,I38,115:115)-SUMIF(114:114,C38,115:115)+100</f>
        <v>105</v>
      </c>
      <c r="K38" s="561">
        <v>5</v>
      </c>
      <c r="L38" s="2721"/>
      <c r="M38" s="2715"/>
      <c r="N38" s="2715"/>
      <c r="O38" s="2715"/>
      <c r="P38" s="3696" t="s">
        <v>1696</v>
      </c>
      <c r="Q38" s="1351" t="str">
        <f t="shared" si="11"/>
        <v>业态</v>
      </c>
      <c r="R38" s="704" t="s">
        <v>14</v>
      </c>
      <c r="S38" s="705">
        <f t="shared" si="12"/>
        <v>100</v>
      </c>
      <c r="T38" s="704" t="s">
        <v>14</v>
      </c>
      <c r="U38" s="705">
        <f t="shared" si="13"/>
        <v>100</v>
      </c>
      <c r="V38" s="704" t="s">
        <v>14</v>
      </c>
      <c r="W38" s="705">
        <f t="shared" si="14"/>
        <v>105</v>
      </c>
      <c r="X38" s="1354"/>
      <c r="Y38" s="3686" t="s">
        <v>1696</v>
      </c>
      <c r="Z38" s="1355" t="str">
        <f t="shared" si="15"/>
        <v>业态</v>
      </c>
      <c r="AA38" s="1352">
        <f t="shared" si="3"/>
        <v>1</v>
      </c>
      <c r="AB38" s="1352">
        <f t="shared" si="4"/>
        <v>1</v>
      </c>
      <c r="AC38" s="1352">
        <f t="shared" si="5"/>
        <v>0.95238095238095233</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6"/>
      <c r="Q39" s="1351" t="str">
        <f t="shared" si="11"/>
        <v>层高</v>
      </c>
      <c r="R39" s="704" t="s">
        <v>14</v>
      </c>
      <c r="S39" s="705">
        <f t="shared" si="12"/>
        <v>100</v>
      </c>
      <c r="T39" s="704" t="s">
        <v>14</v>
      </c>
      <c r="U39" s="705">
        <f t="shared" si="13"/>
        <v>100</v>
      </c>
      <c r="V39" s="704" t="s">
        <v>14</v>
      </c>
      <c r="W39" s="705">
        <f t="shared" si="14"/>
        <v>100</v>
      </c>
      <c r="X39" s="1354"/>
      <c r="Y39" s="3686"/>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96"/>
      <c r="Q40" s="1351" t="str">
        <f t="shared" si="11"/>
        <v>单套建筑面积</v>
      </c>
      <c r="R40" s="704" t="s">
        <v>14</v>
      </c>
      <c r="S40" s="705">
        <f t="shared" si="12"/>
        <v>100</v>
      </c>
      <c r="T40" s="704" t="s">
        <v>14</v>
      </c>
      <c r="U40" s="705">
        <f t="shared" si="13"/>
        <v>100</v>
      </c>
      <c r="V40" s="704" t="s">
        <v>14</v>
      </c>
      <c r="W40" s="705">
        <f t="shared" si="14"/>
        <v>100</v>
      </c>
      <c r="X40" s="1354"/>
      <c r="Y40" s="368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6"/>
      <c r="Q41" s="706" t="str">
        <f t="shared" si="11"/>
        <v>进深比</v>
      </c>
      <c r="R41" s="707" t="s">
        <v>14</v>
      </c>
      <c r="S41" s="708">
        <f t="shared" si="12"/>
        <v>100</v>
      </c>
      <c r="T41" s="707" t="s">
        <v>14</v>
      </c>
      <c r="U41" s="708">
        <f t="shared" si="13"/>
        <v>100</v>
      </c>
      <c r="V41" s="707" t="s">
        <v>14</v>
      </c>
      <c r="W41" s="708">
        <f t="shared" si="14"/>
        <v>100</v>
      </c>
      <c r="X41" s="709"/>
      <c r="Y41" s="3686"/>
      <c r="Z41" s="710" t="str">
        <f t="shared" si="15"/>
        <v>进深比</v>
      </c>
      <c r="AA41" s="1352">
        <f t="shared" si="3"/>
        <v>1</v>
      </c>
      <c r="AB41" s="1352">
        <f t="shared" si="4"/>
        <v>1</v>
      </c>
      <c r="AC41" s="1352">
        <f t="shared" si="5"/>
        <v>1</v>
      </c>
    </row>
    <row r="42" spans="1:29" ht="15">
      <c r="A42" s="423"/>
      <c r="B42" s="375" t="s">
        <v>1792</v>
      </c>
      <c r="C42" s="1905" t="s">
        <v>3461</v>
      </c>
      <c r="D42" s="386">
        <v>100</v>
      </c>
      <c r="E42" s="1905" t="s">
        <v>3435</v>
      </c>
      <c r="F42" s="412">
        <f>SUMIF(122:122,E42,123:123)-SUMIF(122:122,C42,123:123)+100</f>
        <v>98</v>
      </c>
      <c r="G42" s="1905" t="s">
        <v>3435</v>
      </c>
      <c r="H42" s="386">
        <f>SUMIF(122:122,G42,123:123)-SUMIF(122:122,C42,123:123)+100</f>
        <v>98</v>
      </c>
      <c r="I42" s="1905" t="s">
        <v>3461</v>
      </c>
      <c r="J42" s="386">
        <f>SUMIF(122:122,I42,123:123)-SUMIF(122:122,C42,123:123)+100</f>
        <v>100</v>
      </c>
      <c r="K42" s="561">
        <v>2</v>
      </c>
      <c r="L42" s="2721"/>
      <c r="M42" s="2715"/>
      <c r="N42" s="2715"/>
      <c r="O42" s="2715"/>
      <c r="P42" s="3696"/>
      <c r="Q42" s="1351" t="str">
        <f t="shared" si="11"/>
        <v>内部装修</v>
      </c>
      <c r="R42" s="704" t="s">
        <v>14</v>
      </c>
      <c r="S42" s="705">
        <f t="shared" si="12"/>
        <v>98</v>
      </c>
      <c r="T42" s="704" t="s">
        <v>14</v>
      </c>
      <c r="U42" s="705">
        <f t="shared" si="13"/>
        <v>98</v>
      </c>
      <c r="V42" s="704" t="s">
        <v>14</v>
      </c>
      <c r="W42" s="705">
        <f t="shared" si="14"/>
        <v>100</v>
      </c>
      <c r="X42" s="1354"/>
      <c r="Y42" s="3686"/>
      <c r="Z42" s="1355" t="str">
        <f t="shared" si="15"/>
        <v>内部装修</v>
      </c>
      <c r="AA42" s="1352">
        <f t="shared" si="3"/>
        <v>1.0204081632653061</v>
      </c>
      <c r="AB42" s="1352">
        <f t="shared" si="4"/>
        <v>1.0204081632653061</v>
      </c>
      <c r="AC42" s="1352">
        <f t="shared" si="5"/>
        <v>1</v>
      </c>
    </row>
    <row r="43" spans="1:29" ht="15">
      <c r="A43" s="423"/>
      <c r="B43" s="375" t="s">
        <v>1707</v>
      </c>
      <c r="C43" s="1905" t="s">
        <v>3396</v>
      </c>
      <c r="D43" s="386">
        <v>100</v>
      </c>
      <c r="E43" s="1905" t="s">
        <v>3396</v>
      </c>
      <c r="F43" s="412">
        <f>SUMIF(124:124,E43,125:125)-SUMIF(124:124,C43,125:125)+100</f>
        <v>100</v>
      </c>
      <c r="G43" s="1905" t="s">
        <v>3396</v>
      </c>
      <c r="H43" s="386">
        <f>SUMIF(124:124,G43,125:125)-SUMIF(124:124,C43,125:125)+100</f>
        <v>100</v>
      </c>
      <c r="I43" s="1905" t="s">
        <v>3396</v>
      </c>
      <c r="J43" s="386">
        <f>SUMIF(124:124,I43,125:125)-SUMIF(124:124,C43,125:125)+100</f>
        <v>100</v>
      </c>
      <c r="K43" s="561">
        <v>1</v>
      </c>
      <c r="L43" s="2721"/>
      <c r="M43" s="2715"/>
      <c r="N43" s="2715"/>
      <c r="O43" s="2715"/>
      <c r="P43" s="3696"/>
      <c r="Q43" s="1351" t="str">
        <f t="shared" si="11"/>
        <v>内部装修维护情况</v>
      </c>
      <c r="R43" s="704" t="s">
        <v>14</v>
      </c>
      <c r="S43" s="705">
        <f t="shared" si="12"/>
        <v>100</v>
      </c>
      <c r="T43" s="704" t="s">
        <v>14</v>
      </c>
      <c r="U43" s="705">
        <f t="shared" si="13"/>
        <v>100</v>
      </c>
      <c r="V43" s="704" t="s">
        <v>14</v>
      </c>
      <c r="W43" s="705">
        <f t="shared" si="14"/>
        <v>100</v>
      </c>
      <c r="X43" s="1354"/>
      <c r="Y43" s="368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6"/>
      <c r="Q44" s="1342">
        <f t="shared" si="11"/>
        <v>111</v>
      </c>
      <c r="R44" s="700" t="s">
        <v>14</v>
      </c>
      <c r="S44" s="701">
        <f t="shared" si="12"/>
        <v>100</v>
      </c>
      <c r="T44" s="700" t="s">
        <v>14</v>
      </c>
      <c r="U44" s="701">
        <f t="shared" si="13"/>
        <v>100</v>
      </c>
      <c r="V44" s="700" t="s">
        <v>14</v>
      </c>
      <c r="W44" s="701">
        <f t="shared" si="14"/>
        <v>100</v>
      </c>
      <c r="X44" s="702"/>
      <c r="Y44" s="368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6"/>
      <c r="Q45" s="1351">
        <f t="shared" si="11"/>
        <v>111</v>
      </c>
      <c r="R45" s="704" t="s">
        <v>14</v>
      </c>
      <c r="S45" s="705">
        <f t="shared" si="12"/>
        <v>100</v>
      </c>
      <c r="T45" s="704" t="s">
        <v>14</v>
      </c>
      <c r="U45" s="705">
        <f t="shared" si="13"/>
        <v>100</v>
      </c>
      <c r="V45" s="704" t="s">
        <v>14</v>
      </c>
      <c r="W45" s="705">
        <f t="shared" si="14"/>
        <v>100</v>
      </c>
      <c r="X45" s="1354"/>
      <c r="Y45" s="3686"/>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87"/>
      <c r="Z46" s="1355">
        <f t="shared" si="15"/>
        <v>111</v>
      </c>
      <c r="AA46" s="1352">
        <f t="shared" si="3"/>
        <v>1</v>
      </c>
      <c r="AB46" s="1352">
        <f t="shared" si="4"/>
        <v>1</v>
      </c>
      <c r="AC46" s="1352">
        <f t="shared" si="5"/>
        <v>1</v>
      </c>
    </row>
    <row r="47" spans="1:29" ht="15">
      <c r="A47" s="430" t="s">
        <v>1708</v>
      </c>
      <c r="B47" s="431"/>
      <c r="C47" s="1153" t="s">
        <v>0</v>
      </c>
      <c r="D47" s="1154"/>
      <c r="E47" s="1155">
        <v>80715</v>
      </c>
      <c r="F47" s="1156"/>
      <c r="G47" s="1157">
        <v>81518</v>
      </c>
      <c r="H47" s="1158"/>
      <c r="I47" s="1155">
        <v>107560</v>
      </c>
      <c r="J47" s="1158"/>
      <c r="K47" s="713"/>
      <c r="L47" s="2723"/>
      <c r="M47" s="2724"/>
      <c r="N47" s="2715"/>
      <c r="O47" s="2724"/>
      <c r="P47" s="3668" t="str">
        <f>A47</f>
        <v>成交单价（元/平方米）</v>
      </c>
      <c r="Q47" s="3668"/>
      <c r="R47" s="3681">
        <f>E47</f>
        <v>80715</v>
      </c>
      <c r="S47" s="3681"/>
      <c r="T47" s="3681">
        <f>G47</f>
        <v>81518</v>
      </c>
      <c r="U47" s="3681"/>
      <c r="V47" s="3681">
        <f>I47</f>
        <v>107560</v>
      </c>
      <c r="W47" s="3681"/>
      <c r="X47" s="689"/>
      <c r="Y47" s="711"/>
      <c r="Z47" s="689"/>
      <c r="AA47" s="689"/>
      <c r="AB47" s="689"/>
      <c r="AC47" s="689"/>
    </row>
    <row r="48" spans="1:29" ht="15.75" thickBot="1">
      <c r="A48" s="437" t="s">
        <v>1793</v>
      </c>
      <c r="B48" s="438"/>
      <c r="C48" s="1159">
        <f>R49</f>
        <v>80228</v>
      </c>
      <c r="D48" s="2316" t="s">
        <v>2138</v>
      </c>
      <c r="E48" s="1160">
        <f>R48</f>
        <v>77748</v>
      </c>
      <c r="F48" s="2317"/>
      <c r="G48" s="1159">
        <f>T48</f>
        <v>75907</v>
      </c>
      <c r="H48" s="2317"/>
      <c r="I48" s="1160">
        <f>V48</f>
        <v>87030</v>
      </c>
      <c r="J48" s="2317"/>
      <c r="K48" s="2319">
        <f>F48+H48+J48</f>
        <v>0</v>
      </c>
      <c r="L48" s="2723"/>
      <c r="M48" s="2724"/>
      <c r="N48" s="2715"/>
      <c r="O48" s="2724"/>
      <c r="P48" s="3668" t="str">
        <f>A48</f>
        <v>比较价值（元/平方米）</v>
      </c>
      <c r="Q48" s="3668"/>
      <c r="R48" s="3688">
        <f>IF(F1="售价",ROUND(PRODUCT(R47,AA7:AA46),0),ROUND(PRODUCT(R47,AA7:AA46),1))</f>
        <v>77748</v>
      </c>
      <c r="S48" s="3688"/>
      <c r="T48" s="3688">
        <f>IF(F1="售价",ROUND(PRODUCT(T47,AB7:AB46),0),ROUND(PRODUCT(T47,AB7:AB46),1))</f>
        <v>75907</v>
      </c>
      <c r="U48" s="3688"/>
      <c r="V48" s="3688">
        <f>IF(F1="售价",ROUND(PRODUCT(V47,AC7:AC46),0),ROUND(PRODUCT(V47,AC7:AC46),1))</f>
        <v>87030</v>
      </c>
      <c r="W48" s="3688"/>
      <c r="X48" s="689"/>
      <c r="Y48" s="689"/>
      <c r="Z48" s="689"/>
      <c r="AA48" s="689"/>
      <c r="AB48" s="689"/>
      <c r="AC48" s="689"/>
    </row>
    <row r="49" spans="1:29" ht="15.75" thickBot="1">
      <c r="A49" s="441" t="s">
        <v>1794</v>
      </c>
      <c r="B49" s="442"/>
      <c r="C49" s="1162">
        <f>R49</f>
        <v>80228</v>
      </c>
      <c r="D49" s="1162"/>
      <c r="E49" s="1162"/>
      <c r="F49" s="1162"/>
      <c r="G49" s="1162"/>
      <c r="H49" s="1162"/>
      <c r="I49" s="1162"/>
      <c r="J49" s="1162"/>
      <c r="K49" s="714"/>
      <c r="L49" s="2723"/>
      <c r="M49" s="2724"/>
      <c r="N49" s="2715"/>
      <c r="O49" s="2724"/>
      <c r="P49" s="3689" t="str">
        <f>A49</f>
        <v>估价对象XX用房的比较价值（楼面单价，元/平方米）</v>
      </c>
      <c r="Q49" s="3690"/>
      <c r="R49" s="3691">
        <f>IF(F1="售价",ROUND(IF(D48="简单平均",AVERAGE(R48:V48),R48*F48+T48*H48+V48*J48),0),ROUND(IF(D48="简单平均",AVERAGE(R48:V48),R48*F48+T48*H48+V48*J48),1))</f>
        <v>80228</v>
      </c>
      <c r="S49" s="3691"/>
      <c r="T49" s="3691"/>
      <c r="U49" s="3691"/>
      <c r="V49" s="3691"/>
      <c r="W49" s="3691"/>
      <c r="X49" s="689"/>
      <c r="Y49" s="689"/>
      <c r="Z49" s="689"/>
      <c r="AA49" s="689"/>
      <c r="AB49" s="689"/>
      <c r="AC49" s="689"/>
    </row>
    <row r="50" spans="1:29">
      <c r="A50" s="2724"/>
      <c r="B50" s="2724"/>
      <c r="C50" s="2724"/>
      <c r="D50" s="2724"/>
      <c r="E50" s="2724">
        <v>2001</v>
      </c>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3.8161753356999562E-2</v>
      </c>
      <c r="F52" s="449" t="str">
        <f>IF(OR(E52&gt;=0.3,E52&lt;=-0.3),"超过30%","")</f>
        <v/>
      </c>
      <c r="G52" s="448">
        <f>IF(G47&lt;G48,G48/G47-1,G47/G48-1)</f>
        <v>7.3919401372732452E-2</v>
      </c>
      <c r="H52" s="449" t="str">
        <f>IF(OR(G52&gt;=0.3,G52&lt;=-0.3),"超过30%","")</f>
        <v/>
      </c>
      <c r="I52" s="448">
        <f>IF(I47&lt;I48,I48/I47-1,I47/I48-1)</f>
        <v>0.23589566816040453</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2.4253362667474576E-2</v>
      </c>
      <c r="F53" s="449" t="str">
        <f>IF(OR(E53&gt;=0.2,E53&lt;=-0.2),"超过20%","")</f>
        <v/>
      </c>
      <c r="G53" s="448">
        <f>IF(G48&lt;I48,I48/G48-1,G48/I48-1)</f>
        <v>0.14653457520386781</v>
      </c>
      <c r="H53" s="449" t="str">
        <f>IF(OR(G53&gt;=0.2,G53&lt;=-0.2),"超过20%","")</f>
        <v/>
      </c>
      <c r="I53" s="448">
        <f>IF(I48&lt;E48,E48/I48-1,I48/E48-1)</f>
        <v>0.11938570767093681</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9.9485845258007188E-3</v>
      </c>
      <c r="F54" s="449" t="str">
        <f>IF(OR(E54&gt;=0.3,E54&lt;=-0.3),"超过30%","")</f>
        <v/>
      </c>
      <c r="G54" s="448">
        <f>IF(G47&lt;I47,I47/G47-1,G47/I47-1)</f>
        <v>0.31946318604479984</v>
      </c>
      <c r="H54" s="449" t="str">
        <f>IF(OR(G54&gt;=0.3,G54&lt;=-0.3),"超过30%","")</f>
        <v>超过30%</v>
      </c>
      <c r="I54" s="448">
        <f>IF(I47&lt;E47,E47/I47-1,I47/E47-1)</f>
        <v>0.33258997707984883</v>
      </c>
      <c r="J54" s="449" t="str">
        <f>IF(OR(I54&gt;=0.3,I54&lt;=-0.3),"超过30%","")</f>
        <v>超过30%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2" t="s">
        <v>3466</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0" t="s">
        <v>3474</v>
      </c>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3399</v>
      </c>
      <c r="D88" s="503" t="s">
        <v>3396</v>
      </c>
      <c r="E88" s="503" t="s">
        <v>3397</v>
      </c>
      <c r="F88" s="1926" t="s">
        <v>3398</v>
      </c>
      <c r="G88" s="503" t="s">
        <v>3465</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C89-5</f>
        <v>95</v>
      </c>
      <c r="E89" s="485">
        <f t="shared" ref="E89:G89" si="21">D89-5</f>
        <v>90</v>
      </c>
      <c r="F89" s="485">
        <f t="shared" si="21"/>
        <v>85</v>
      </c>
      <c r="G89" s="485">
        <f t="shared" si="21"/>
        <v>80</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0" t="s">
        <v>3476</v>
      </c>
      <c r="D90" s="3450" t="s">
        <v>3477</v>
      </c>
      <c r="E90" s="3450" t="s">
        <v>3478</v>
      </c>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95</v>
      </c>
      <c r="E91" s="493">
        <f t="shared" ref="E91:M91" si="22">D91-$K27</f>
        <v>90</v>
      </c>
      <c r="F91" s="493">
        <f t="shared" si="22"/>
        <v>85</v>
      </c>
      <c r="G91" s="493">
        <f t="shared" si="22"/>
        <v>80</v>
      </c>
      <c r="H91" s="493">
        <f t="shared" si="22"/>
        <v>75</v>
      </c>
      <c r="I91" s="493">
        <f t="shared" si="22"/>
        <v>70</v>
      </c>
      <c r="J91" s="493">
        <f t="shared" si="22"/>
        <v>65</v>
      </c>
      <c r="K91" s="493">
        <f t="shared" si="22"/>
        <v>60</v>
      </c>
      <c r="L91" s="493">
        <f t="shared" si="22"/>
        <v>55</v>
      </c>
      <c r="M91" s="493">
        <f t="shared" si="22"/>
        <v>50</v>
      </c>
      <c r="N91" s="2754" t="s">
        <v>3484</v>
      </c>
      <c r="O91" s="2754">
        <v>100</v>
      </c>
      <c r="P91" s="2744">
        <f>P93/O93*O91</f>
        <v>117.64705882352942</v>
      </c>
      <c r="Q91" s="2745"/>
      <c r="R91" s="2746"/>
      <c r="S91" s="2746"/>
      <c r="T91" s="2746"/>
      <c r="U91" s="2746"/>
      <c r="V91" s="2746"/>
      <c r="W91" s="2746"/>
      <c r="X91" s="2746"/>
      <c r="Y91" s="2746"/>
      <c r="Z91" s="2746"/>
      <c r="AA91" s="2746"/>
      <c r="AB91" s="2746"/>
      <c r="AC91" s="2746"/>
    </row>
    <row r="92" spans="1:29" ht="15.75" thickTop="1">
      <c r="A92" s="483"/>
      <c r="B92" s="487" t="str">
        <f>B28</f>
        <v>楼层</v>
      </c>
      <c r="C92" s="503" t="s">
        <v>3480</v>
      </c>
      <c r="D92" s="503" t="s">
        <v>3482</v>
      </c>
      <c r="E92" s="503" t="s">
        <v>3481</v>
      </c>
      <c r="F92" s="503"/>
      <c r="G92" s="503"/>
      <c r="H92" s="503"/>
      <c r="I92" s="503"/>
      <c r="J92" s="503"/>
      <c r="K92" s="503"/>
      <c r="L92" s="529"/>
      <c r="M92" s="530"/>
      <c r="N92" s="2752" t="s">
        <v>3485</v>
      </c>
      <c r="O92" s="2752">
        <v>70</v>
      </c>
      <c r="P92" s="2744">
        <f>P93/O93*O92</f>
        <v>82.352941176470594</v>
      </c>
      <c r="Q92" s="2738"/>
      <c r="R92" s="2724"/>
      <c r="S92" s="2724"/>
      <c r="T92" s="2724"/>
      <c r="U92" s="2724"/>
      <c r="V92" s="2724"/>
      <c r="W92" s="2724"/>
      <c r="X92" s="2724"/>
      <c r="Y92" s="2724"/>
      <c r="Z92" s="2724"/>
      <c r="AA92" s="2724"/>
      <c r="AB92" s="2724"/>
      <c r="AC92" s="2724"/>
    </row>
    <row r="93" spans="1:29" ht="15.75" thickBot="1">
      <c r="A93" s="483"/>
      <c r="B93" s="492"/>
      <c r="C93" s="485">
        <v>100</v>
      </c>
      <c r="D93" s="485">
        <f>ROUND(P91,0)</f>
        <v>118</v>
      </c>
      <c r="E93" s="485">
        <v>130</v>
      </c>
      <c r="F93" s="485"/>
      <c r="G93" s="485"/>
      <c r="H93" s="485"/>
      <c r="I93" s="485"/>
      <c r="J93" s="485"/>
      <c r="K93" s="485"/>
      <c r="L93" s="485"/>
      <c r="M93" s="486"/>
      <c r="N93" s="2753" t="s">
        <v>3486</v>
      </c>
      <c r="O93" s="2753">
        <f>ROUND((O91+O92)/2,0)</f>
        <v>85</v>
      </c>
      <c r="P93" s="2743">
        <v>100</v>
      </c>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49" t="s">
        <v>3456</v>
      </c>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29.25" thickTop="1">
      <c r="A102" s="483"/>
      <c r="B102" s="487" t="s">
        <v>1737</v>
      </c>
      <c r="C102" s="527" t="str">
        <f>C103&amp;"(含)"&amp;"-"&amp;D103</f>
        <v>0(含)-50</v>
      </c>
      <c r="D102" s="527" t="str">
        <f t="shared" ref="D102:L102" si="24">D103&amp;"(含)"&amp;"-"&amp;E103</f>
        <v>50(含)-100</v>
      </c>
      <c r="E102" s="527" t="str">
        <f t="shared" si="24"/>
        <v>100(含)-300</v>
      </c>
      <c r="F102" s="527" t="str">
        <f t="shared" si="24"/>
        <v>300(含)-600</v>
      </c>
      <c r="G102" s="527" t="str">
        <f t="shared" si="24"/>
        <v>600(含)-1000</v>
      </c>
      <c r="H102" s="527" t="str">
        <f t="shared" si="24"/>
        <v>1000(含)-1500</v>
      </c>
      <c r="I102" s="527" t="str">
        <f t="shared" si="24"/>
        <v>1500(含)-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300</v>
      </c>
      <c r="G103" s="544">
        <v>600</v>
      </c>
      <c r="H103" s="544">
        <v>1000</v>
      </c>
      <c r="I103" s="544">
        <v>1500</v>
      </c>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95</v>
      </c>
      <c r="E104" s="485">
        <v>90</v>
      </c>
      <c r="F104" s="485">
        <f>E104-$N$104</f>
        <v>87</v>
      </c>
      <c r="G104" s="485">
        <f t="shared" ref="G104:I104" si="25">F104-$N$104</f>
        <v>84</v>
      </c>
      <c r="H104" s="485">
        <f t="shared" si="25"/>
        <v>81</v>
      </c>
      <c r="I104" s="485">
        <f t="shared" si="25"/>
        <v>78</v>
      </c>
      <c r="J104" s="485"/>
      <c r="K104" s="485"/>
      <c r="L104" s="485"/>
      <c r="M104" s="486"/>
      <c r="N104" s="2753">
        <v>3</v>
      </c>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0" t="s">
        <v>3457</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99</v>
      </c>
      <c r="E106" s="493">
        <f t="shared" si="26"/>
        <v>98</v>
      </c>
      <c r="F106" s="493">
        <f t="shared" si="26"/>
        <v>97</v>
      </c>
      <c r="G106" s="493">
        <f t="shared" si="26"/>
        <v>96</v>
      </c>
      <c r="H106" s="493">
        <f t="shared" si="26"/>
        <v>95</v>
      </c>
      <c r="I106" s="493">
        <f t="shared" si="26"/>
        <v>94</v>
      </c>
      <c r="J106" s="493">
        <f t="shared" si="26"/>
        <v>93</v>
      </c>
      <c r="K106" s="493">
        <f t="shared" si="26"/>
        <v>92</v>
      </c>
      <c r="L106" s="493">
        <f t="shared" si="26"/>
        <v>91</v>
      </c>
      <c r="M106" s="494">
        <f t="shared" si="26"/>
        <v>90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8">D111+$K36</f>
        <v>104</v>
      </c>
      <c r="F111" s="493">
        <f t="shared" si="28"/>
        <v>106</v>
      </c>
      <c r="G111" s="493">
        <f t="shared" si="28"/>
        <v>108</v>
      </c>
      <c r="H111" s="493">
        <f t="shared" si="28"/>
        <v>110</v>
      </c>
      <c r="I111" s="493">
        <f t="shared" si="28"/>
        <v>112</v>
      </c>
      <c r="J111" s="493">
        <f t="shared" si="28"/>
        <v>114</v>
      </c>
      <c r="K111" s="493">
        <f t="shared" si="28"/>
        <v>116</v>
      </c>
      <c r="L111" s="493">
        <f t="shared" si="28"/>
        <v>118</v>
      </c>
      <c r="M111" s="493">
        <f t="shared" si="28"/>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3425</v>
      </c>
      <c r="D112" s="503" t="s">
        <v>3431</v>
      </c>
      <c r="E112" s="503" t="s">
        <v>3424</v>
      </c>
      <c r="F112" s="503" t="s">
        <v>3432</v>
      </c>
      <c r="G112" s="503" t="s">
        <v>3433</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0" t="s">
        <v>3459</v>
      </c>
      <c r="D114" s="3450" t="s">
        <v>3460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0" t="s">
        <v>3462</v>
      </c>
      <c r="D122" s="3450" t="s">
        <v>3463</v>
      </c>
      <c r="E122" s="3450" t="s">
        <v>3464</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t="s">
        <v>3399</v>
      </c>
      <c r="D126" s="503" t="s">
        <v>3396</v>
      </c>
      <c r="E126" s="503" t="s">
        <v>3397</v>
      </c>
      <c r="F126" s="503" t="s">
        <v>3398</v>
      </c>
      <c r="G126" s="503" t="s">
        <v>3465</v>
      </c>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v>100</v>
      </c>
      <c r="D127" s="485">
        <f>C127-1</f>
        <v>99</v>
      </c>
      <c r="E127" s="485">
        <f t="shared" ref="E127:G127" si="33">D127-1</f>
        <v>98</v>
      </c>
      <c r="F127" s="485">
        <f t="shared" si="33"/>
        <v>97</v>
      </c>
      <c r="G127" s="485">
        <f t="shared" si="33"/>
        <v>96</v>
      </c>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1333.5571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14145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6046067</v>
      </c>
      <c r="D5" s="211" t="s">
        <v>1469</v>
      </c>
      <c r="E5" s="212" t="s">
        <v>1470</v>
      </c>
      <c r="F5" s="212" t="s">
        <v>1471</v>
      </c>
      <c r="G5" s="213"/>
    </row>
    <row r="6" spans="1:8" s="214" customFormat="1" ht="13.5" customHeight="1">
      <c r="A6" s="777" t="s">
        <v>1472</v>
      </c>
      <c r="B6" s="215" t="s">
        <v>1473</v>
      </c>
      <c r="C6" s="216">
        <f>ROUND(基准地价修正!C37*基准地价修正!D37,0)</f>
        <v>5684141</v>
      </c>
      <c r="D6" s="217"/>
      <c r="E6" s="218"/>
      <c r="F6" s="218"/>
      <c r="G6" s="219"/>
    </row>
    <row r="7" spans="1:8" s="214" customFormat="1" ht="13.5" customHeight="1">
      <c r="A7" s="777" t="s">
        <v>1474</v>
      </c>
      <c r="B7" s="215" t="s">
        <v>1475</v>
      </c>
      <c r="C7" s="220">
        <f>ROUND(C6*F7,0)</f>
        <v>173366</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188560</v>
      </c>
      <c r="D8" s="222"/>
      <c r="E8" s="220"/>
      <c r="F8" s="221"/>
      <c r="G8" s="1855" t="s">
        <v>3401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188560</v>
      </c>
      <c r="D10" s="844">
        <f ca="1">IF(B1="",'数据-汇总表'!E6,IF(INDIRECT("'数据-取费表'!c"&amp;$G$1)="住宅",INDIRECT("'数据-取费表'!s"&amp;$G$1),INDIRECT("'数据-取费表'!k"&amp;$G$1)+INDIRECT("'数据-取费表'!s"&amp;$G$1)))</f>
        <v>942.8</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942.8</v>
      </c>
      <c r="E19" s="211">
        <f>'数据-取费表'!B31</f>
        <v>200</v>
      </c>
      <c r="F19" s="231"/>
      <c r="G19" s="1855" t="s">
        <v>3403</v>
      </c>
    </row>
    <row r="20" spans="1:7" s="214" customFormat="1" ht="13.5" customHeight="1">
      <c r="A20" s="255" t="s">
        <v>1574</v>
      </c>
      <c r="B20" s="210" t="s">
        <v>1575</v>
      </c>
      <c r="C20" s="232">
        <f ca="1">ROUND((C5+C19)*F20,0)</f>
        <v>120921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384415</v>
      </c>
      <c r="D22" s="235">
        <f ca="1">C26</f>
        <v>5.9999999999999995E-4</v>
      </c>
      <c r="E22" s="236" t="s">
        <v>1579</v>
      </c>
      <c r="F22" s="237">
        <f ca="1">'数据-取费表'!B40</f>
        <v>3.1E-2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380666</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3749</v>
      </c>
      <c r="D25" s="238"/>
      <c r="E25" s="241"/>
      <c r="F25" s="239"/>
      <c r="G25" s="242" t="s">
        <v>1588</v>
      </c>
    </row>
    <row r="26" spans="1:7" s="214" customFormat="1">
      <c r="A26" s="779"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1233398</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1233398</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8442469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4728142</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4242600</v>
      </c>
      <c r="D34" s="217"/>
      <c r="E34" s="220"/>
      <c r="F34" s="257"/>
      <c r="G34" s="219"/>
    </row>
    <row r="35" spans="1:7" ht="13.5" customHeight="1">
      <c r="A35" s="779" t="s">
        <v>351</v>
      </c>
      <c r="B35" s="215" t="s">
        <v>1527</v>
      </c>
      <c r="C35" s="220">
        <f ca="1">ROUND(C34*F35,0)</f>
        <v>212130</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188560</v>
      </c>
      <c r="D37" s="217">
        <f ca="1">D19</f>
        <v>942.8</v>
      </c>
      <c r="E37" s="249">
        <f>'数据-取费表'!B35</f>
        <v>200</v>
      </c>
      <c r="F37" s="259"/>
      <c r="G37" s="261"/>
    </row>
    <row r="38" spans="1:7" ht="13.5" customHeight="1">
      <c r="A38" s="779" t="s">
        <v>354</v>
      </c>
      <c r="B38" s="215" t="s">
        <v>1533</v>
      </c>
      <c r="C38" s="220">
        <f ca="1">ROUND(C34*F38,0)</f>
        <v>84852</v>
      </c>
      <c r="D38" s="220"/>
      <c r="E38" s="220"/>
      <c r="F38" s="259">
        <f>'数据-取费表'!B36</f>
        <v>0.02</v>
      </c>
      <c r="G38" s="219" t="s">
        <v>1528</v>
      </c>
    </row>
    <row r="39" spans="1:7" s="214" customFormat="1" ht="13.5" customHeight="1">
      <c r="A39" s="255" t="s">
        <v>1534</v>
      </c>
      <c r="B39" s="210" t="s">
        <v>1535</v>
      </c>
      <c r="C39" s="232">
        <f ca="1">ROUND(C33*F20,0)</f>
        <v>94563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149503</v>
      </c>
      <c r="D41" s="235">
        <f ca="1">C44</f>
        <v>5.9999999999999995E-4</v>
      </c>
      <c r="E41" s="236" t="s">
        <v>1539</v>
      </c>
      <c r="F41" s="237">
        <f ca="1">F22</f>
        <v>3.1E-2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146572</v>
      </c>
      <c r="D42" s="238"/>
      <c r="E42" s="238"/>
      <c r="F42" s="239"/>
      <c r="G42" s="3642" t="s">
        <v>1591</v>
      </c>
    </row>
    <row r="43" spans="1:7" ht="13.5" customHeight="1">
      <c r="A43" s="779" t="s">
        <v>347</v>
      </c>
      <c r="B43" s="215" t="s">
        <v>1545</v>
      </c>
      <c r="C43" s="238">
        <f ca="1">ROUND(IF('数据-取费表'!B22&lt;=1,C39*F22*'数据-取费表'!B20/2,C39*(POWER((1+F22),'数据-取费表'!B20/2)-1)),0)</f>
        <v>2931</v>
      </c>
      <c r="D43" s="238"/>
      <c r="E43" s="238"/>
      <c r="F43" s="239"/>
      <c r="G43" s="3643"/>
    </row>
    <row r="44" spans="1:7" ht="13.5" customHeight="1">
      <c r="A44" s="779" t="s">
        <v>348</v>
      </c>
      <c r="B44" s="215" t="s">
        <v>1546</v>
      </c>
      <c r="C44" s="238">
        <f ca="1">ROUND(IF('数据-取费表'!B22&lt;=1,C40*F22*'数据-取费表'!B20/2,C40*(POWER((1+F22),'数据-取费表'!B20/2)-1)),4)</f>
        <v>5.9999999999999995E-4</v>
      </c>
      <c r="D44" s="238"/>
      <c r="E44" s="238"/>
      <c r="F44" s="239"/>
      <c r="G44" s="3644"/>
    </row>
    <row r="45" spans="1:7" s="214" customFormat="1" ht="13.5" customHeight="1">
      <c r="A45" s="255" t="s">
        <v>1547</v>
      </c>
      <c r="B45" s="244" t="s">
        <v>1513</v>
      </c>
      <c r="C45" s="245">
        <f ca="1">C46</f>
        <v>964541</v>
      </c>
      <c r="D45" s="235">
        <f ca="1">C47</f>
        <v>4.0000000000000001E-3</v>
      </c>
      <c r="E45" s="236" t="s">
        <v>1539</v>
      </c>
      <c r="F45" s="246">
        <f ca="1">F27</f>
        <v>0.2</v>
      </c>
      <c r="G45" s="247" t="s">
        <v>1548</v>
      </c>
    </row>
    <row r="46" spans="1:7" s="214" customFormat="1" ht="13.5" customHeight="1">
      <c r="A46" s="779" t="s">
        <v>346</v>
      </c>
      <c r="B46" s="248" t="s">
        <v>1549</v>
      </c>
      <c r="C46" s="249">
        <f ca="1">ROUND((C33+C39)*F27,0)</f>
        <v>964541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6438292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4893102</v>
      </c>
      <c r="D51" s="232"/>
      <c r="E51" s="232"/>
      <c r="F51" s="264"/>
      <c r="G51" s="234" t="s">
        <v>1560</v>
      </c>
    </row>
    <row r="52" spans="1:7" s="208" customFormat="1" ht="16.5" thickBot="1">
      <c r="A52" s="265" t="s">
        <v>1561</v>
      </c>
      <c r="B52" s="266"/>
      <c r="C52" s="267">
        <f ca="1">C31+C51</f>
        <v>13335571</v>
      </c>
      <c r="D52" s="266"/>
      <c r="E52" s="266"/>
      <c r="F52" s="266"/>
      <c r="G52" s="268"/>
    </row>
    <row r="55" spans="1:7" ht="15">
      <c r="B55" s="270" t="s">
        <v>1562</v>
      </c>
      <c r="C55" s="271"/>
    </row>
    <row r="56" spans="1:7">
      <c r="B56" s="273" t="s">
        <v>802</v>
      </c>
      <c r="C56" s="275">
        <f ca="1">1-C57</f>
        <v>0.63300000000000001</v>
      </c>
    </row>
    <row r="57" spans="1:7">
      <c r="B57" s="273" t="s">
        <v>803</v>
      </c>
      <c r="C57" s="274">
        <f ca="1">ROUND(C51/C52,3)</f>
        <v>0.36699999999999999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552.24919999999997</v>
      </c>
      <c r="C2" s="1386" t="s">
        <v>879</v>
      </c>
      <c r="D2" s="1470">
        <f ca="1">C40+J29+L46</f>
        <v>5522492</v>
      </c>
      <c r="E2" s="1387" t="s">
        <v>880</v>
      </c>
      <c r="F2" s="1388"/>
      <c r="G2" s="2705"/>
      <c r="H2" s="2694"/>
      <c r="I2" s="2694"/>
      <c r="J2" s="2694"/>
      <c r="K2" s="2695"/>
      <c r="L2" s="2694"/>
      <c r="M2" s="2694"/>
    </row>
    <row r="3" spans="1:37" ht="18" customHeight="1" thickBot="1">
      <c r="A3" s="1389" t="s">
        <v>881</v>
      </c>
      <c r="B3" s="1390">
        <f ca="1">IF(ISERROR(D2/F43),0,ROUND(D2/F43,0))</f>
        <v>5858</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439304</v>
      </c>
      <c r="D5" s="1363" t="s">
        <v>889</v>
      </c>
      <c r="E5" s="1070"/>
      <c r="F5" s="1071"/>
      <c r="G5" s="1383"/>
      <c r="H5" s="299">
        <v>1</v>
      </c>
      <c r="I5" s="300" t="s">
        <v>888</v>
      </c>
      <c r="J5" s="1069">
        <f ca="1">J6+J10+J12</f>
        <v>0</v>
      </c>
      <c r="K5" s="1363" t="s">
        <v>889</v>
      </c>
      <c r="L5" s="1070"/>
      <c r="M5" s="1071"/>
    </row>
    <row r="6" spans="1:37" ht="18" customHeight="1">
      <c r="A6" s="1068" t="s">
        <v>398</v>
      </c>
      <c r="B6" s="3647" t="s">
        <v>694</v>
      </c>
      <c r="C6" s="1073">
        <f ca="1">ROUND(F6*F8*F7*(1-F9),0)</f>
        <v>438756</v>
      </c>
      <c r="D6" s="155" t="s">
        <v>2106</v>
      </c>
      <c r="E6" s="302" t="s">
        <v>696</v>
      </c>
      <c r="F6" s="303">
        <f ca="1">INDIRECT("'数据-取费表'!u"&amp;$G$1)</f>
        <v>1.5</v>
      </c>
      <c r="G6" s="1383"/>
      <c r="H6" s="1068" t="s">
        <v>398</v>
      </c>
      <c r="I6" s="3647" t="s">
        <v>694</v>
      </c>
      <c r="J6" s="301">
        <f ca="1">ROUND(M6*M8*M7*(1-M9),0)</f>
        <v>0</v>
      </c>
      <c r="K6" s="1375" t="s">
        <v>2107</v>
      </c>
      <c r="L6" s="302" t="s">
        <v>696</v>
      </c>
      <c r="M6" s="303">
        <f ca="1">INDIRECT("'数据-取费表'!z"&amp;$G$1)</f>
        <v>0</v>
      </c>
    </row>
    <row r="7" spans="1:37" ht="18" customHeight="1">
      <c r="A7" s="1072"/>
      <c r="B7" s="3648"/>
      <c r="C7" s="1074"/>
      <c r="D7" s="307"/>
      <c r="E7" s="1075" t="s">
        <v>697</v>
      </c>
      <c r="F7" s="303">
        <f ca="1">IF(INDIRECT("'数据-取费表'!ah"&amp;$G$1)="",INDIRECT("'数据-取费表'!k"&amp;$G$1),INDIRECT("'数据-取费表'!ah"&amp;$G$1))</f>
        <v>942.8</v>
      </c>
      <c r="G7" s="1383"/>
      <c r="H7" s="304"/>
      <c r="I7" s="3648"/>
      <c r="J7" s="306"/>
      <c r="K7" s="307"/>
      <c r="L7" s="302" t="s">
        <v>697</v>
      </c>
      <c r="M7" s="303">
        <f ca="1">F7</f>
        <v>942.8</v>
      </c>
    </row>
    <row r="8" spans="1:37" ht="18" customHeight="1">
      <c r="A8" s="304"/>
      <c r="B8" s="3648"/>
      <c r="C8" s="306"/>
      <c r="D8" s="307"/>
      <c r="E8" s="302" t="s">
        <v>698</v>
      </c>
      <c r="F8" s="303">
        <f ca="1">INDIRECT("'数据-取费表'!ai"&amp;$G$1)</f>
        <v>365</v>
      </c>
      <c r="G8" s="1383"/>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0.15</v>
      </c>
      <c r="G9" s="1383"/>
      <c r="H9" s="304"/>
      <c r="I9" s="3649"/>
      <c r="J9" s="306"/>
      <c r="K9" s="307"/>
      <c r="L9" s="313" t="s">
        <v>699</v>
      </c>
      <c r="M9" s="314">
        <f ca="1">INDIRECT("'数据-取费表'!ab"&amp;$G$1)</f>
        <v>0</v>
      </c>
    </row>
    <row r="10" spans="1:37" ht="18" customHeight="1">
      <c r="A10" s="1068" t="s">
        <v>402</v>
      </c>
      <c r="B10" s="1364" t="s">
        <v>700</v>
      </c>
      <c r="C10" s="316">
        <f ca="1">ROUND(IF(F10="押一",C6/12*F11,IF(F10="押二",C6/12*2*F11,IF(F10="押三",C6/12*3*F11,C11*F11))),0)</f>
        <v>548</v>
      </c>
      <c r="D10" s="1365" t="s">
        <v>2116</v>
      </c>
      <c r="E10" s="313" t="s">
        <v>701</v>
      </c>
      <c r="F10" s="1115" t="s">
        <v>3406</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4893102</v>
      </c>
      <c r="D13" s="1080" t="s">
        <v>705</v>
      </c>
      <c r="E13" s="1080" t="s">
        <v>706</v>
      </c>
      <c r="F13" s="1081">
        <f ca="1">INDIRECT("'数据-取费表'!y"&amp;$G$1)</f>
        <v>0.76</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4242600</v>
      </c>
      <c r="D14" s="1344" t="s">
        <v>708</v>
      </c>
      <c r="E14" s="1341"/>
      <c r="F14" s="319"/>
      <c r="G14" s="1383"/>
      <c r="H14" s="981" t="s">
        <v>398</v>
      </c>
      <c r="I14" s="302" t="s">
        <v>709</v>
      </c>
      <c r="J14" s="21">
        <f ca="1">C29</f>
        <v>6438292</v>
      </c>
      <c r="K14" s="12"/>
      <c r="L14" s="806"/>
      <c r="M14" s="807"/>
    </row>
    <row r="15" spans="1:37" s="1396" customFormat="1" ht="18" customHeight="1" thickBot="1">
      <c r="A15" s="981" t="s">
        <v>399</v>
      </c>
      <c r="B15" s="302" t="s">
        <v>710</v>
      </c>
      <c r="C15" s="21">
        <f ca="1">ROUND(C14*F15,0)</f>
        <v>212130</v>
      </c>
      <c r="D15" s="320" t="s">
        <v>711</v>
      </c>
      <c r="E15" s="320" t="s">
        <v>712</v>
      </c>
      <c r="F15" s="321">
        <f>'数据-取费表'!B33</f>
        <v>0.05</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32191</v>
      </c>
      <c r="K16" s="1086" t="s">
        <v>715</v>
      </c>
      <c r="L16" s="1087"/>
      <c r="M16" s="1071"/>
    </row>
    <row r="17" spans="1:37" s="1396" customFormat="1" ht="18" customHeight="1">
      <c r="A17" s="981" t="s">
        <v>681</v>
      </c>
      <c r="B17" s="302" t="s">
        <v>716</v>
      </c>
      <c r="C17" s="21">
        <f ca="1">ROUND(F17*(F43+INDIRECT("'数据-取费表'!S"&amp;$G$1)),0)</f>
        <v>188560</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84852</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4728142</v>
      </c>
      <c r="D19" s="131" t="s">
        <v>726</v>
      </c>
      <c r="E19" s="1359"/>
      <c r="F19" s="23"/>
      <c r="G19" s="1383"/>
      <c r="H19" s="981" t="s">
        <v>399</v>
      </c>
      <c r="I19" s="302" t="s">
        <v>727</v>
      </c>
      <c r="J19" s="21">
        <f ca="1">IF(K19="按租金收入计税",ROUND(J6*M19/(1+'数据-取费表'!C42),0),ROUND(C29*M19*0.7,0))</f>
        <v>0</v>
      </c>
      <c r="K19" s="1369" t="s">
        <v>3336</v>
      </c>
      <c r="L19" s="302" t="s">
        <v>712</v>
      </c>
      <c r="M19" s="322">
        <f>IF(K19="按租金收入计税",'数据-取费表'!B51,'数据-取费表'!B50)</f>
        <v>0.12</v>
      </c>
    </row>
    <row r="20" spans="1:37" s="1396" customFormat="1" ht="18" customHeight="1">
      <c r="A20" s="981" t="s">
        <v>402</v>
      </c>
      <c r="B20" s="302" t="s">
        <v>728</v>
      </c>
      <c r="C20" s="21">
        <f ca="1">ROUND(C19*F20,0)</f>
        <v>94563</v>
      </c>
      <c r="D20" s="323" t="s">
        <v>729</v>
      </c>
      <c r="E20" s="302" t="s">
        <v>712</v>
      </c>
      <c r="F20" s="322">
        <f>'数据-取费表'!B37</f>
        <v>0.02</v>
      </c>
      <c r="G20" s="1395"/>
      <c r="H20" s="981" t="s">
        <v>680</v>
      </c>
      <c r="I20" s="155" t="s">
        <v>730</v>
      </c>
      <c r="J20" s="22">
        <f ca="1">ROUND(M20*M21,0)</f>
        <v>0</v>
      </c>
      <c r="K20" s="324" t="s">
        <v>731</v>
      </c>
      <c r="L20" s="302" t="s">
        <v>732</v>
      </c>
      <c r="M20" s="325">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32191</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149503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-32191</v>
      </c>
      <c r="K25" s="1094" t="s">
        <v>753</v>
      </c>
      <c r="L25" s="1095"/>
      <c r="M25" s="1096"/>
    </row>
    <row r="26" spans="1:37" ht="18" customHeight="1">
      <c r="A26" s="981" t="s">
        <v>397</v>
      </c>
      <c r="B26" s="302" t="s">
        <v>754</v>
      </c>
      <c r="C26" s="21">
        <f ca="1">ROUND((C19+C20)*F26,0)</f>
        <v>964541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6438292</v>
      </c>
      <c r="D29" s="1091"/>
      <c r="E29" s="1089"/>
      <c r="F29" s="1092"/>
      <c r="G29" s="1395"/>
      <c r="H29" s="334" t="s">
        <v>396</v>
      </c>
      <c r="I29" s="335" t="s">
        <v>768</v>
      </c>
      <c r="J29" s="336">
        <f ca="1">ROUND(J26/(1+F40)^F41,0)</f>
        <v>0</v>
      </c>
      <c r="K29" s="337" t="s">
        <v>769</v>
      </c>
      <c r="L29" s="338"/>
      <c r="M29" s="339">
        <f ca="1">INDIRECT("'数据-取费表'!k"&amp;$G$1)</f>
        <v>942.8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68531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29250</v>
      </c>
      <c r="D31" s="1344" t="s">
        <v>720</v>
      </c>
      <c r="E31" s="1343" t="s">
        <v>770</v>
      </c>
      <c r="F31" s="2314">
        <f ca="1">IF(项目基本情况!B11="企业","——",IF(M47="住宅",IF(F6*F7*F8/12/(1+'数据-取费表'!F30)&gt;100000,4%,2.5%),IF(F6*F7*F8/12/(1+'数据-取费表'!F30)&gt;100000,12%,7%)))</f>
        <v>7.0000000000000007E-2</v>
      </c>
      <c r="G31" s="1383"/>
      <c r="H31" s="2807" t="s">
        <v>2308</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3336</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30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32191</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4893</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2197</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370773</v>
      </c>
      <c r="D39" s="1094" t="s">
        <v>773</v>
      </c>
      <c r="E39" s="1095"/>
      <c r="F39" s="1096"/>
      <c r="G39" s="1383"/>
      <c r="H39" s="2699">
        <f ca="1">C39/C6</f>
        <v>0.84505511035746517</v>
      </c>
      <c r="I39" s="1397"/>
      <c r="J39" s="1398"/>
      <c r="K39" s="2703"/>
      <c r="L39" s="2699"/>
      <c r="M39" s="2699"/>
    </row>
    <row r="40" spans="1:18" ht="18" customHeight="1">
      <c r="A40" s="299" t="s">
        <v>395</v>
      </c>
      <c r="B40" s="300" t="s">
        <v>774</v>
      </c>
      <c r="C40" s="301">
        <f ca="1">ROUND(C39*(1-((1+F42)/(1+F40))^F41)/(F40-F42),0)</f>
        <v>4821879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18</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ROUND(C40/F43,0)</f>
        <v>5114</v>
      </c>
      <c r="D43" s="337" t="s">
        <v>777</v>
      </c>
      <c r="E43" s="338" t="s">
        <v>778</v>
      </c>
      <c r="F43" s="339">
        <f ca="1">INDIRECT("'数据-取费表'!k"&amp;$G$1)</f>
        <v>942.8</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3352</v>
      </c>
      <c r="B45" s="1399"/>
      <c r="C45" s="1471">
        <f ca="1">ROUND((C68-C40)/10000,4)</f>
        <v>-532.25670000000002</v>
      </c>
      <c r="D45" s="3431" t="s">
        <v>3353</v>
      </c>
      <c r="E45" s="1399"/>
      <c r="F45" s="1399"/>
      <c r="O45" s="1402" t="s">
        <v>808</v>
      </c>
      <c r="P45" s="1460"/>
      <c r="Q45" s="1460"/>
      <c r="R45" s="1460"/>
    </row>
    <row r="46" spans="1:18" s="1383" customFormat="1" ht="13.5" thickBot="1">
      <c r="A46" s="1403" t="s">
        <v>809</v>
      </c>
      <c r="C46" s="1404">
        <f ca="1">ROUND(C45,0)</f>
        <v>-532</v>
      </c>
      <c r="D46" s="1405" t="str">
        <f>C2</f>
        <v>万元</v>
      </c>
      <c r="I46" s="1406" t="s">
        <v>810</v>
      </c>
      <c r="J46" s="1407"/>
      <c r="K46" s="1408"/>
      <c r="L46" s="1409">
        <f ca="1">IF(M47="住宅",0,IF(L48&gt;J51,L60,J60))</f>
        <v>700613</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3404</v>
      </c>
      <c r="K47" s="1415" t="s">
        <v>816</v>
      </c>
      <c r="L47" s="1416">
        <f ca="1">INDIRECT("'数据-取费表'!d"&amp;$G$1)</f>
        <v>40</v>
      </c>
      <c r="M47" s="1379" t="str">
        <f>IF(ISNUMBER(FIND("住宅",C1)),"住宅","非住宅")</f>
        <v>非住宅</v>
      </c>
      <c r="O47" s="1417" t="s">
        <v>403</v>
      </c>
      <c r="P47" s="1418" t="s">
        <v>817</v>
      </c>
      <c r="Q47" s="1419">
        <f ca="1">C40+J29</f>
        <v>4821879</v>
      </c>
      <c r="R47" s="1419" t="s">
        <v>818</v>
      </c>
    </row>
    <row r="48" spans="1:18" s="1383" customFormat="1" ht="28.5" thickBot="1">
      <c r="A48" s="1109" t="s">
        <v>438</v>
      </c>
      <c r="B48" s="300" t="s">
        <v>692</v>
      </c>
      <c r="C48" s="1358">
        <f ca="1">C49+C53+C55</f>
        <v>0</v>
      </c>
      <c r="D48" s="1111"/>
      <c r="E48" s="1112"/>
      <c r="F48" s="961"/>
      <c r="G48" s="721"/>
      <c r="H48" s="722"/>
      <c r="I48" s="1420" t="s">
        <v>819</v>
      </c>
      <c r="J48" s="1421" t="s">
        <v>3419</v>
      </c>
      <c r="K48" s="1422" t="s">
        <v>820</v>
      </c>
      <c r="L48" s="1423">
        <f ca="1">INDIRECT("'数据-取费表'!f"&amp;$G$1)</f>
        <v>18</v>
      </c>
      <c r="O48" s="1417" t="s">
        <v>404</v>
      </c>
      <c r="P48" s="1418" t="s">
        <v>821</v>
      </c>
      <c r="Q48" s="1419">
        <f ca="1">J60</f>
        <v>700613</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2004</v>
      </c>
      <c r="K49" s="1422" t="s">
        <v>824</v>
      </c>
      <c r="L49" s="1426"/>
      <c r="O49" s="1427" t="s">
        <v>405</v>
      </c>
      <c r="P49" s="1418" t="s">
        <v>825</v>
      </c>
      <c r="Q49" s="1419">
        <f ca="1">C29</f>
        <v>6438292</v>
      </c>
      <c r="R49" s="1419" t="s">
        <v>818</v>
      </c>
    </row>
    <row r="50" spans="1:18" s="1383" customFormat="1" ht="13.5" thickBot="1">
      <c r="A50" s="975"/>
      <c r="B50" s="978"/>
      <c r="C50" s="979"/>
      <c r="D50" s="952"/>
      <c r="E50" s="1055" t="s">
        <v>697</v>
      </c>
      <c r="F50" s="1056">
        <f ca="1">F7</f>
        <v>942.8</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40</v>
      </c>
      <c r="K51" s="1433" t="s">
        <v>830</v>
      </c>
      <c r="L51" s="1434">
        <f ca="1">ROUND(-PV(INDIRECT("'数据-取费表'!h"&amp;$G$1),J51,(C39-C13*C76),0),0)</f>
        <v>484845</v>
      </c>
      <c r="M51" s="1435"/>
      <c r="O51" s="1427" t="s">
        <v>407</v>
      </c>
      <c r="P51" s="1418" t="s">
        <v>831</v>
      </c>
      <c r="Q51" s="1430">
        <f>J52</f>
        <v>7.4999999999999997E-2</v>
      </c>
      <c r="R51" s="1419"/>
    </row>
    <row r="52" spans="1:18" s="1383" customFormat="1" ht="13.5" thickBot="1">
      <c r="A52" s="976"/>
      <c r="B52" s="978"/>
      <c r="C52" s="979"/>
      <c r="D52" s="952"/>
      <c r="E52" s="980" t="s">
        <v>699</v>
      </c>
      <c r="F52" s="1053"/>
      <c r="I52" s="1436" t="s">
        <v>832</v>
      </c>
      <c r="J52" s="1437">
        <v>7.4999999999999997E-2</v>
      </c>
      <c r="K52" s="1436" t="s">
        <v>833</v>
      </c>
      <c r="L52" s="1437"/>
      <c r="O52" s="1427" t="s">
        <v>408</v>
      </c>
      <c r="P52" s="1418" t="s">
        <v>834</v>
      </c>
      <c r="Q52" s="1419">
        <f ca="1">J53</f>
        <v>18</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t="s">
        <v>3406</v>
      </c>
      <c r="I53" s="1438" t="s">
        <v>836</v>
      </c>
      <c r="J53" s="2167">
        <f ca="1">IF(M47="住宅",IF(D1="——",MAX(J51,L48),MAX(J51,L48-'数据-取费表'!B24)),IF(D1="——",MIN(J51,L48),MIN(J51,L48-'数据-取费表'!B24)))</f>
        <v>18</v>
      </c>
      <c r="K53" s="3645" t="s">
        <v>837</v>
      </c>
      <c r="L53" s="3646"/>
      <c r="O53" s="1417" t="s">
        <v>409</v>
      </c>
      <c r="P53" s="1418" t="s">
        <v>838</v>
      </c>
      <c r="Q53" s="1419">
        <f ca="1">Q47+Q48</f>
        <v>5522492</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0.36699999999999999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4893102</v>
      </c>
      <c r="D56" s="1446"/>
      <c r="E56" s="1447"/>
      <c r="F56" s="1439"/>
      <c r="I56" s="1448" t="s">
        <v>842</v>
      </c>
      <c r="J56" s="1449" t="s">
        <v>3392</v>
      </c>
      <c r="K56" s="1420" t="s">
        <v>843</v>
      </c>
      <c r="L56" s="1423" t="str">
        <f ca="1">IF(L48&lt;J51,"——",L48-J51)</f>
        <v>——</v>
      </c>
      <c r="O56" s="1417" t="s">
        <v>403</v>
      </c>
      <c r="P56" s="1418" t="s">
        <v>817</v>
      </c>
      <c r="Q56" s="1419">
        <f ca="1">C40+J29</f>
        <v>4821879</v>
      </c>
      <c r="R56" s="1419" t="s">
        <v>818</v>
      </c>
    </row>
    <row r="57" spans="1:18" s="1383" customFormat="1" ht="24.75" thickBot="1">
      <c r="A57" s="1450"/>
      <c r="B57" s="949" t="s">
        <v>767</v>
      </c>
      <c r="C57" s="238">
        <f ca="1">C29</f>
        <v>6438292</v>
      </c>
      <c r="D57" s="1451"/>
      <c r="E57" s="1452"/>
      <c r="F57" s="1453"/>
      <c r="I57" s="1454" t="s">
        <v>844</v>
      </c>
      <c r="J57" s="1455">
        <f ca="1">IF(OR(M47="住宅",J51&lt;L48,J56="是"),"——",J51-L48)</f>
        <v>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37084</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2575317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5.6000000000000001E-2</v>
      </c>
      <c r="I60" s="1457" t="s">
        <v>853</v>
      </c>
      <c r="J60" s="1458">
        <f ca="1">IF(OR(M47="住宅",J51&lt;L48,J56="是"),"0",ROUND(J59/(1+J52)^J53,0))</f>
        <v>700613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3336</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30</v>
      </c>
      <c r="I62" s="1461" t="s">
        <v>858</v>
      </c>
      <c r="J62" s="1462" t="s">
        <v>859</v>
      </c>
      <c r="K62" s="1462" t="s">
        <v>860</v>
      </c>
      <c r="L62" s="1462" t="s">
        <v>861</v>
      </c>
      <c r="M62" s="1463" t="s">
        <v>862</v>
      </c>
      <c r="O62" s="1417" t="s">
        <v>409</v>
      </c>
      <c r="P62" s="1418" t="s">
        <v>863</v>
      </c>
      <c r="Q62" s="1419">
        <f ca="1">Q56+Q57</f>
        <v>4821879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32191</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4893</v>
      </c>
      <c r="D65" s="963" t="s">
        <v>743</v>
      </c>
      <c r="E65" s="949" t="s">
        <v>744</v>
      </c>
      <c r="F65" s="330">
        <f t="shared" ca="1" si="0"/>
        <v>1E-3</v>
      </c>
      <c r="I65" s="1461" t="s">
        <v>867</v>
      </c>
      <c r="J65" s="1462">
        <v>40</v>
      </c>
      <c r="K65" s="1462">
        <v>30</v>
      </c>
      <c r="L65" s="1462">
        <v>50</v>
      </c>
      <c r="M65" s="1464">
        <v>0.02</v>
      </c>
      <c r="O65" s="1417" t="s">
        <v>403</v>
      </c>
      <c r="P65" s="1418" t="s">
        <v>868</v>
      </c>
      <c r="Q65" s="1419">
        <f ca="1">C40+J29</f>
        <v>4821879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-37084</v>
      </c>
      <c r="D67" s="962" t="s">
        <v>753</v>
      </c>
      <c r="E67" s="967"/>
      <c r="F67" s="968"/>
      <c r="O67" s="1427" t="s">
        <v>405</v>
      </c>
      <c r="P67" s="1418" t="s">
        <v>850</v>
      </c>
      <c r="Q67" s="1465">
        <f ca="1">L51</f>
        <v>484845</v>
      </c>
      <c r="R67" s="1419" t="s">
        <v>870</v>
      </c>
    </row>
    <row r="68" spans="1:18" s="1383" customFormat="1" ht="16.5" thickBot="1">
      <c r="A68" s="946" t="s">
        <v>395</v>
      </c>
      <c r="B68" s="947" t="s">
        <v>774</v>
      </c>
      <c r="C68" s="301">
        <f ca="1">ROUND(C67*(1-((1+F70)/(1+F68))^F69)/(F68-F70),0)</f>
        <v>-500688</v>
      </c>
      <c r="D68" s="964" t="s">
        <v>758</v>
      </c>
      <c r="E68" s="949" t="s">
        <v>759</v>
      </c>
      <c r="F68" s="312">
        <f ca="1">F40</f>
        <v>5.5E-2</v>
      </c>
      <c r="O68" s="1427" t="s">
        <v>406</v>
      </c>
      <c r="P68" s="1466" t="s">
        <v>871</v>
      </c>
      <c r="Q68" s="1419">
        <f ca="1">ROUND(Q69-Q70*Q71,0)</f>
        <v>28256</v>
      </c>
      <c r="R68" s="1419" t="s">
        <v>414</v>
      </c>
    </row>
    <row r="69" spans="1:18" s="1383" customFormat="1" ht="13.5" thickBot="1">
      <c r="A69" s="950"/>
      <c r="B69" s="951"/>
      <c r="C69" s="306"/>
      <c r="D69" s="969" t="s">
        <v>762</v>
      </c>
      <c r="E69" s="949" t="s">
        <v>763</v>
      </c>
      <c r="F69" s="333">
        <f ca="1">F41</f>
        <v>18</v>
      </c>
      <c r="O69" s="1427" t="s">
        <v>411</v>
      </c>
      <c r="P69" s="1466" t="s">
        <v>872</v>
      </c>
      <c r="Q69" s="1419">
        <f ca="1">C39</f>
        <v>370773</v>
      </c>
      <c r="R69" s="1419" t="s">
        <v>818</v>
      </c>
    </row>
    <row r="70" spans="1:18" s="1383" customFormat="1" ht="13.5" thickBot="1">
      <c r="A70" s="953"/>
      <c r="B70" s="954"/>
      <c r="C70" s="310"/>
      <c r="D70" s="965"/>
      <c r="E70" s="949" t="s">
        <v>766</v>
      </c>
      <c r="F70" s="1053">
        <v>2.5000000000000001E-2</v>
      </c>
      <c r="O70" s="1427" t="s">
        <v>412</v>
      </c>
      <c r="P70" s="1466" t="s">
        <v>873</v>
      </c>
      <c r="Q70" s="1419">
        <f ca="1">C13</f>
        <v>4893102</v>
      </c>
      <c r="R70" s="1419" t="s">
        <v>818</v>
      </c>
    </row>
    <row r="71" spans="1:18" s="1383" customFormat="1" ht="13.5" thickBot="1">
      <c r="A71" s="970" t="s">
        <v>396</v>
      </c>
      <c r="B71" s="971" t="s">
        <v>776</v>
      </c>
      <c r="C71" s="336">
        <f ca="1">ROUND(C68/F71,0)</f>
        <v>-531</v>
      </c>
      <c r="D71" s="972" t="s">
        <v>777</v>
      </c>
      <c r="E71" s="973" t="s">
        <v>778</v>
      </c>
      <c r="F71" s="339">
        <f ca="1">F43</f>
        <v>942.8</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342517</v>
      </c>
      <c r="D75" s="1383"/>
      <c r="E75" s="1383"/>
      <c r="F75" s="1383"/>
      <c r="K75" s="1401"/>
      <c r="L75" s="1383"/>
      <c r="O75" s="1417" t="s">
        <v>409</v>
      </c>
      <c r="P75" s="1418" t="s">
        <v>838</v>
      </c>
      <c r="Q75" s="1419">
        <f ca="1">Q65+Q66</f>
        <v>4821879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7.5999999999999956E-2</v>
      </c>
    </row>
    <row r="80" spans="1:18">
      <c r="B80" s="340" t="s">
        <v>800</v>
      </c>
      <c r="C80" s="274">
        <f ca="1">ROUND(C75/C39,3)</f>
        <v>0.92400000000000004</v>
      </c>
    </row>
    <row r="81" spans="2:3">
      <c r="B81" s="270" t="s">
        <v>801</v>
      </c>
      <c r="C81" s="238"/>
    </row>
    <row r="82" spans="2:3">
      <c r="B82" s="273" t="s">
        <v>802</v>
      </c>
      <c r="C82" s="275">
        <f ca="1">1-C83</f>
        <v>-1.4999999999999902E-2</v>
      </c>
    </row>
    <row r="83" spans="2:3">
      <c r="B83" s="273" t="s">
        <v>803</v>
      </c>
      <c r="C83" s="274">
        <f ca="1">ROUND(C13/C40,3)</f>
        <v>1.0149999999999999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2" t="s">
        <v>3359</v>
      </c>
      <c r="E2" s="3443"/>
      <c r="F2" s="2845"/>
      <c r="G2" s="2846"/>
      <c r="H2" s="2847"/>
      <c r="I2" s="2848"/>
      <c r="J2" s="3698" t="s">
        <v>2319</v>
      </c>
      <c r="K2" s="3699"/>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700" t="s">
        <v>2329</v>
      </c>
      <c r="K3" s="3701"/>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700" t="s">
        <v>2331</v>
      </c>
      <c r="K4" s="3701"/>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702" t="s">
        <v>2335</v>
      </c>
      <c r="B6" s="3703"/>
      <c r="C6" s="3704"/>
      <c r="D6" s="2869"/>
      <c r="E6" s="2870"/>
      <c r="F6" s="2871"/>
      <c r="G6" s="2872"/>
      <c r="H6" s="2847"/>
      <c r="I6" s="2848"/>
      <c r="J6" s="3705">
        <v>1</v>
      </c>
      <c r="K6" s="3706"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705"/>
      <c r="K7" s="3707"/>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709" t="s">
        <v>2349</v>
      </c>
      <c r="C8" s="3710"/>
      <c r="D8" s="2888" t="s">
        <v>2350</v>
      </c>
      <c r="E8" s="2889" t="s">
        <v>2351</v>
      </c>
      <c r="F8" s="2890" t="s">
        <v>2352</v>
      </c>
      <c r="G8" s="2891"/>
      <c r="H8" s="2847"/>
      <c r="I8" s="2848"/>
      <c r="J8" s="3705"/>
      <c r="K8" s="3707"/>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709" t="s">
        <v>2355</v>
      </c>
      <c r="C9" s="3710"/>
      <c r="D9" s="2888">
        <f>ROUND(D6*E9,0)</f>
        <v>0</v>
      </c>
      <c r="E9" s="2892"/>
      <c r="F9" s="2893" t="s">
        <v>2356</v>
      </c>
      <c r="G9" s="2872"/>
      <c r="H9" s="2847"/>
      <c r="I9" s="2848"/>
      <c r="J9" s="3705"/>
      <c r="K9" s="3707"/>
      <c r="L9" s="2882" t="s">
        <v>2357</v>
      </c>
      <c r="M9" s="2883"/>
      <c r="N9" s="2859"/>
      <c r="O9" s="2884"/>
      <c r="P9" s="2884"/>
      <c r="Q9" s="2885">
        <v>365</v>
      </c>
      <c r="R9" s="2886">
        <f t="shared" si="0"/>
        <v>0</v>
      </c>
      <c r="S9" s="2840"/>
      <c r="T9" s="2840"/>
      <c r="U9" s="2840"/>
      <c r="V9" s="2848"/>
    </row>
    <row r="10" spans="1:22" s="2852" customFormat="1" ht="13.15" customHeight="1">
      <c r="A10" s="2887">
        <v>2</v>
      </c>
      <c r="B10" s="3709" t="s">
        <v>2358</v>
      </c>
      <c r="C10" s="3710"/>
      <c r="D10" s="2888">
        <f>ROUND(D6*E10,0)</f>
        <v>0</v>
      </c>
      <c r="E10" s="2892"/>
      <c r="F10" s="2893" t="s">
        <v>2359</v>
      </c>
      <c r="G10" s="2872"/>
      <c r="H10" s="2847"/>
      <c r="I10" s="2848"/>
      <c r="J10" s="3705"/>
      <c r="K10" s="3707"/>
      <c r="L10" s="2882" t="s">
        <v>2360</v>
      </c>
      <c r="M10" s="2883"/>
      <c r="N10" s="2859"/>
      <c r="O10" s="2884"/>
      <c r="P10" s="2884"/>
      <c r="Q10" s="2885">
        <v>365</v>
      </c>
      <c r="R10" s="2886">
        <f t="shared" si="0"/>
        <v>0</v>
      </c>
      <c r="S10" s="2840"/>
      <c r="T10" s="2840"/>
      <c r="U10" s="2840"/>
      <c r="V10" s="2848"/>
    </row>
    <row r="11" spans="1:22" s="2852" customFormat="1" ht="13.15" customHeight="1">
      <c r="A11" s="2887">
        <v>3</v>
      </c>
      <c r="B11" s="3709" t="s">
        <v>2361</v>
      </c>
      <c r="C11" s="3710"/>
      <c r="D11" s="2888">
        <f>D12+D14+D15+D16</f>
        <v>0</v>
      </c>
      <c r="E11" s="2894" t="e">
        <f>D11/D6</f>
        <v>#DIV/0!</v>
      </c>
      <c r="F11" s="2890"/>
      <c r="G11" s="2891"/>
      <c r="H11" s="2847"/>
      <c r="I11" s="2848"/>
      <c r="J11" s="3705"/>
      <c r="K11" s="3707"/>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711" t="s">
        <v>2364</v>
      </c>
      <c r="C12" s="3712"/>
      <c r="D12" s="2896">
        <f>ROUND(D13*1.2%*(1-30%),0)</f>
        <v>0</v>
      </c>
      <c r="E12" s="2897">
        <v>1.2E-2</v>
      </c>
      <c r="F12" s="2890" t="s">
        <v>2365</v>
      </c>
      <c r="G12" s="2891"/>
      <c r="H12" s="2847"/>
      <c r="I12" s="2848"/>
      <c r="J12" s="3705"/>
      <c r="K12" s="3707"/>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705"/>
      <c r="K13" s="3707"/>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711" t="s">
        <v>2370</v>
      </c>
      <c r="C14" s="3712"/>
      <c r="D14" s="2896">
        <f>ROUND(E14*B5/10000,0)</f>
        <v>0</v>
      </c>
      <c r="E14" s="2885"/>
      <c r="F14" s="2890" t="s">
        <v>2371</v>
      </c>
      <c r="G14" s="2891"/>
      <c r="H14" s="2847"/>
      <c r="I14" s="2848"/>
      <c r="J14" s="3705"/>
      <c r="K14" s="3708"/>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711" t="s">
        <v>2374</v>
      </c>
      <c r="C15" s="3712"/>
      <c r="D15" s="2896">
        <f>ROUND(D6*E15,0)</f>
        <v>0</v>
      </c>
      <c r="E15" s="2897">
        <v>5.5E-2</v>
      </c>
      <c r="F15" s="2890" t="s">
        <v>2375</v>
      </c>
      <c r="G15" s="2872"/>
      <c r="H15" s="2847"/>
      <c r="I15" s="2848"/>
      <c r="J15" s="3705">
        <v>2</v>
      </c>
      <c r="K15" s="3706"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711" t="s">
        <v>2383</v>
      </c>
      <c r="C16" s="3712"/>
      <c r="D16" s="2907">
        <f>D6*E16</f>
        <v>0</v>
      </c>
      <c r="E16" s="2908"/>
      <c r="F16" s="2893" t="s">
        <v>2384</v>
      </c>
      <c r="G16" s="2872"/>
      <c r="H16" s="2847"/>
      <c r="I16" s="2848"/>
      <c r="J16" s="3705"/>
      <c r="K16" s="3707"/>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713" t="s">
        <v>2386</v>
      </c>
      <c r="C17" s="3714"/>
      <c r="D17" s="2910">
        <f>ROUND(D6*E17,0)</f>
        <v>0</v>
      </c>
      <c r="E17" s="2911"/>
      <c r="F17" s="2912" t="s">
        <v>2387</v>
      </c>
      <c r="G17" s="2872"/>
      <c r="H17" s="2847"/>
      <c r="I17" s="2848"/>
      <c r="J17" s="3705"/>
      <c r="K17" s="3707"/>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705"/>
      <c r="K18" s="3707"/>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705"/>
      <c r="K19" s="3708"/>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705"/>
      <c r="K21" s="3707"/>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705"/>
      <c r="K22" s="3707"/>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705"/>
      <c r="K23" s="3707"/>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705"/>
      <c r="K24" s="3708"/>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715">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71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98" t="s">
        <v>2319</v>
      </c>
      <c r="K32" s="3699"/>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700" t="s">
        <v>2329</v>
      </c>
      <c r="K33" s="3701"/>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700" t="s">
        <v>2331</v>
      </c>
      <c r="K34" s="3701"/>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705">
        <v>1</v>
      </c>
      <c r="K36" s="3706"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705"/>
      <c r="K40" s="3708"/>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715">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71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552.24919999999997</v>
      </c>
      <c r="C2" s="1871" t="s">
        <v>1651</v>
      </c>
      <c r="D2" s="1872" t="s">
        <v>1652</v>
      </c>
      <c r="E2" s="2606">
        <f>SUM(E6:E13)</f>
        <v>942.8</v>
      </c>
      <c r="F2" s="2706"/>
      <c r="G2" s="1488"/>
      <c r="H2" s="1488"/>
      <c r="I2" s="1488"/>
      <c r="J2" s="1488"/>
      <c r="K2" s="1488"/>
      <c r="L2" s="1488"/>
      <c r="M2" s="1488"/>
      <c r="N2" s="1488"/>
      <c r="O2" s="1488"/>
      <c r="P2" s="1488"/>
      <c r="Q2" s="1488"/>
      <c r="R2" s="1488"/>
      <c r="S2" s="1488"/>
    </row>
    <row r="3" spans="1:22" ht="15.75">
      <c r="A3" s="1869" t="s">
        <v>686</v>
      </c>
      <c r="B3" s="2600">
        <f ca="1">ROUND(B2*10000/E2,0)</f>
        <v>5858</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7" t="s">
        <v>1654</v>
      </c>
      <c r="C5" s="3718"/>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552.24919999999997</v>
      </c>
      <c r="C6" s="1871" t="s">
        <v>1651</v>
      </c>
      <c r="D6" s="2708"/>
      <c r="E6" s="2605">
        <f>IF(OR(A6=0,F6="否"),0,'数据-取费表'!K6+'数据-取费表'!S6)</f>
        <v>942.8</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942.8</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9" t="s">
        <v>1667</v>
      </c>
      <c r="D4" s="3670"/>
      <c r="E4" s="3671" t="s">
        <v>1668</v>
      </c>
      <c r="F4" s="3672"/>
      <c r="G4" s="3669" t="s">
        <v>1669</v>
      </c>
      <c r="H4" s="3670"/>
      <c r="I4" s="3669" t="s">
        <v>1670</v>
      </c>
      <c r="J4" s="3670"/>
      <c r="K4" s="1888" t="s">
        <v>1671</v>
      </c>
      <c r="L4" s="2714"/>
      <c r="M4" s="2715"/>
      <c r="N4" s="2715"/>
      <c r="O4" s="2715"/>
      <c r="P4" s="3673" t="s">
        <v>1672</v>
      </c>
      <c r="Q4" s="3674"/>
      <c r="R4" s="3655" t="s">
        <v>1668</v>
      </c>
      <c r="S4" s="3656"/>
      <c r="T4" s="3655" t="s">
        <v>1669</v>
      </c>
      <c r="U4" s="3656"/>
      <c r="V4" s="3681" t="s">
        <v>1670</v>
      </c>
      <c r="W4" s="3681"/>
      <c r="X4" s="1354"/>
      <c r="Y4" s="3655" t="s">
        <v>1672</v>
      </c>
      <c r="Z4" s="3656"/>
      <c r="AA4" s="3650" t="s">
        <v>1668</v>
      </c>
      <c r="AB4" s="3650" t="s">
        <v>1669</v>
      </c>
      <c r="AC4" s="3650" t="s">
        <v>1670</v>
      </c>
    </row>
    <row r="5" spans="1:29" ht="15">
      <c r="A5" s="358"/>
      <c r="B5" s="359"/>
      <c r="C5" s="3661" t="s">
        <v>1673</v>
      </c>
      <c r="D5" s="3662"/>
      <c r="E5" s="3719" t="s">
        <v>1674</v>
      </c>
      <c r="F5" s="3660"/>
      <c r="G5" s="3661" t="s">
        <v>1675</v>
      </c>
      <c r="H5" s="3662"/>
      <c r="I5" s="3661" t="s">
        <v>1676</v>
      </c>
      <c r="J5" s="3662"/>
      <c r="K5" s="188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188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3" t="s">
        <v>1680</v>
      </c>
      <c r="Q7" s="3682"/>
      <c r="R7" s="700" t="s">
        <v>20</v>
      </c>
      <c r="S7" s="701">
        <f t="shared" ref="S7:S15" si="0">F7</f>
        <v>0</v>
      </c>
      <c r="T7" s="700" t="s">
        <v>20</v>
      </c>
      <c r="U7" s="701">
        <f t="shared" ref="U7:U15" si="1">H7</f>
        <v>0</v>
      </c>
      <c r="V7" s="700" t="s">
        <v>20</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3" t="s">
        <v>1683</v>
      </c>
      <c r="Q8" s="3654"/>
      <c r="R8" s="700" t="s">
        <v>20</v>
      </c>
      <c r="S8" s="701">
        <f t="shared" si="0"/>
        <v>100</v>
      </c>
      <c r="T8" s="700" t="s">
        <v>20</v>
      </c>
      <c r="U8" s="701">
        <f t="shared" si="1"/>
        <v>100</v>
      </c>
      <c r="V8" s="700" t="s">
        <v>20</v>
      </c>
      <c r="W8" s="701">
        <f t="shared" si="2"/>
        <v>100</v>
      </c>
      <c r="X8" s="702"/>
      <c r="Y8" s="3653" t="s">
        <v>1683</v>
      </c>
      <c r="Z8" s="365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618"/>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618"/>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3"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4"/>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4"/>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4"/>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4"/>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4"/>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4"/>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4"/>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4"/>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4"/>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4"/>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4"/>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4"/>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4"/>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4"/>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4"/>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5" t="s">
        <v>1696</v>
      </c>
      <c r="Q32" s="1351" t="str">
        <f t="shared" si="11"/>
        <v>建筑类型</v>
      </c>
      <c r="R32" s="704" t="s">
        <v>18</v>
      </c>
      <c r="S32" s="705">
        <f t="shared" si="12"/>
        <v>100</v>
      </c>
      <c r="T32" s="704" t="s">
        <v>18</v>
      </c>
      <c r="U32" s="705">
        <f t="shared" si="13"/>
        <v>100</v>
      </c>
      <c r="V32" s="704" t="s">
        <v>18</v>
      </c>
      <c r="W32" s="705">
        <f t="shared" si="14"/>
        <v>100</v>
      </c>
      <c r="X32" s="1354"/>
      <c r="Y32" s="368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6"/>
      <c r="Q33" s="706" t="str">
        <f t="shared" si="11"/>
        <v>项目建筑规模</v>
      </c>
      <c r="R33" s="707" t="s">
        <v>18</v>
      </c>
      <c r="S33" s="708" t="e">
        <f t="shared" si="12"/>
        <v>#N/A</v>
      </c>
      <c r="T33" s="707" t="s">
        <v>18</v>
      </c>
      <c r="U33" s="708" t="e">
        <f t="shared" si="13"/>
        <v>#N/A</v>
      </c>
      <c r="V33" s="707" t="s">
        <v>18</v>
      </c>
      <c r="W33" s="708" t="e">
        <f t="shared" si="14"/>
        <v>#N/A</v>
      </c>
      <c r="X33" s="709"/>
      <c r="Y33" s="368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6"/>
      <c r="Q34" s="1351" t="str">
        <f t="shared" si="11"/>
        <v>建筑结构</v>
      </c>
      <c r="R34" s="704" t="s">
        <v>18</v>
      </c>
      <c r="S34" s="705">
        <f t="shared" si="12"/>
        <v>100</v>
      </c>
      <c r="T34" s="704" t="s">
        <v>18</v>
      </c>
      <c r="U34" s="705">
        <f t="shared" si="13"/>
        <v>100</v>
      </c>
      <c r="V34" s="704" t="s">
        <v>18</v>
      </c>
      <c r="W34" s="705">
        <f t="shared" si="14"/>
        <v>100</v>
      </c>
      <c r="X34" s="1354"/>
      <c r="Y34" s="368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6"/>
      <c r="Q35" s="1351" t="str">
        <f t="shared" si="11"/>
        <v>建筑品质</v>
      </c>
      <c r="R35" s="704" t="s">
        <v>18</v>
      </c>
      <c r="S35" s="705">
        <f t="shared" si="12"/>
        <v>100</v>
      </c>
      <c r="T35" s="704" t="s">
        <v>18</v>
      </c>
      <c r="U35" s="705">
        <f t="shared" si="13"/>
        <v>100</v>
      </c>
      <c r="V35" s="704" t="s">
        <v>18</v>
      </c>
      <c r="W35" s="705">
        <f t="shared" si="14"/>
        <v>100</v>
      </c>
      <c r="X35" s="1354"/>
      <c r="Y35" s="368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6"/>
      <c r="Q36" s="1351" t="str">
        <f t="shared" si="11"/>
        <v>公共部分装修</v>
      </c>
      <c r="R36" s="704" t="s">
        <v>18</v>
      </c>
      <c r="S36" s="705">
        <f t="shared" si="12"/>
        <v>100</v>
      </c>
      <c r="T36" s="704" t="s">
        <v>18</v>
      </c>
      <c r="U36" s="705">
        <f t="shared" si="13"/>
        <v>100</v>
      </c>
      <c r="V36" s="704" t="s">
        <v>18</v>
      </c>
      <c r="W36" s="705">
        <f t="shared" si="14"/>
        <v>100</v>
      </c>
      <c r="X36" s="1354"/>
      <c r="Y36" s="368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6"/>
      <c r="Q37" s="1342" t="str">
        <f t="shared" si="11"/>
        <v>成新度</v>
      </c>
      <c r="R37" s="700" t="s">
        <v>18</v>
      </c>
      <c r="S37" s="701" t="e">
        <f t="shared" si="12"/>
        <v>#N/A</v>
      </c>
      <c r="T37" s="700" t="s">
        <v>18</v>
      </c>
      <c r="U37" s="701" t="e">
        <f t="shared" si="13"/>
        <v>#N/A</v>
      </c>
      <c r="V37" s="700" t="s">
        <v>18</v>
      </c>
      <c r="W37" s="701" t="e">
        <f t="shared" si="14"/>
        <v>#N/A</v>
      </c>
      <c r="X37" s="702"/>
      <c r="Y37" s="368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6" t="s">
        <v>1696</v>
      </c>
      <c r="Q38" s="1351" t="str">
        <f t="shared" si="11"/>
        <v>物业管理</v>
      </c>
      <c r="R38" s="704" t="s">
        <v>18</v>
      </c>
      <c r="S38" s="705">
        <f t="shared" si="12"/>
        <v>100</v>
      </c>
      <c r="T38" s="704" t="s">
        <v>18</v>
      </c>
      <c r="U38" s="705">
        <f t="shared" si="13"/>
        <v>100</v>
      </c>
      <c r="V38" s="704" t="s">
        <v>18</v>
      </c>
      <c r="W38" s="705">
        <f t="shared" si="14"/>
        <v>100</v>
      </c>
      <c r="X38" s="1354"/>
      <c r="Y38" s="368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6"/>
      <c r="Q39" s="1351" t="str">
        <f t="shared" si="11"/>
        <v>市政基础设施</v>
      </c>
      <c r="R39" s="704" t="s">
        <v>18</v>
      </c>
      <c r="S39" s="705">
        <f t="shared" si="12"/>
        <v>100</v>
      </c>
      <c r="T39" s="704" t="s">
        <v>18</v>
      </c>
      <c r="U39" s="705">
        <f t="shared" si="13"/>
        <v>100</v>
      </c>
      <c r="V39" s="704" t="s">
        <v>18</v>
      </c>
      <c r="W39" s="705">
        <f t="shared" si="14"/>
        <v>100</v>
      </c>
      <c r="X39" s="1354"/>
      <c r="Y39" s="368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6"/>
      <c r="Q40" s="1351" t="str">
        <f t="shared" si="11"/>
        <v>房型</v>
      </c>
      <c r="R40" s="704" t="s">
        <v>18</v>
      </c>
      <c r="S40" s="705">
        <f t="shared" si="12"/>
        <v>100</v>
      </c>
      <c r="T40" s="704" t="s">
        <v>18</v>
      </c>
      <c r="U40" s="705">
        <f t="shared" si="13"/>
        <v>100</v>
      </c>
      <c r="V40" s="704" t="s">
        <v>18</v>
      </c>
      <c r="W40" s="705">
        <f t="shared" si="14"/>
        <v>100</v>
      </c>
      <c r="X40" s="1354"/>
      <c r="Y40" s="3686"/>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6"/>
      <c r="Q41" s="706" t="str">
        <f t="shared" si="11"/>
        <v>单套/主力户型建筑面积</v>
      </c>
      <c r="R41" s="707" t="s">
        <v>18</v>
      </c>
      <c r="S41" s="708">
        <f t="shared" si="12"/>
        <v>100</v>
      </c>
      <c r="T41" s="707" t="s">
        <v>18</v>
      </c>
      <c r="U41" s="708">
        <f t="shared" si="13"/>
        <v>100</v>
      </c>
      <c r="V41" s="707" t="s">
        <v>18</v>
      </c>
      <c r="W41" s="708">
        <f t="shared" si="14"/>
        <v>100</v>
      </c>
      <c r="X41" s="709"/>
      <c r="Y41" s="368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6"/>
      <c r="Q42" s="1351" t="str">
        <f t="shared" si="11"/>
        <v>内部装修</v>
      </c>
      <c r="R42" s="704" t="s">
        <v>18</v>
      </c>
      <c r="S42" s="705">
        <f t="shared" si="12"/>
        <v>100</v>
      </c>
      <c r="T42" s="704" t="s">
        <v>18</v>
      </c>
      <c r="U42" s="705">
        <f t="shared" si="13"/>
        <v>100</v>
      </c>
      <c r="V42" s="704" t="s">
        <v>18</v>
      </c>
      <c r="W42" s="705">
        <f t="shared" si="14"/>
        <v>100</v>
      </c>
      <c r="X42" s="1354"/>
      <c r="Y42" s="3686"/>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6"/>
      <c r="Q43" s="1351" t="str">
        <f t="shared" si="11"/>
        <v>内部装修维护情况</v>
      </c>
      <c r="R43" s="704" t="s">
        <v>18</v>
      </c>
      <c r="S43" s="705">
        <f t="shared" si="12"/>
        <v>100</v>
      </c>
      <c r="T43" s="704" t="s">
        <v>18</v>
      </c>
      <c r="U43" s="705">
        <f t="shared" si="13"/>
        <v>100</v>
      </c>
      <c r="V43" s="704" t="s">
        <v>18</v>
      </c>
      <c r="W43" s="705">
        <f t="shared" si="14"/>
        <v>100</v>
      </c>
      <c r="X43" s="1354"/>
      <c r="Y43" s="368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6"/>
      <c r="Q44" s="1342">
        <f t="shared" si="11"/>
        <v>111</v>
      </c>
      <c r="R44" s="700" t="s">
        <v>18</v>
      </c>
      <c r="S44" s="701">
        <f t="shared" si="12"/>
        <v>100</v>
      </c>
      <c r="T44" s="700" t="s">
        <v>18</v>
      </c>
      <c r="U44" s="701">
        <f t="shared" si="13"/>
        <v>100</v>
      </c>
      <c r="V44" s="700" t="s">
        <v>18</v>
      </c>
      <c r="W44" s="701">
        <f t="shared" si="14"/>
        <v>100</v>
      </c>
      <c r="X44" s="702"/>
      <c r="Y44" s="368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6"/>
      <c r="Q45" s="1351">
        <f t="shared" si="11"/>
        <v>111</v>
      </c>
      <c r="R45" s="704" t="s">
        <v>18</v>
      </c>
      <c r="S45" s="705">
        <f t="shared" si="12"/>
        <v>100</v>
      </c>
      <c r="T45" s="704" t="s">
        <v>18</v>
      </c>
      <c r="U45" s="705">
        <f t="shared" si="13"/>
        <v>100</v>
      </c>
      <c r="V45" s="704" t="s">
        <v>18</v>
      </c>
      <c r="W45" s="705">
        <f t="shared" si="14"/>
        <v>100</v>
      </c>
      <c r="X45" s="1354"/>
      <c r="Y45" s="3686"/>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7"/>
      <c r="Q46" s="1351">
        <f t="shared" si="11"/>
        <v>111</v>
      </c>
      <c r="R46" s="704" t="s">
        <v>17</v>
      </c>
      <c r="S46" s="705">
        <f t="shared" si="12"/>
        <v>100</v>
      </c>
      <c r="T46" s="704" t="s">
        <v>17</v>
      </c>
      <c r="U46" s="705">
        <f t="shared" si="13"/>
        <v>100</v>
      </c>
      <c r="V46" s="704" t="s">
        <v>17</v>
      </c>
      <c r="W46" s="705">
        <f t="shared" si="14"/>
        <v>100</v>
      </c>
      <c r="X46" s="1354"/>
      <c r="Y46" s="3687"/>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8" t="str">
        <f>A47</f>
        <v>成交单价（元/平方米）</v>
      </c>
      <c r="Q47" s="3668"/>
      <c r="R47" s="3688">
        <f>E47</f>
        <v>0</v>
      </c>
      <c r="S47" s="3688"/>
      <c r="T47" s="3688">
        <f>G47</f>
        <v>0</v>
      </c>
      <c r="U47" s="3688"/>
      <c r="V47" s="3688">
        <f>I47</f>
        <v>0</v>
      </c>
      <c r="W47" s="368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8" t="str">
        <f>A48</f>
        <v>比较价值（元/平方米）</v>
      </c>
      <c r="Q48" s="3668"/>
      <c r="R48" s="3688" t="e">
        <f>IF(F1="售价",ROUND(PRODUCT(R47,AA7:AA46),0),ROUND(PRODUCT(R47,AA7:AA46),1))</f>
        <v>#DIV/0!</v>
      </c>
      <c r="S48" s="3688"/>
      <c r="T48" s="3688" t="e">
        <f>IF(F1="售价",ROUND(PRODUCT(T47,AB7:AB46),0),ROUND(PRODUCT(T47,AB7:AB46),1))</f>
        <v>#DIV/0!</v>
      </c>
      <c r="U48" s="3688"/>
      <c r="V48" s="3688" t="e">
        <f>IF(F1="售价",ROUND(PRODUCT(V47,AC7:AC46),0),ROUND(PRODUCT(V47,AC7:AC46),1))</f>
        <v>#DIV/0!</v>
      </c>
      <c r="W48" s="368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89" t="str">
        <f>A49</f>
        <v>估价对象XX用房的比较价值（楼面单价，元/平方米）</v>
      </c>
      <c r="Q49" s="3690"/>
      <c r="R49" s="3691" t="e">
        <f>IF(F1="售价",ROUND(IF(D48="简单平均",AVERAGE(R48:V48),R48*F48+T48*H48+V48*J48),0),ROUND(IF(D48="简单平均",AVERAGE(R48:V48),R48*F48+T48*H48+V48*J48),1))</f>
        <v>#DIV/0!</v>
      </c>
      <c r="S49" s="3691"/>
      <c r="T49" s="3691"/>
      <c r="U49" s="3691"/>
      <c r="V49" s="3691"/>
      <c r="W49" s="3691"/>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估价对象为北京市房地产，为所有。根据《国有土地使用证》[]，估价对象（分摊）出让国有建设用地使用权面积为0平方米，建筑面积为942.8平方米。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估价对象为北京市房地产,属开发建设的商业项目，该项目尚在开发建设中。根据《国有土地使用证》[]，估价对象（分摊）出让国有建设用地使用权面积为0平方米，规划建筑面积为942.8平方米。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2024年11月13日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942.8</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726" t="s">
        <v>1775</v>
      </c>
      <c r="Q4" s="3727"/>
      <c r="R4" s="3721" t="s">
        <v>1771</v>
      </c>
      <c r="S4" s="3722"/>
      <c r="T4" s="3721" t="s">
        <v>1772</v>
      </c>
      <c r="U4" s="3722"/>
      <c r="V4" s="3730" t="s">
        <v>1773</v>
      </c>
      <c r="W4" s="3730"/>
      <c r="X4" s="1957"/>
      <c r="Y4" s="3721" t="s">
        <v>1775</v>
      </c>
      <c r="Z4" s="3722"/>
      <c r="AA4" s="3720" t="s">
        <v>1771</v>
      </c>
      <c r="AB4" s="3720" t="s">
        <v>1772</v>
      </c>
      <c r="AC4" s="3723" t="s">
        <v>1773</v>
      </c>
    </row>
    <row r="5" spans="1:29" ht="15">
      <c r="A5" s="358"/>
      <c r="B5" s="359"/>
      <c r="C5" s="3661" t="s">
        <v>1673</v>
      </c>
      <c r="D5" s="3662"/>
      <c r="E5" s="3719" t="s">
        <v>1674</v>
      </c>
      <c r="F5" s="3660"/>
      <c r="G5" s="3661" t="s">
        <v>1675</v>
      </c>
      <c r="H5" s="3662"/>
      <c r="I5" s="3661" t="s">
        <v>1676</v>
      </c>
      <c r="J5" s="3662"/>
      <c r="K5" s="559"/>
      <c r="L5" s="2714"/>
      <c r="M5" s="2715"/>
      <c r="N5" s="2715"/>
      <c r="O5" s="2715"/>
      <c r="P5" s="3728"/>
      <c r="Q5" s="3676"/>
      <c r="R5" s="3657"/>
      <c r="S5" s="3658"/>
      <c r="T5" s="3657"/>
      <c r="U5" s="3658"/>
      <c r="V5" s="3681"/>
      <c r="W5" s="3681"/>
      <c r="X5" s="1354"/>
      <c r="Y5" s="3657"/>
      <c r="Z5" s="3658"/>
      <c r="AA5" s="3651"/>
      <c r="AB5" s="3651"/>
      <c r="AC5" s="3724"/>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729"/>
      <c r="Q6" s="3678"/>
      <c r="R6" s="3657"/>
      <c r="S6" s="3658"/>
      <c r="T6" s="3679"/>
      <c r="U6" s="3680"/>
      <c r="V6" s="3681"/>
      <c r="W6" s="3681"/>
      <c r="X6" s="1354"/>
      <c r="Y6" s="3679"/>
      <c r="Z6" s="3680"/>
      <c r="AA6" s="3652"/>
      <c r="AB6" s="3652"/>
      <c r="AC6" s="3725"/>
    </row>
    <row r="7" spans="1:29" s="108" customFormat="1" ht="15.75" thickBot="1">
      <c r="A7" s="362" t="s">
        <v>1679</v>
      </c>
      <c r="B7" s="363"/>
      <c r="C7" s="364">
        <f>'数据-取费表'!B2</f>
        <v>45609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1"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1" t="s">
        <v>1683</v>
      </c>
      <c r="Q8" s="3654"/>
      <c r="R8" s="700" t="s">
        <v>14</v>
      </c>
      <c r="S8" s="701">
        <f t="shared" si="0"/>
        <v>100</v>
      </c>
      <c r="T8" s="700" t="s">
        <v>14</v>
      </c>
      <c r="U8" s="701">
        <f t="shared" si="1"/>
        <v>100</v>
      </c>
      <c r="V8" s="700" t="s">
        <v>14</v>
      </c>
      <c r="W8" s="701">
        <f t="shared" si="2"/>
        <v>100</v>
      </c>
      <c r="X8" s="702"/>
      <c r="Y8" s="3653" t="s">
        <v>1683</v>
      </c>
      <c r="Z8" s="365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618"/>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3"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94"/>
      <c r="Q16" s="1351"/>
      <c r="R16" s="704"/>
      <c r="S16" s="705"/>
      <c r="T16" s="704"/>
      <c r="U16" s="705"/>
      <c r="V16" s="704"/>
      <c r="W16" s="705"/>
      <c r="X16" s="1354"/>
      <c r="Y16" s="3684"/>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94"/>
      <c r="Q18" s="1351"/>
      <c r="R18" s="704"/>
      <c r="S18" s="705"/>
      <c r="T18" s="704"/>
      <c r="U18" s="705"/>
      <c r="V18" s="704"/>
      <c r="W18" s="705"/>
      <c r="X18" s="1354"/>
      <c r="Y18" s="3684"/>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94"/>
      <c r="Q20" s="1351"/>
      <c r="R20" s="704"/>
      <c r="S20" s="705"/>
      <c r="T20" s="704"/>
      <c r="U20" s="705"/>
      <c r="V20" s="704"/>
      <c r="W20" s="705"/>
      <c r="X20" s="1354"/>
      <c r="Y20" s="3684"/>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94"/>
      <c r="Q22" s="1351"/>
      <c r="R22" s="704"/>
      <c r="S22" s="705"/>
      <c r="T22" s="704"/>
      <c r="U22" s="705"/>
      <c r="V22" s="704"/>
      <c r="W22" s="705"/>
      <c r="X22" s="1354"/>
      <c r="Y22" s="3684"/>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94"/>
      <c r="Q24" s="1351"/>
      <c r="R24" s="704"/>
      <c r="S24" s="705"/>
      <c r="T24" s="704"/>
      <c r="U24" s="705"/>
      <c r="V24" s="704"/>
      <c r="W24" s="705"/>
      <c r="X24" s="1354"/>
      <c r="Y24" s="3684"/>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4"/>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94"/>
      <c r="Q26" s="1351"/>
      <c r="R26" s="704"/>
      <c r="S26" s="705"/>
      <c r="T26" s="704"/>
      <c r="U26" s="705"/>
      <c r="V26" s="704"/>
      <c r="W26" s="705"/>
      <c r="X26" s="1354"/>
      <c r="Y26" s="3684"/>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94"/>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4"/>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4"/>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4"/>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4"/>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4"/>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95" t="s">
        <v>1696</v>
      </c>
      <c r="Q33" s="1351" t="str">
        <f t="shared" si="11"/>
        <v>建筑类型</v>
      </c>
      <c r="R33" s="704" t="s">
        <v>14</v>
      </c>
      <c r="S33" s="705">
        <f t="shared" si="12"/>
        <v>100</v>
      </c>
      <c r="T33" s="704" t="s">
        <v>14</v>
      </c>
      <c r="U33" s="705">
        <f t="shared" si="13"/>
        <v>100</v>
      </c>
      <c r="V33" s="704" t="s">
        <v>14</v>
      </c>
      <c r="W33" s="705">
        <f t="shared" si="14"/>
        <v>100</v>
      </c>
      <c r="X33" s="1354"/>
      <c r="Y33" s="3686"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6"/>
      <c r="Q34" s="706" t="str">
        <f t="shared" si="11"/>
        <v>项目建筑规模</v>
      </c>
      <c r="R34" s="707" t="s">
        <v>14</v>
      </c>
      <c r="S34" s="708" t="e">
        <f t="shared" si="12"/>
        <v>#N/A</v>
      </c>
      <c r="T34" s="707" t="s">
        <v>14</v>
      </c>
      <c r="U34" s="708" t="e">
        <f t="shared" si="13"/>
        <v>#N/A</v>
      </c>
      <c r="V34" s="707" t="s">
        <v>14</v>
      </c>
      <c r="W34" s="708" t="e">
        <f t="shared" si="14"/>
        <v>#N/A</v>
      </c>
      <c r="X34" s="709"/>
      <c r="Y34" s="3686"/>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6"/>
      <c r="Q35" s="1351" t="str">
        <f t="shared" si="11"/>
        <v>建筑结构</v>
      </c>
      <c r="R35" s="704" t="s">
        <v>14</v>
      </c>
      <c r="S35" s="705">
        <f t="shared" si="12"/>
        <v>100</v>
      </c>
      <c r="T35" s="704" t="s">
        <v>14</v>
      </c>
      <c r="U35" s="705">
        <f t="shared" si="13"/>
        <v>100</v>
      </c>
      <c r="V35" s="704" t="s">
        <v>14</v>
      </c>
      <c r="W35" s="705">
        <f t="shared" si="14"/>
        <v>100</v>
      </c>
      <c r="X35" s="1354"/>
      <c r="Y35" s="368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6"/>
      <c r="Q36" s="1351" t="str">
        <f t="shared" si="11"/>
        <v>公共部分装修</v>
      </c>
      <c r="R36" s="704" t="s">
        <v>14</v>
      </c>
      <c r="S36" s="705">
        <f t="shared" si="12"/>
        <v>100</v>
      </c>
      <c r="T36" s="704" t="s">
        <v>14</v>
      </c>
      <c r="U36" s="705">
        <f t="shared" si="13"/>
        <v>100</v>
      </c>
      <c r="V36" s="704" t="s">
        <v>14</v>
      </c>
      <c r="W36" s="705">
        <f t="shared" si="14"/>
        <v>100</v>
      </c>
      <c r="X36" s="1354"/>
      <c r="Y36" s="3686"/>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6"/>
      <c r="Q37" s="1351" t="str">
        <f t="shared" si="11"/>
        <v>成新度</v>
      </c>
      <c r="R37" s="704" t="s">
        <v>14</v>
      </c>
      <c r="S37" s="705" t="e">
        <f t="shared" si="12"/>
        <v>#N/A</v>
      </c>
      <c r="T37" s="704" t="s">
        <v>14</v>
      </c>
      <c r="U37" s="705" t="e">
        <f t="shared" si="13"/>
        <v>#N/A</v>
      </c>
      <c r="V37" s="704" t="s">
        <v>14</v>
      </c>
      <c r="W37" s="705" t="e">
        <f t="shared" si="14"/>
        <v>#N/A</v>
      </c>
      <c r="X37" s="1354"/>
      <c r="Y37" s="3686"/>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6"/>
      <c r="Q38" s="1342" t="str">
        <f t="shared" si="11"/>
        <v>写字楼等级</v>
      </c>
      <c r="R38" s="700" t="s">
        <v>14</v>
      </c>
      <c r="S38" s="701">
        <f t="shared" si="12"/>
        <v>100</v>
      </c>
      <c r="T38" s="700" t="s">
        <v>14</v>
      </c>
      <c r="U38" s="701">
        <f t="shared" si="13"/>
        <v>100</v>
      </c>
      <c r="V38" s="700" t="s">
        <v>14</v>
      </c>
      <c r="W38" s="701">
        <f t="shared" si="14"/>
        <v>100</v>
      </c>
      <c r="X38" s="702"/>
      <c r="Y38" s="368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6" t="s">
        <v>1696</v>
      </c>
      <c r="Q39" s="1351" t="str">
        <f t="shared" si="11"/>
        <v>物业管理</v>
      </c>
      <c r="R39" s="704" t="s">
        <v>14</v>
      </c>
      <c r="S39" s="705">
        <f t="shared" si="12"/>
        <v>100</v>
      </c>
      <c r="T39" s="704" t="s">
        <v>14</v>
      </c>
      <c r="U39" s="705">
        <f t="shared" si="13"/>
        <v>100</v>
      </c>
      <c r="V39" s="704" t="s">
        <v>14</v>
      </c>
      <c r="W39" s="705">
        <f t="shared" si="14"/>
        <v>100</v>
      </c>
      <c r="X39" s="1354"/>
      <c r="Y39" s="368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6"/>
      <c r="Q40" s="1351" t="str">
        <f t="shared" si="11"/>
        <v>市政基础设施</v>
      </c>
      <c r="R40" s="704" t="s">
        <v>14</v>
      </c>
      <c r="S40" s="705">
        <f t="shared" si="12"/>
        <v>100</v>
      </c>
      <c r="T40" s="704" t="s">
        <v>14</v>
      </c>
      <c r="U40" s="705">
        <f t="shared" si="13"/>
        <v>100</v>
      </c>
      <c r="V40" s="704" t="s">
        <v>14</v>
      </c>
      <c r="W40" s="705">
        <f t="shared" si="14"/>
        <v>100</v>
      </c>
      <c r="X40" s="1354"/>
      <c r="Y40" s="368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6"/>
      <c r="Q41" s="1351" t="str">
        <f t="shared" si="11"/>
        <v>层高</v>
      </c>
      <c r="R41" s="704" t="s">
        <v>14</v>
      </c>
      <c r="S41" s="705">
        <f t="shared" si="12"/>
        <v>100</v>
      </c>
      <c r="T41" s="704" t="s">
        <v>14</v>
      </c>
      <c r="U41" s="705">
        <f t="shared" si="13"/>
        <v>100</v>
      </c>
      <c r="V41" s="704" t="s">
        <v>14</v>
      </c>
      <c r="W41" s="705">
        <f t="shared" si="14"/>
        <v>100</v>
      </c>
      <c r="X41" s="1354"/>
      <c r="Y41" s="368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6"/>
      <c r="Q42" s="706" t="str">
        <f t="shared" si="11"/>
        <v>单套建筑面积</v>
      </c>
      <c r="R42" s="707" t="s">
        <v>14</v>
      </c>
      <c r="S42" s="708">
        <f t="shared" si="12"/>
        <v>100</v>
      </c>
      <c r="T42" s="707" t="s">
        <v>14</v>
      </c>
      <c r="U42" s="708">
        <f t="shared" si="13"/>
        <v>100</v>
      </c>
      <c r="V42" s="707" t="s">
        <v>14</v>
      </c>
      <c r="W42" s="708">
        <f t="shared" si="14"/>
        <v>100</v>
      </c>
      <c r="X42" s="709"/>
      <c r="Y42" s="3686"/>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6"/>
      <c r="Q43" s="1351" t="str">
        <f t="shared" si="11"/>
        <v>内部装修</v>
      </c>
      <c r="R43" s="704" t="s">
        <v>14</v>
      </c>
      <c r="S43" s="705">
        <f t="shared" si="12"/>
        <v>100</v>
      </c>
      <c r="T43" s="704" t="s">
        <v>14</v>
      </c>
      <c r="U43" s="705">
        <f t="shared" si="13"/>
        <v>100</v>
      </c>
      <c r="V43" s="704" t="s">
        <v>14</v>
      </c>
      <c r="W43" s="705">
        <f t="shared" si="14"/>
        <v>100</v>
      </c>
      <c r="X43" s="1354"/>
      <c r="Y43" s="3686"/>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96"/>
      <c r="Q44" s="1351" t="str">
        <f t="shared" si="11"/>
        <v>内部装修维护情况</v>
      </c>
      <c r="R44" s="704" t="s">
        <v>14</v>
      </c>
      <c r="S44" s="705">
        <f t="shared" si="12"/>
        <v>100</v>
      </c>
      <c r="T44" s="704" t="s">
        <v>14</v>
      </c>
      <c r="U44" s="705">
        <f t="shared" si="13"/>
        <v>100</v>
      </c>
      <c r="V44" s="704" t="s">
        <v>14</v>
      </c>
      <c r="W44" s="705">
        <f t="shared" si="14"/>
        <v>100</v>
      </c>
      <c r="X44" s="1354"/>
      <c r="Y44" s="368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6"/>
      <c r="Q45" s="1342">
        <f t="shared" si="11"/>
        <v>111</v>
      </c>
      <c r="R45" s="700" t="s">
        <v>14</v>
      </c>
      <c r="S45" s="701">
        <f t="shared" si="12"/>
        <v>100</v>
      </c>
      <c r="T45" s="700" t="s">
        <v>14</v>
      </c>
      <c r="U45" s="701">
        <f t="shared" si="13"/>
        <v>100</v>
      </c>
      <c r="V45" s="700" t="s">
        <v>14</v>
      </c>
      <c r="W45" s="701">
        <f t="shared" si="14"/>
        <v>100</v>
      </c>
      <c r="X45" s="702"/>
      <c r="Y45" s="368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6"/>
      <c r="Q46" s="1351">
        <f t="shared" si="11"/>
        <v>111</v>
      </c>
      <c r="R46" s="704" t="s">
        <v>14</v>
      </c>
      <c r="S46" s="705">
        <f t="shared" si="12"/>
        <v>100</v>
      </c>
      <c r="T46" s="704" t="s">
        <v>14</v>
      </c>
      <c r="U46" s="705">
        <f t="shared" si="13"/>
        <v>100</v>
      </c>
      <c r="V46" s="704" t="s">
        <v>14</v>
      </c>
      <c r="W46" s="705">
        <f t="shared" si="14"/>
        <v>100</v>
      </c>
      <c r="X46" s="1354"/>
      <c r="Y46" s="3686"/>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7"/>
      <c r="Q47" s="1351">
        <f t="shared" si="11"/>
        <v>111</v>
      </c>
      <c r="R47" s="704" t="s">
        <v>14</v>
      </c>
      <c r="S47" s="705">
        <f t="shared" si="12"/>
        <v>100</v>
      </c>
      <c r="T47" s="704" t="s">
        <v>14</v>
      </c>
      <c r="U47" s="705">
        <f t="shared" si="13"/>
        <v>100</v>
      </c>
      <c r="V47" s="704" t="s">
        <v>14</v>
      </c>
      <c r="W47" s="705">
        <f t="shared" si="14"/>
        <v>100</v>
      </c>
      <c r="X47" s="1354"/>
      <c r="Y47" s="3687"/>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68"/>
      <c r="R48" s="3688">
        <f>E48</f>
        <v>0</v>
      </c>
      <c r="S48" s="3688"/>
      <c r="T48" s="3688">
        <f>G48</f>
        <v>0</v>
      </c>
      <c r="U48" s="3688"/>
      <c r="V48" s="3688">
        <f>I48</f>
        <v>0</v>
      </c>
      <c r="W48" s="368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68"/>
      <c r="R49" s="3688" t="e">
        <f>IF(F1="售价",ROUND(PRODUCT(R48,AA7:AA47),0),ROUND(PRODUCT(R48,AA7:AA47),1))</f>
        <v>#DIV/0!</v>
      </c>
      <c r="S49" s="3688"/>
      <c r="T49" s="3688" t="e">
        <f>IF(F1="售价",ROUND(PRODUCT(T48,AB7:AB47),0),ROUND(PRODUCT(T48,AB7:AB47),1))</f>
        <v>#DIV/0!</v>
      </c>
      <c r="U49" s="3688"/>
      <c r="V49" s="3688" t="e">
        <f>IF(F1="售价",ROUND(PRODUCT(V48,AC7:AC47),0),ROUND(PRODUCT(V48,AC7:AC47),1))</f>
        <v>#DIV/0!</v>
      </c>
      <c r="W49" s="368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3334</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8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6"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86"/>
      <c r="Q27" s="706" t="str">
        <f t="shared" si="11"/>
        <v>项目停车位配比</v>
      </c>
      <c r="R27" s="707" t="s">
        <v>14</v>
      </c>
      <c r="S27" s="708">
        <f t="shared" si="12"/>
        <v>100</v>
      </c>
      <c r="T27" s="707" t="s">
        <v>14</v>
      </c>
      <c r="U27" s="708">
        <f t="shared" si="13"/>
        <v>100</v>
      </c>
      <c r="V27" s="707" t="s">
        <v>14</v>
      </c>
      <c r="W27" s="708">
        <f t="shared" si="14"/>
        <v>100</v>
      </c>
      <c r="X27" s="709"/>
      <c r="Y27" s="3686"/>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1" t="str">
        <f t="shared" si="11"/>
        <v>公共部分装修</v>
      </c>
      <c r="R28" s="704" t="s">
        <v>14</v>
      </c>
      <c r="S28" s="705">
        <f t="shared" si="12"/>
        <v>100</v>
      </c>
      <c r="T28" s="704" t="s">
        <v>14</v>
      </c>
      <c r="U28" s="705">
        <f t="shared" si="13"/>
        <v>100</v>
      </c>
      <c r="V28" s="704" t="s">
        <v>14</v>
      </c>
      <c r="W28" s="705">
        <f t="shared" si="14"/>
        <v>100</v>
      </c>
      <c r="X28" s="1354"/>
      <c r="Y28" s="3686"/>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1" t="str">
        <f t="shared" si="11"/>
        <v>成新率</v>
      </c>
      <c r="R29" s="704" t="s">
        <v>14</v>
      </c>
      <c r="S29" s="705" t="e">
        <f t="shared" si="12"/>
        <v>#N/A</v>
      </c>
      <c r="T29" s="704" t="s">
        <v>14</v>
      </c>
      <c r="U29" s="705" t="e">
        <f t="shared" si="13"/>
        <v>#N/A</v>
      </c>
      <c r="V29" s="704" t="s">
        <v>14</v>
      </c>
      <c r="W29" s="705" t="e">
        <f t="shared" si="14"/>
        <v>#N/A</v>
      </c>
      <c r="X29" s="1354"/>
      <c r="Y29" s="3686"/>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86"/>
      <c r="Q30" s="1351" t="str">
        <f t="shared" si="11"/>
        <v>物业等级</v>
      </c>
      <c r="R30" s="704" t="s">
        <v>14</v>
      </c>
      <c r="S30" s="705">
        <f t="shared" si="12"/>
        <v>100</v>
      </c>
      <c r="T30" s="704" t="s">
        <v>14</v>
      </c>
      <c r="U30" s="705">
        <f t="shared" si="13"/>
        <v>100</v>
      </c>
      <c r="V30" s="704" t="s">
        <v>14</v>
      </c>
      <c r="W30" s="705">
        <f t="shared" si="14"/>
        <v>100</v>
      </c>
      <c r="X30" s="1354"/>
      <c r="Y30" s="3686"/>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2" t="str">
        <f t="shared" si="11"/>
        <v>停车位面积</v>
      </c>
      <c r="R31" s="700" t="s">
        <v>14</v>
      </c>
      <c r="S31" s="701" t="e">
        <f t="shared" si="12"/>
        <v>#N/A</v>
      </c>
      <c r="T31" s="700" t="s">
        <v>14</v>
      </c>
      <c r="U31" s="701" t="e">
        <f t="shared" si="13"/>
        <v>#N/A</v>
      </c>
      <c r="V31" s="700" t="s">
        <v>14</v>
      </c>
      <c r="W31" s="701" t="e">
        <f t="shared" si="14"/>
        <v>#N/A</v>
      </c>
      <c r="X31" s="702"/>
      <c r="Y31" s="3686"/>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1" t="str">
        <f t="shared" si="11"/>
        <v>车位类型</v>
      </c>
      <c r="R32" s="704" t="s">
        <v>14</v>
      </c>
      <c r="S32" s="705">
        <f t="shared" si="12"/>
        <v>100</v>
      </c>
      <c r="T32" s="704" t="s">
        <v>14</v>
      </c>
      <c r="U32" s="705">
        <f t="shared" si="13"/>
        <v>100</v>
      </c>
      <c r="V32" s="704" t="s">
        <v>14</v>
      </c>
      <c r="W32" s="705">
        <f t="shared" si="14"/>
        <v>100</v>
      </c>
      <c r="X32" s="1354"/>
      <c r="Y32" s="3686"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1" t="str">
        <f t="shared" si="11"/>
        <v>是否直接入户</v>
      </c>
      <c r="R33" s="704" t="s">
        <v>14</v>
      </c>
      <c r="S33" s="705">
        <f t="shared" si="12"/>
        <v>100</v>
      </c>
      <c r="T33" s="704" t="s">
        <v>14</v>
      </c>
      <c r="U33" s="705">
        <f t="shared" si="13"/>
        <v>100</v>
      </c>
      <c r="V33" s="704" t="s">
        <v>14</v>
      </c>
      <c r="W33" s="705">
        <f t="shared" si="14"/>
        <v>100</v>
      </c>
      <c r="X33" s="1354"/>
      <c r="Y33" s="3686"/>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6">
        <f t="shared" si="11"/>
        <v>111</v>
      </c>
      <c r="R35" s="707" t="s">
        <v>14</v>
      </c>
      <c r="S35" s="708">
        <f t="shared" si="12"/>
        <v>100</v>
      </c>
      <c r="T35" s="707" t="s">
        <v>14</v>
      </c>
      <c r="U35" s="708">
        <f t="shared" si="13"/>
        <v>100</v>
      </c>
      <c r="V35" s="707" t="s">
        <v>14</v>
      </c>
      <c r="W35" s="708">
        <f t="shared" si="14"/>
        <v>100</v>
      </c>
      <c r="X35" s="709"/>
      <c r="Y35" s="3686"/>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1">
        <f t="shared" si="11"/>
        <v>111</v>
      </c>
      <c r="R36" s="704" t="s">
        <v>14</v>
      </c>
      <c r="S36" s="705">
        <f t="shared" si="12"/>
        <v>100</v>
      </c>
      <c r="T36" s="704" t="s">
        <v>14</v>
      </c>
      <c r="U36" s="705">
        <f t="shared" si="13"/>
        <v>100</v>
      </c>
      <c r="V36" s="704" t="s">
        <v>14</v>
      </c>
      <c r="W36" s="705">
        <f t="shared" si="14"/>
        <v>100</v>
      </c>
      <c r="X36" s="1354"/>
      <c r="Y36" s="3686"/>
      <c r="Z36" s="1355">
        <f t="shared" si="15"/>
        <v>111</v>
      </c>
      <c r="AA36" s="1352">
        <f t="shared" si="3"/>
        <v>1</v>
      </c>
      <c r="AB36" s="1352">
        <f t="shared" si="4"/>
        <v>1</v>
      </c>
      <c r="AC36" s="1352">
        <f t="shared" si="5"/>
        <v>1</v>
      </c>
    </row>
    <row r="37" spans="1:29" ht="15">
      <c r="A37" s="430" t="s">
        <v>1844</v>
      </c>
      <c r="B37" s="1972" t="s">
        <v>3354</v>
      </c>
      <c r="C37" s="1153" t="s">
        <v>0</v>
      </c>
      <c r="D37" s="1154"/>
      <c r="E37" s="1155"/>
      <c r="F37" s="1156"/>
      <c r="G37" s="1157"/>
      <c r="H37" s="1158"/>
      <c r="I37" s="1155"/>
      <c r="J37" s="1158"/>
      <c r="K37" s="567"/>
      <c r="L37" s="2723"/>
      <c r="M37" s="2724"/>
      <c r="N37" s="2715"/>
      <c r="O37" s="2724"/>
      <c r="P37" s="3668" t="str">
        <f>A37</f>
        <v>成交单价</v>
      </c>
      <c r="Q37" s="3668"/>
      <c r="R37" s="3688">
        <f>E37</f>
        <v>0</v>
      </c>
      <c r="S37" s="3688"/>
      <c r="T37" s="3688">
        <f>G37</f>
        <v>0</v>
      </c>
      <c r="U37" s="3688"/>
      <c r="V37" s="3688">
        <f>I37</f>
        <v>0</v>
      </c>
      <c r="W37" s="368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8" t="str">
        <f>A38</f>
        <v>比较价值（元/平方米）</v>
      </c>
      <c r="Q38" s="3668"/>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89" t="str">
        <f>A39</f>
        <v>估价对象XX用房的比较价值（楼面单价，元/平方米）</v>
      </c>
      <c r="Q39" s="3690"/>
      <c r="R39" s="3735" t="e">
        <f>IF(F1="售价",ROUND(IF(D38="简单平均",AVERAGE(R38:W38),R38*F38+T38*H38+V38*J38),0),ROUND(IF(D38="简单平均",AVERAGE(R38:V38),R38*F38+T38*H38+V38*J38),1))</f>
        <v>#DIV/0!</v>
      </c>
      <c r="S39" s="3735"/>
      <c r="T39" s="3735"/>
      <c r="U39" s="3735"/>
      <c r="V39" s="3735"/>
      <c r="W39" s="373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3335</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3" t="s">
        <v>1680</v>
      </c>
      <c r="Q7" s="3682"/>
      <c r="R7" s="700" t="s">
        <v>14</v>
      </c>
      <c r="S7" s="701">
        <f t="shared" ref="S7:S14" si="0">F7</f>
        <v>0</v>
      </c>
      <c r="T7" s="700" t="s">
        <v>14</v>
      </c>
      <c r="U7" s="701">
        <f t="shared" ref="U7:U14" si="1">H7</f>
        <v>0</v>
      </c>
      <c r="V7" s="700" t="s">
        <v>14</v>
      </c>
      <c r="W7" s="701">
        <f t="shared" ref="W7:W14" si="2">J7</f>
        <v>0</v>
      </c>
      <c r="X7" s="702"/>
      <c r="Y7" s="3653" t="s">
        <v>1680</v>
      </c>
      <c r="Z7" s="365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3" t="s">
        <v>1683</v>
      </c>
      <c r="Q8" s="3654"/>
      <c r="R8" s="700" t="s">
        <v>14</v>
      </c>
      <c r="S8" s="701">
        <f t="shared" si="0"/>
        <v>100</v>
      </c>
      <c r="T8" s="700" t="s">
        <v>14</v>
      </c>
      <c r="U8" s="701">
        <f t="shared" si="1"/>
        <v>100</v>
      </c>
      <c r="V8" s="700" t="s">
        <v>14</v>
      </c>
      <c r="W8" s="701">
        <f t="shared" si="2"/>
        <v>100</v>
      </c>
      <c r="X8" s="702"/>
      <c r="Y8" s="3653" t="s">
        <v>1683</v>
      </c>
      <c r="Z8" s="365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8" t="s">
        <v>1686</v>
      </c>
      <c r="Q9" s="1342" t="str">
        <f t="shared" ref="Q9:Q14" si="6">B9</f>
        <v>用途</v>
      </c>
      <c r="R9" s="700" t="s">
        <v>14</v>
      </c>
      <c r="S9" s="701">
        <f t="shared" si="0"/>
        <v>100</v>
      </c>
      <c r="T9" s="700" t="s">
        <v>14</v>
      </c>
      <c r="U9" s="701">
        <f t="shared" si="1"/>
        <v>100</v>
      </c>
      <c r="V9" s="700" t="s">
        <v>14</v>
      </c>
      <c r="W9" s="701">
        <f t="shared" si="2"/>
        <v>100</v>
      </c>
      <c r="X9" s="702"/>
      <c r="Y9" s="3618"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8"/>
      <c r="Q10" s="1342" t="str">
        <f t="shared" si="6"/>
        <v>土地使用年限（年）</v>
      </c>
      <c r="R10" s="700" t="s">
        <v>14</v>
      </c>
      <c r="S10" s="701">
        <f t="shared" si="0"/>
        <v>100</v>
      </c>
      <c r="T10" s="700" t="s">
        <v>14</v>
      </c>
      <c r="U10" s="701">
        <f t="shared" si="1"/>
        <v>100</v>
      </c>
      <c r="V10" s="700" t="s">
        <v>14</v>
      </c>
      <c r="W10" s="701">
        <f t="shared" si="2"/>
        <v>100</v>
      </c>
      <c r="X10" s="702"/>
      <c r="Y10" s="3618"/>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8"/>
      <c r="Q11" s="1342">
        <f t="shared" si="6"/>
        <v>111</v>
      </c>
      <c r="R11" s="700" t="s">
        <v>14</v>
      </c>
      <c r="S11" s="701">
        <f t="shared" si="0"/>
        <v>100</v>
      </c>
      <c r="T11" s="700" t="s">
        <v>14</v>
      </c>
      <c r="U11" s="701">
        <f t="shared" si="1"/>
        <v>100</v>
      </c>
      <c r="V11" s="700" t="s">
        <v>14</v>
      </c>
      <c r="W11" s="701">
        <f t="shared" si="2"/>
        <v>100</v>
      </c>
      <c r="X11" s="702"/>
      <c r="Y11" s="3618"/>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68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6" t="str">
        <f t="shared" si="11"/>
        <v>成新率</v>
      </c>
      <c r="R27" s="707" t="s">
        <v>14</v>
      </c>
      <c r="S27" s="708" t="e">
        <f t="shared" si="12"/>
        <v>#N/A</v>
      </c>
      <c r="T27" s="707" t="s">
        <v>14</v>
      </c>
      <c r="U27" s="708" t="e">
        <f t="shared" si="13"/>
        <v>#N/A</v>
      </c>
      <c r="V27" s="707" t="s">
        <v>14</v>
      </c>
      <c r="W27" s="708" t="e">
        <f t="shared" si="14"/>
        <v>#N/A</v>
      </c>
      <c r="X27" s="709"/>
      <c r="Y27" s="368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1" t="str">
        <f t="shared" si="11"/>
        <v>物业等级</v>
      </c>
      <c r="R28" s="704" t="s">
        <v>14</v>
      </c>
      <c r="S28" s="705">
        <f t="shared" si="12"/>
        <v>100</v>
      </c>
      <c r="T28" s="704" t="s">
        <v>14</v>
      </c>
      <c r="U28" s="705">
        <f t="shared" si="13"/>
        <v>100</v>
      </c>
      <c r="V28" s="704" t="s">
        <v>14</v>
      </c>
      <c r="W28" s="705">
        <f t="shared" si="14"/>
        <v>100</v>
      </c>
      <c r="X28" s="1354"/>
      <c r="Y28" s="3686"/>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86"/>
      <c r="Q29" s="1351" t="str">
        <f t="shared" si="11"/>
        <v>有无电梯</v>
      </c>
      <c r="R29" s="704" t="s">
        <v>14</v>
      </c>
      <c r="S29" s="705">
        <f t="shared" si="12"/>
        <v>100</v>
      </c>
      <c r="T29" s="704" t="s">
        <v>14</v>
      </c>
      <c r="U29" s="705">
        <f t="shared" si="13"/>
        <v>100</v>
      </c>
      <c r="V29" s="704" t="s">
        <v>14</v>
      </c>
      <c r="W29" s="705">
        <f t="shared" si="14"/>
        <v>100</v>
      </c>
      <c r="X29" s="1354"/>
      <c r="Y29" s="368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1" t="str">
        <f t="shared" si="11"/>
        <v>建筑面积</v>
      </c>
      <c r="R30" s="704" t="s">
        <v>14</v>
      </c>
      <c r="S30" s="705" t="e">
        <f t="shared" si="12"/>
        <v>#N/A</v>
      </c>
      <c r="T30" s="704" t="s">
        <v>14</v>
      </c>
      <c r="U30" s="705" t="e">
        <f t="shared" si="13"/>
        <v>#N/A</v>
      </c>
      <c r="V30" s="704" t="s">
        <v>14</v>
      </c>
      <c r="W30" s="705" t="e">
        <f t="shared" si="14"/>
        <v>#N/A</v>
      </c>
      <c r="X30" s="1354"/>
      <c r="Y30" s="3686"/>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86"/>
      <c r="Q31" s="1342" t="str">
        <f t="shared" si="11"/>
        <v>是否封闭</v>
      </c>
      <c r="R31" s="700" t="s">
        <v>14</v>
      </c>
      <c r="S31" s="701">
        <f t="shared" si="12"/>
        <v>100</v>
      </c>
      <c r="T31" s="700" t="s">
        <v>14</v>
      </c>
      <c r="U31" s="701">
        <f t="shared" si="13"/>
        <v>100</v>
      </c>
      <c r="V31" s="700" t="s">
        <v>14</v>
      </c>
      <c r="W31" s="701">
        <f t="shared" si="14"/>
        <v>100</v>
      </c>
      <c r="X31" s="702"/>
      <c r="Y31" s="368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1">
        <f t="shared" si="11"/>
        <v>111</v>
      </c>
      <c r="R32" s="704" t="s">
        <v>14</v>
      </c>
      <c r="S32" s="705">
        <f t="shared" si="12"/>
        <v>100</v>
      </c>
      <c r="T32" s="704" t="s">
        <v>14</v>
      </c>
      <c r="U32" s="705">
        <f t="shared" si="13"/>
        <v>100</v>
      </c>
      <c r="V32" s="704" t="s">
        <v>14</v>
      </c>
      <c r="W32" s="705">
        <f t="shared" si="14"/>
        <v>100</v>
      </c>
      <c r="X32" s="1354"/>
      <c r="Y32" s="368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1">
        <f t="shared" si="11"/>
        <v>111</v>
      </c>
      <c r="R33" s="704" t="s">
        <v>14</v>
      </c>
      <c r="S33" s="705">
        <f t="shared" si="12"/>
        <v>100</v>
      </c>
      <c r="T33" s="704" t="s">
        <v>14</v>
      </c>
      <c r="U33" s="705">
        <f t="shared" si="13"/>
        <v>100</v>
      </c>
      <c r="V33" s="704" t="s">
        <v>14</v>
      </c>
      <c r="W33" s="705">
        <f t="shared" si="14"/>
        <v>100</v>
      </c>
      <c r="X33" s="1354"/>
      <c r="Y33" s="3686"/>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6"/>
      <c r="Q34" s="1351">
        <f t="shared" si="11"/>
        <v>111</v>
      </c>
      <c r="R34" s="704" t="s">
        <v>14</v>
      </c>
      <c r="S34" s="705">
        <f t="shared" si="12"/>
        <v>100</v>
      </c>
      <c r="T34" s="704" t="s">
        <v>14</v>
      </c>
      <c r="U34" s="705">
        <f t="shared" si="13"/>
        <v>100</v>
      </c>
      <c r="V34" s="704" t="s">
        <v>14</v>
      </c>
      <c r="W34" s="705">
        <f t="shared" si="14"/>
        <v>100</v>
      </c>
      <c r="X34" s="1354"/>
      <c r="Y34" s="3686"/>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8" t="str">
        <f>A35</f>
        <v>成交单价（元/平方米）</v>
      </c>
      <c r="Q35" s="3668"/>
      <c r="R35" s="3688">
        <f>E35</f>
        <v>0</v>
      </c>
      <c r="S35" s="3688"/>
      <c r="T35" s="3688">
        <f>G35</f>
        <v>0</v>
      </c>
      <c r="U35" s="3688"/>
      <c r="V35" s="3688">
        <f>I35</f>
        <v>0</v>
      </c>
      <c r="W35" s="368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8" t="str">
        <f>A36</f>
        <v>比较价值（元/平方米）</v>
      </c>
      <c r="Q36" s="3668"/>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89" t="str">
        <f>A37</f>
        <v>估价对象XX用房的比较价值（楼面单价，元/平方米）</v>
      </c>
      <c r="Q37" s="3690"/>
      <c r="R37" s="3735" t="e">
        <f>IF(F1="售价",ROUND(IF(D36="简单平均",AVERAGE(R36:W36),R36*F36+T36*H36+V36*J36),0),ROUND(IF(D36="简单平均",AVERAGE(R36:V36),R36*F36+T36*H36+V36*J36),1))</f>
        <v>#DIV/0!</v>
      </c>
      <c r="S37" s="3735"/>
      <c r="T37" s="3735"/>
      <c r="U37" s="3735"/>
      <c r="V37" s="3735"/>
      <c r="W37" s="373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30"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4"/>
      <c r="M6" s="2715"/>
      <c r="N6" s="2715"/>
      <c r="O6" s="2715"/>
      <c r="P6" s="3677"/>
      <c r="Q6" s="3678"/>
      <c r="R6" s="3657"/>
      <c r="S6" s="3658"/>
      <c r="T6" s="3679"/>
      <c r="U6" s="3680"/>
      <c r="V6" s="3681"/>
      <c r="W6" s="3681"/>
      <c r="X6" s="1354"/>
      <c r="Y6" s="3679"/>
      <c r="Z6" s="3680"/>
      <c r="AA6" s="3652"/>
      <c r="AB6" s="3652"/>
      <c r="AC6" s="3652"/>
    </row>
    <row r="7" spans="1:30" s="108" customFormat="1" ht="15.75" thickBot="1">
      <c r="A7" s="362" t="s">
        <v>1679</v>
      </c>
      <c r="B7" s="363"/>
      <c r="C7" s="364">
        <f>'数据-取费表'!B2</f>
        <v>45609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19"/>
      <c r="L10" s="2718"/>
      <c r="M10" s="2719"/>
      <c r="N10" s="2719"/>
      <c r="O10" s="2772"/>
      <c r="P10" s="3668"/>
      <c r="Q10" s="1342" t="str">
        <f t="shared" si="6"/>
        <v>土地使用年限（年）</v>
      </c>
      <c r="R10" s="700" t="s">
        <v>14</v>
      </c>
      <c r="S10" s="701">
        <f t="shared" si="0"/>
        <v>147</v>
      </c>
      <c r="T10" s="700" t="s">
        <v>14</v>
      </c>
      <c r="U10" s="701">
        <f t="shared" si="1"/>
        <v>147</v>
      </c>
      <c r="V10" s="700" t="s">
        <v>14</v>
      </c>
      <c r="W10" s="701">
        <f t="shared" si="2"/>
        <v>147</v>
      </c>
      <c r="X10" s="702"/>
      <c r="Y10" s="3618"/>
      <c r="Z10" s="52" t="str">
        <f t="shared" si="7"/>
        <v>土地使用年限（年）</v>
      </c>
      <c r="AA10" s="703">
        <f t="shared" si="3"/>
        <v>0.68027210884353739</v>
      </c>
      <c r="AB10" s="703">
        <f t="shared" si="4"/>
        <v>0.68027210884353739</v>
      </c>
      <c r="AC10" s="703">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8"/>
      <c r="Q12" s="1342" t="str">
        <f t="shared" si="6"/>
        <v>配建</v>
      </c>
      <c r="R12" s="700" t="s">
        <v>14</v>
      </c>
      <c r="S12" s="701">
        <f t="shared" si="0"/>
        <v>100</v>
      </c>
      <c r="T12" s="700" t="s">
        <v>14</v>
      </c>
      <c r="U12" s="701">
        <f t="shared" si="1"/>
        <v>100</v>
      </c>
      <c r="V12" s="700" t="s">
        <v>14</v>
      </c>
      <c r="W12" s="701">
        <f t="shared" si="2"/>
        <v>100</v>
      </c>
      <c r="X12" s="702"/>
      <c r="Y12" s="3618"/>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685" t="s">
        <v>1696</v>
      </c>
      <c r="Q36" s="1351">
        <f t="shared" si="8"/>
        <v>111</v>
      </c>
      <c r="R36" s="704" t="s">
        <v>14</v>
      </c>
      <c r="S36" s="705">
        <f t="shared" si="10"/>
        <v>100</v>
      </c>
      <c r="T36" s="704" t="s">
        <v>14</v>
      </c>
      <c r="U36" s="705">
        <f t="shared" si="11"/>
        <v>100</v>
      </c>
      <c r="V36" s="704" t="s">
        <v>14</v>
      </c>
      <c r="W36" s="705">
        <f t="shared" si="12"/>
        <v>100</v>
      </c>
      <c r="X36" s="1354"/>
      <c r="Y36" s="3686"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86"/>
      <c r="Q37" s="1351">
        <f t="shared" si="8"/>
        <v>111</v>
      </c>
      <c r="R37" s="707" t="s">
        <v>14</v>
      </c>
      <c r="S37" s="708">
        <f t="shared" si="10"/>
        <v>100</v>
      </c>
      <c r="T37" s="707" t="s">
        <v>14</v>
      </c>
      <c r="U37" s="708">
        <f t="shared" si="11"/>
        <v>100</v>
      </c>
      <c r="V37" s="707" t="s">
        <v>14</v>
      </c>
      <c r="W37" s="708">
        <f t="shared" si="12"/>
        <v>100</v>
      </c>
      <c r="X37" s="709"/>
      <c r="Y37" s="3686"/>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86"/>
      <c r="Q38" s="1351" t="str">
        <f>B38</f>
        <v>宗地面积</v>
      </c>
      <c r="R38" s="704" t="s">
        <v>14</v>
      </c>
      <c r="S38" s="705" t="e">
        <f t="shared" si="10"/>
        <v>#N/A</v>
      </c>
      <c r="T38" s="704" t="s">
        <v>14</v>
      </c>
      <c r="U38" s="705" t="e">
        <f t="shared" si="11"/>
        <v>#N/A</v>
      </c>
      <c r="V38" s="704" t="s">
        <v>14</v>
      </c>
      <c r="W38" s="705" t="e">
        <f t="shared" si="12"/>
        <v>#N/A</v>
      </c>
      <c r="X38" s="1354"/>
      <c r="Y38" s="368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6"/>
      <c r="Q39" s="1351" t="str">
        <f t="shared" ref="Q39:Q45" si="14">B39</f>
        <v>宗地形状</v>
      </c>
      <c r="R39" s="704" t="s">
        <v>14</v>
      </c>
      <c r="S39" s="705">
        <f t="shared" si="10"/>
        <v>100</v>
      </c>
      <c r="T39" s="704" t="s">
        <v>14</v>
      </c>
      <c r="U39" s="705">
        <f t="shared" si="11"/>
        <v>100</v>
      </c>
      <c r="V39" s="704" t="s">
        <v>14</v>
      </c>
      <c r="W39" s="705">
        <f t="shared" si="12"/>
        <v>100</v>
      </c>
      <c r="X39" s="1354"/>
      <c r="Y39" s="368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6"/>
      <c r="Q40" s="1351" t="str">
        <f t="shared" si="14"/>
        <v>临街宽度及深度</v>
      </c>
      <c r="R40" s="704" t="s">
        <v>14</v>
      </c>
      <c r="S40" s="705">
        <f t="shared" si="10"/>
        <v>100</v>
      </c>
      <c r="T40" s="704" t="s">
        <v>14</v>
      </c>
      <c r="U40" s="705">
        <f t="shared" si="11"/>
        <v>100</v>
      </c>
      <c r="V40" s="704" t="s">
        <v>14</v>
      </c>
      <c r="W40" s="705">
        <f t="shared" si="12"/>
        <v>100</v>
      </c>
      <c r="X40" s="1354"/>
      <c r="Y40" s="368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6"/>
      <c r="Q41" s="1351" t="str">
        <f t="shared" si="14"/>
        <v>宗地开发程度</v>
      </c>
      <c r="R41" s="700" t="s">
        <v>14</v>
      </c>
      <c r="S41" s="701">
        <f t="shared" si="10"/>
        <v>100</v>
      </c>
      <c r="T41" s="700" t="s">
        <v>14</v>
      </c>
      <c r="U41" s="701">
        <f t="shared" si="11"/>
        <v>100</v>
      </c>
      <c r="V41" s="700" t="s">
        <v>14</v>
      </c>
      <c r="W41" s="701">
        <f t="shared" si="12"/>
        <v>100</v>
      </c>
      <c r="X41" s="702"/>
      <c r="Y41" s="368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6" t="s">
        <v>1696</v>
      </c>
      <c r="Q42" s="1351" t="str">
        <f t="shared" si="14"/>
        <v>工程地质条件</v>
      </c>
      <c r="R42" s="704" t="s">
        <v>14</v>
      </c>
      <c r="S42" s="705">
        <f t="shared" si="10"/>
        <v>100</v>
      </c>
      <c r="T42" s="704" t="s">
        <v>14</v>
      </c>
      <c r="U42" s="705">
        <f t="shared" si="11"/>
        <v>100</v>
      </c>
      <c r="V42" s="704" t="s">
        <v>14</v>
      </c>
      <c r="W42" s="705">
        <f t="shared" si="12"/>
        <v>100</v>
      </c>
      <c r="X42" s="1354"/>
      <c r="Y42" s="3686"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86"/>
      <c r="Q43" s="1351">
        <f t="shared" si="14"/>
        <v>111</v>
      </c>
      <c r="R43" s="704" t="s">
        <v>14</v>
      </c>
      <c r="S43" s="705">
        <f t="shared" si="10"/>
        <v>100</v>
      </c>
      <c r="T43" s="704" t="s">
        <v>14</v>
      </c>
      <c r="U43" s="705">
        <f t="shared" si="11"/>
        <v>100</v>
      </c>
      <c r="V43" s="704" t="s">
        <v>14</v>
      </c>
      <c r="W43" s="705">
        <f t="shared" si="12"/>
        <v>100</v>
      </c>
      <c r="X43" s="1354"/>
      <c r="Y43" s="3686"/>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86"/>
      <c r="Q44" s="1351">
        <f t="shared" si="14"/>
        <v>111</v>
      </c>
      <c r="R44" s="704" t="s">
        <v>14</v>
      </c>
      <c r="S44" s="705">
        <f t="shared" si="10"/>
        <v>100</v>
      </c>
      <c r="T44" s="704" t="s">
        <v>14</v>
      </c>
      <c r="U44" s="705">
        <f t="shared" si="11"/>
        <v>100</v>
      </c>
      <c r="V44" s="704" t="s">
        <v>14</v>
      </c>
      <c r="W44" s="705">
        <f t="shared" si="12"/>
        <v>100</v>
      </c>
      <c r="X44" s="1354"/>
      <c r="Y44" s="3686"/>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86"/>
      <c r="Q45" s="1351">
        <f t="shared" si="14"/>
        <v>111</v>
      </c>
      <c r="R45" s="707" t="s">
        <v>14</v>
      </c>
      <c r="S45" s="708">
        <f t="shared" si="10"/>
        <v>100</v>
      </c>
      <c r="T45" s="707" t="s">
        <v>14</v>
      </c>
      <c r="U45" s="708">
        <f t="shared" si="11"/>
        <v>100</v>
      </c>
      <c r="V45" s="707" t="s">
        <v>14</v>
      </c>
      <c r="W45" s="708">
        <f t="shared" si="12"/>
        <v>100</v>
      </c>
      <c r="X45" s="709"/>
      <c r="Y45" s="3686"/>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8" t="str">
        <f>A46</f>
        <v>成交单价</v>
      </c>
      <c r="Q46" s="3668"/>
      <c r="R46" s="3681">
        <f>E46</f>
        <v>0</v>
      </c>
      <c r="S46" s="3681"/>
      <c r="T46" s="3681">
        <f>G46</f>
        <v>0</v>
      </c>
      <c r="U46" s="3681"/>
      <c r="V46" s="3681">
        <f>I46</f>
        <v>0</v>
      </c>
      <c r="W46" s="3681"/>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8" t="str">
        <f>A47</f>
        <v>比较价值（元/平方米）</v>
      </c>
      <c r="Q47" s="3668"/>
      <c r="R47" s="3736" t="e">
        <f>ROUND(PRODUCT(R46,AA7:AA45),0)</f>
        <v>#DIV/0!</v>
      </c>
      <c r="S47" s="3736"/>
      <c r="T47" s="3736" t="e">
        <f>ROUND(PRODUCT(T46,AB7:AB45),0)</f>
        <v>#DIV/0!</v>
      </c>
      <c r="U47" s="3736"/>
      <c r="V47" s="3736" t="e">
        <f>ROUND(PRODUCT(V46,AC7:AC45),0)</f>
        <v>#DIV/0!</v>
      </c>
      <c r="W47" s="3736"/>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89" t="str">
        <f>A48</f>
        <v>估价对象XX用房的比较价值（楼面单价，元/平方米）</v>
      </c>
      <c r="Q48" s="3690"/>
      <c r="R48" s="3737" t="e">
        <f>ROUND(IF(D47="简单平均",AVERAGE(R47:W47),R47*F47+T47*H47+V47*J47),0)</f>
        <v>#DIV/0!</v>
      </c>
      <c r="S48" s="3737"/>
      <c r="T48" s="3737"/>
      <c r="U48" s="3737"/>
      <c r="V48" s="3737"/>
      <c r="W48" s="373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9" t="s">
        <v>1887</v>
      </c>
      <c r="H55" s="373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0</v>
      </c>
      <c r="F56" s="885" t="e">
        <f t="shared" ref="F56:F64" si="15">ROUND(B56*E56/10000,0)</f>
        <v>#DIV/0!</v>
      </c>
      <c r="G56" s="3692"/>
      <c r="H56" s="366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0.6</v>
      </c>
      <c r="D57" s="944">
        <v>0.25</v>
      </c>
      <c r="E57" s="641"/>
      <c r="F57" s="885" t="e">
        <f t="shared" si="15"/>
        <v>#DIV/0!</v>
      </c>
      <c r="G57" s="3005" t="s">
        <v>1892</v>
      </c>
      <c r="H57" s="886" t="str">
        <f>项目基本情况!B37</f>
        <v>五级</v>
      </c>
      <c r="I57" s="890">
        <f>SUMIF(修正!A57:A68,H57,修正!B57:B68)</f>
        <v>0.6</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0.3</v>
      </c>
      <c r="D58" s="944">
        <v>0.25</v>
      </c>
      <c r="E58" s="641"/>
      <c r="F58" s="885" t="e">
        <f t="shared" si="15"/>
        <v>#DIV/0!</v>
      </c>
      <c r="G58" s="3006"/>
      <c r="H58" s="886" t="str">
        <f>项目基本情况!B37</f>
        <v>五级</v>
      </c>
      <c r="I58" s="890">
        <f>SUMIF(修正!A57:A68,H58,修正!C57:C68)</f>
        <v>0.3</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0.25</v>
      </c>
      <c r="D59" s="944">
        <v>0.25</v>
      </c>
      <c r="E59" s="641"/>
      <c r="F59" s="885" t="e">
        <f t="shared" si="15"/>
        <v>#DIV/0!</v>
      </c>
      <c r="G59" s="3006"/>
      <c r="H59" s="886" t="str">
        <f>项目基本情况!B37</f>
        <v>五级</v>
      </c>
      <c r="I59" s="890">
        <f>SUMIF(修正!A57:A68,H59,修正!D57:D68)</f>
        <v>0.25</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0.15</v>
      </c>
      <c r="D63" s="944">
        <v>0.25</v>
      </c>
      <c r="E63" s="217">
        <f>'数据-汇总表'!E14</f>
        <v>0</v>
      </c>
      <c r="F63" s="885" t="e">
        <f t="shared" si="15"/>
        <v>#DIV/0!</v>
      </c>
      <c r="G63" s="1986" t="s">
        <v>1892</v>
      </c>
      <c r="H63" s="886" t="str">
        <f>项目基本情况!B37</f>
        <v>五级</v>
      </c>
      <c r="I63" s="890">
        <f>SUMIF(修正!A57:A68,H63,修正!G57:G68)</f>
        <v>0.15</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2024-11-1</v>
      </c>
      <c r="D67" s="691">
        <f>EDATE(C67,-3)</f>
        <v>45505</v>
      </c>
      <c r="E67" s="691">
        <f>EDATE(D67,-3)</f>
        <v>45413</v>
      </c>
      <c r="F67" s="691">
        <f t="shared" ref="F67:O67" si="18">EDATE(E67,-3)</f>
        <v>45323</v>
      </c>
      <c r="G67" s="691">
        <f t="shared" si="18"/>
        <v>45231</v>
      </c>
      <c r="H67" s="691">
        <f t="shared" si="18"/>
        <v>45139</v>
      </c>
      <c r="I67" s="691">
        <f t="shared" si="18"/>
        <v>45047</v>
      </c>
      <c r="J67" s="691">
        <f t="shared" si="18"/>
        <v>44958</v>
      </c>
      <c r="K67" s="691">
        <f t="shared" si="18"/>
        <v>44866</v>
      </c>
      <c r="L67" s="691">
        <f t="shared" si="18"/>
        <v>44774</v>
      </c>
      <c r="M67" s="691">
        <f t="shared" si="18"/>
        <v>44682</v>
      </c>
      <c r="N67" s="691">
        <f t="shared" si="18"/>
        <v>44593</v>
      </c>
      <c r="O67" s="691">
        <f t="shared" si="18"/>
        <v>44501</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pane xSplit="28320" topLeftCell="V1"/>
      <selection activeCell="E37" sqref="E37"/>
      <selection pane="topRight" activeCell="V1" sqref="V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942.8</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1758</v>
      </c>
      <c r="C2" s="1998" t="s">
        <v>1935</v>
      </c>
      <c r="D2" s="1999" t="s">
        <v>1936</v>
      </c>
      <c r="E2" s="3421" t="s">
        <v>673</v>
      </c>
      <c r="F2" s="1999" t="s">
        <v>1937</v>
      </c>
      <c r="G2" s="2000" t="str">
        <f>IF(E2="商业",项目基本情况!B37,IF(E2="办公",项目基本情况!C37,IF(E2="住宅",项目基本情况!D37,IF(E2="工业",项目基本情况!E37,项目基本情况!F37))))</f>
        <v>五级</v>
      </c>
      <c r="H2" s="1999" t="s">
        <v>1938</v>
      </c>
      <c r="I2" s="2000" t="str">
        <f>IF(E2="商业",项目基本情况!B38,IF(E2="办公",项目基本情况!C38,IF(E2="住宅",项目基本情况!D38,IF(E2="工业",项目基本情况!E38,项目基本情况!F38))))</f>
        <v>Ⅴ-05</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15091</v>
      </c>
      <c r="U2" s="1212">
        <v>211.76</v>
      </c>
      <c r="V2" s="3360">
        <f>ROUND(T2*U2/10000,0)</f>
        <v>320</v>
      </c>
      <c r="W2" s="1215"/>
      <c r="X2" s="1215"/>
      <c r="Y2" s="1215"/>
      <c r="Z2" s="1215"/>
      <c r="AA2" s="1215"/>
      <c r="AB2" s="1215"/>
      <c r="AC2" s="1216"/>
      <c r="AD2" s="1217"/>
      <c r="AE2" s="1217"/>
      <c r="AF2" s="1217"/>
      <c r="AG2" s="1217"/>
      <c r="AH2" s="1217"/>
      <c r="AI2" s="1217"/>
      <c r="AJ2" s="1218"/>
    </row>
    <row r="3" spans="1:36" ht="15.75">
      <c r="A3" s="203" t="s">
        <v>1940</v>
      </c>
      <c r="B3" s="204">
        <f>ROUND(B2*10000/D1,0)</f>
        <v>18647</v>
      </c>
      <c r="C3" s="1998" t="s">
        <v>1941</v>
      </c>
      <c r="D3" s="1999" t="s">
        <v>1942</v>
      </c>
      <c r="E3" s="3419" t="s">
        <v>2451</v>
      </c>
      <c r="F3" s="2003" t="s">
        <v>3400</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11895</v>
      </c>
      <c r="U3" s="1212">
        <f>'数据-基础表'!H13-基准地价修正!U2</f>
        <v>731.04</v>
      </c>
      <c r="V3" s="3360">
        <f t="shared" ref="V3:V16" si="1">ROUND(T3*U3/10000,0)</f>
        <v>870</v>
      </c>
      <c r="W3" s="1215"/>
      <c r="X3" s="1215"/>
      <c r="Y3" s="1215"/>
      <c r="Z3" s="1215"/>
      <c r="AA3" s="1215"/>
      <c r="AB3" s="1215"/>
      <c r="AC3" s="1216"/>
      <c r="AD3" s="1217"/>
      <c r="AE3" s="1217"/>
      <c r="AF3" s="1217"/>
      <c r="AG3" s="1217"/>
      <c r="AH3" s="1217"/>
      <c r="AI3" s="1217"/>
      <c r="AJ3" s="1218"/>
    </row>
    <row r="4" spans="1:36" ht="15.75">
      <c r="A4" s="3746"/>
      <c r="B4" s="3747"/>
      <c r="C4" s="3747"/>
      <c r="D4" s="3748"/>
      <c r="E4" s="3748"/>
      <c r="F4" s="3748"/>
      <c r="G4" s="3748"/>
      <c r="H4" s="3748"/>
      <c r="I4" s="3748"/>
      <c r="J4" s="374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10053</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16294</v>
      </c>
      <c r="D5" s="1338">
        <f>ROUND(C6*C17+C20,0)</f>
        <v>16294</v>
      </c>
      <c r="E5" s="1338"/>
      <c r="F5" s="2006"/>
      <c r="G5" s="2007"/>
      <c r="H5" s="2007"/>
      <c r="I5" s="2007"/>
      <c r="J5" s="2008"/>
      <c r="K5" s="2009"/>
      <c r="L5" s="2002" t="s">
        <v>1948</v>
      </c>
      <c r="M5" s="863">
        <f>SUMPRODUCT((区片价!B87:B126=I2)*(区片价!C3:G3=E2)*(区片价!C87:G126))</f>
        <v>16330</v>
      </c>
      <c r="N5" s="865">
        <f>SUMPRODUCT((因素修正幅度!B87:B126=I2)*(因素修正幅度!C3:G3=E2)*(因素修正幅度!C87:G126))</f>
        <v>7.6999999999999999E-2</v>
      </c>
      <c r="O5" s="1118"/>
      <c r="P5" s="1118"/>
      <c r="Q5" s="1118"/>
      <c r="R5" s="1211">
        <v>4</v>
      </c>
      <c r="S5" s="3360">
        <f>ROUND(SUMPRODUCT((B106:B110=R5)*(C105:N105=G2)*(C106:N110)),4)</f>
        <v>0.88239999999999996</v>
      </c>
      <c r="T5" s="3360">
        <f t="shared" si="0"/>
        <v>8866</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16330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8521</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3239</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五级</v>
      </c>
      <c r="Y7" s="1213" t="s">
        <v>1956</v>
      </c>
      <c r="Z7" s="1214">
        <f>G3</f>
        <v>2.5</v>
      </c>
      <c r="AA7" s="1215"/>
      <c r="AB7" s="1215"/>
      <c r="AC7" s="1216"/>
      <c r="AD7" s="1217"/>
      <c r="AE7" s="1217"/>
      <c r="AF7" s="1217"/>
      <c r="AG7" s="1217"/>
      <c r="AH7" s="1217"/>
      <c r="AI7" s="1217"/>
      <c r="AJ7" s="1218"/>
    </row>
    <row r="8" spans="1:36" ht="25.5">
      <c r="A8" s="3298"/>
      <c r="B8" s="170" t="s">
        <v>1957</v>
      </c>
      <c r="C8" s="2025" t="s">
        <v>3448</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3" t="s">
        <v>1960</v>
      </c>
      <c r="X8" s="374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5"/>
      <c r="X9" s="3361" t="s">
        <v>3269</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3240</v>
      </c>
      <c r="B12" s="3304" t="s">
        <v>3241</v>
      </c>
      <c r="C12" s="3305"/>
      <c r="D12" s="3306" t="s">
        <v>3242</v>
      </c>
      <c r="E12" s="3307" t="s">
        <v>3243</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3244</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3245</v>
      </c>
      <c r="G14" s="3311" t="s">
        <v>3245</v>
      </c>
      <c r="H14" s="3311" t="s">
        <v>3245</v>
      </c>
      <c r="I14" s="3311" t="s">
        <v>3245</v>
      </c>
      <c r="J14" s="3311" t="s">
        <v>3245</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3246</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3250</v>
      </c>
      <c r="E18" s="3328"/>
      <c r="F18" s="3323" t="s">
        <v>3253</v>
      </c>
      <c r="G18" s="3327">
        <f>ROUND(1-(1/(POWER(1+G24,E18))),4)</f>
        <v>0</v>
      </c>
      <c r="H18" s="3323" t="s">
        <v>3255</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3251</v>
      </c>
      <c r="E19" s="3337"/>
      <c r="F19" s="3338" t="s">
        <v>3254</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0" t="s">
        <v>3256</v>
      </c>
      <c r="B20" s="167" t="s">
        <v>1994</v>
      </c>
      <c r="C20" s="3324">
        <f>ROUND(IF(F21="与级别开发程度一致",0,(G21-E21)/C21),0)</f>
        <v>-36</v>
      </c>
      <c r="D20" s="3340" t="s">
        <v>1998</v>
      </c>
      <c r="E20" s="3341"/>
      <c r="F20" s="3756" t="s">
        <v>1995</v>
      </c>
      <c r="G20" s="3757"/>
      <c r="H20" s="3325" t="s">
        <v>3412</v>
      </c>
      <c r="I20" s="3325" t="s">
        <v>3413</v>
      </c>
      <c r="J20" s="3326" t="s">
        <v>3414</v>
      </c>
      <c r="K20" s="2046" t="s">
        <v>3415</v>
      </c>
      <c r="L20" s="2046" t="s">
        <v>3416</v>
      </c>
      <c r="M20" s="2046"/>
      <c r="N20" s="2046"/>
      <c r="O20" s="2047" t="s">
        <v>3417</v>
      </c>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1"/>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3493</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0</v>
      </c>
      <c r="N21" s="2164">
        <f>SUMPRODUCT((七通一平=N20)*(修正!B1:M1=G2)*(修正!B8:M16))</f>
        <v>0</v>
      </c>
      <c r="O21" s="2166">
        <f>SUMPRODUCT((七通一平=O20)*(修正!B1:M1=G2)*(修正!B8:M16))</f>
        <v>15</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3" t="s">
        <v>2002</v>
      </c>
      <c r="E23" s="760">
        <v>44197</v>
      </c>
      <c r="F23" s="2053" t="s">
        <v>2003</v>
      </c>
      <c r="G23" s="761">
        <f>'数据-取费表'!B2</f>
        <v>45609</v>
      </c>
      <c r="H23" s="3342" t="s">
        <v>3257</v>
      </c>
      <c r="I23" s="3343" t="str">
        <f>IF(H23="季度增幅（自定义）",SUMIF(N25:N28,E2,O25:O28),"")</f>
        <v/>
      </c>
      <c r="J23" s="3445" t="s">
        <v>3452</v>
      </c>
      <c r="K23" s="1124"/>
      <c r="L23" s="2054" t="s">
        <v>2004</v>
      </c>
      <c r="M23" s="1327">
        <f>ROUND(SUMIF(地价!B2:G2,E2,地价!B16:G16),0)</f>
        <v>350</v>
      </c>
      <c r="N23" s="2055" t="s">
        <v>2005</v>
      </c>
      <c r="O23" s="762">
        <f>ROUNDDOWN(DATEDIF(E23,G23,"M")/3,0)</f>
        <v>15</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0.70089999999999997</v>
      </c>
      <c r="D24" s="2059" t="s">
        <v>2007</v>
      </c>
      <c r="E24" s="1334">
        <f>存贷款利率!E27/100</f>
        <v>4.3499999999999997E-2</v>
      </c>
      <c r="F24" s="2059" t="s">
        <v>1999</v>
      </c>
      <c r="G24" s="767">
        <f>SUMIF(M30:Q30,E2,M33:Q33)</f>
        <v>5.5E-2</v>
      </c>
      <c r="H24" s="2059" t="s">
        <v>2008</v>
      </c>
      <c r="I24" s="768">
        <f>SUMIF('数据-取费表'!C6:C15,E2,'数据-取费表'!F6:F15)/COUNTIF('数据-取费表'!C6:C15,E2)</f>
        <v>18</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1.5019</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3258</v>
      </c>
      <c r="D26" s="1351">
        <f>IF(E26=G26,F26,IF(G3&lt;10,ROUND(F26+(H26-F26)*(G3-E26)/(G26-E26),4),"——"))</f>
        <v>1</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3259</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1.5019</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1.0526</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1758</v>
      </c>
      <c r="D30" s="2082"/>
      <c r="E30" s="2045"/>
      <c r="F30" s="2083"/>
      <c r="G30" s="2045"/>
      <c r="H30" s="2045"/>
      <c r="I30" s="2045"/>
      <c r="J30" s="2084"/>
      <c r="K30" s="1118"/>
      <c r="L30" s="3350" t="s">
        <v>1936</v>
      </c>
      <c r="M30" s="3351" t="s">
        <v>1990</v>
      </c>
      <c r="N30" s="3351" t="s">
        <v>1991</v>
      </c>
      <c r="O30" s="3351" t="s">
        <v>1992</v>
      </c>
      <c r="P30" s="3351" t="s">
        <v>1993</v>
      </c>
      <c r="Q30" s="3354" t="s">
        <v>3263</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142</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15091</v>
      </c>
      <c r="D33" s="2097">
        <f>'数据-汇总表'!F19</f>
        <v>0</v>
      </c>
      <c r="E33" s="772">
        <f>ROUND(C33*D33/10000,0)</f>
        <v>0</v>
      </c>
      <c r="F33" s="3345" t="s">
        <v>3261</v>
      </c>
      <c r="G33" s="2098"/>
      <c r="H33" s="2098"/>
      <c r="I33" s="2098"/>
      <c r="J33" s="2099"/>
      <c r="K33" s="1118"/>
      <c r="L33" s="3348" t="s">
        <v>3264</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3265</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3262</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3266</v>
      </c>
      <c r="L36" s="3446">
        <f ca="1">'数据-取费表'!B40</f>
        <v>3.1E-2</v>
      </c>
      <c r="M36" s="3357">
        <f ca="1">ROUND($L$36*(1+M31),3)</f>
        <v>3.9E-2</v>
      </c>
      <c r="N36" s="3357">
        <f ca="1">ROUND($L$36*(1+N31),3)</f>
        <v>3.6999999999999998E-2</v>
      </c>
      <c r="O36" s="3357">
        <f ca="1">ROUND($L$36*(1+O31),3)</f>
        <v>3.5999999999999997E-2</v>
      </c>
      <c r="P36" s="3357">
        <f ca="1">ROUND($L$36*(1+P31),3)</f>
        <v>3.4000000000000002E-2</v>
      </c>
      <c r="Q36" s="3357">
        <f ca="1">ROUND($L$36*(1+Q31),3)</f>
        <v>3.5999999999999997E-2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4"/>
      <c r="B37" s="2112" t="s">
        <v>2036</v>
      </c>
      <c r="C37" s="175">
        <f>ROUND(D5*C22*C23*C24*C28*F37,0)</f>
        <v>6029</v>
      </c>
      <c r="D37" s="2097">
        <f>'数据-汇总表'!G19</f>
        <v>942.8</v>
      </c>
      <c r="E37" s="171">
        <f>ROUND(C37*D37/10000,0)</f>
        <v>568</v>
      </c>
      <c r="F37" s="171">
        <f>SUMIF(修正!A57:A68,G2,修正!B57:B68)</f>
        <v>0.6</v>
      </c>
      <c r="G37" s="171">
        <f>ROUND(IF(E2="工业",C37*$M$42,C37*$M$41),0)</f>
        <v>1507</v>
      </c>
      <c r="H37" s="171">
        <f>D37</f>
        <v>942.8</v>
      </c>
      <c r="I37" s="171">
        <f>ROUND(G37*H37/10000,0)</f>
        <v>142</v>
      </c>
      <c r="J37" s="3011"/>
      <c r="K37" s="3358" t="s">
        <v>3267</v>
      </c>
      <c r="L37" s="3356">
        <f ca="1">L36+K38</f>
        <v>3.5999999999999997E-2</v>
      </c>
      <c r="M37" s="3357">
        <f ca="1">ROUND($L$37*(1+M31),3)</f>
        <v>4.4999999999999998E-2</v>
      </c>
      <c r="N37" s="3357">
        <f t="shared" ref="N37:Q37" ca="1" si="3">ROUND($L$37*(1+N31),3)</f>
        <v>4.2999999999999997E-2</v>
      </c>
      <c r="O37" s="3357">
        <f t="shared" ca="1" si="3"/>
        <v>4.1000000000000002E-2</v>
      </c>
      <c r="P37" s="3357">
        <f t="shared" ca="1" si="3"/>
        <v>0.04</v>
      </c>
      <c r="Q37" s="3357">
        <f t="shared" ca="1" si="3"/>
        <v>4.1000000000000002E-2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5"/>
      <c r="B38" s="2040" t="s">
        <v>2037</v>
      </c>
      <c r="C38" s="175">
        <f>ROUND(D5*C22*C23*C24*C28*F38,0)</f>
        <v>3014</v>
      </c>
      <c r="D38" s="2097"/>
      <c r="E38" s="171">
        <f t="shared" ref="E38:E42" si="4">ROUND(C38*D38/10000,0)</f>
        <v>0</v>
      </c>
      <c r="F38" s="171">
        <f>SUMIF(修正!A57:A68,G2,修正!C57:C68)</f>
        <v>0.3</v>
      </c>
      <c r="G38" s="171">
        <f>ROUND(IF(E2="工业",C38*$M$42,C38*$M$41),0)</f>
        <v>754</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5"/>
      <c r="B39" s="2040" t="s">
        <v>3260</v>
      </c>
      <c r="C39" s="175">
        <f>ROUND(D5*C22*C23*C24*C28*F39,0)</f>
        <v>2512</v>
      </c>
      <c r="D39" s="2097"/>
      <c r="E39" s="171">
        <f t="shared" si="4"/>
        <v>0</v>
      </c>
      <c r="F39" s="171">
        <f>SUMIF(修正!A57:A68,G2,修正!D57:D68)</f>
        <v>0.25</v>
      </c>
      <c r="G39" s="171">
        <f>ROUND(IF(E2="工业",C39*$M$42,C39*$M$41),0)</f>
        <v>628</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2512</v>
      </c>
      <c r="D40" s="2097"/>
      <c r="E40" s="171">
        <f t="shared" si="4"/>
        <v>0</v>
      </c>
      <c r="F40" s="175">
        <f>SUMIF(修正!A57:A68,G2,修正!E57:E68)</f>
        <v>0.25</v>
      </c>
      <c r="G40" s="171">
        <f>ROUND(IF(E2="工业",C40*$M$42,C40*$M$41),0)</f>
        <v>628</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2989</v>
      </c>
      <c r="D41" s="2097"/>
      <c r="E41" s="171">
        <f t="shared" si="4"/>
        <v>0</v>
      </c>
      <c r="F41" s="175">
        <f>SUMIF(修正!A57:A68,G2,修正!F57:F68)</f>
        <v>0.25</v>
      </c>
      <c r="G41" s="171">
        <f>ROUND(IF(E2="工业",C41*$M$42,C41*$M$41),0)</f>
        <v>747</v>
      </c>
      <c r="H41" s="171">
        <f t="shared" si="5"/>
        <v>0</v>
      </c>
      <c r="I41" s="171">
        <f t="shared" si="6"/>
        <v>0</v>
      </c>
      <c r="J41" s="2113"/>
      <c r="L41" s="3359" t="s">
        <v>3268</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1793</v>
      </c>
      <c r="D42" s="2102"/>
      <c r="E42" s="187">
        <f t="shared" si="4"/>
        <v>0</v>
      </c>
      <c r="F42" s="766">
        <f>SUMIF(修正!A57:A68,G2,修正!G57:G68)</f>
        <v>0.15</v>
      </c>
      <c r="G42" s="187">
        <f>ROUND(IF(E2="工业",C42*$M$42,C42*$M$41),0)</f>
        <v>448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0.83399999999999996</v>
      </c>
      <c r="D44" s="171" t="s">
        <v>1999</v>
      </c>
      <c r="E44" s="2152">
        <f>G24</f>
        <v>5.5E-2</v>
      </c>
      <c r="F44" s="171" t="s">
        <v>2008</v>
      </c>
      <c r="G44" s="183">
        <f>项目基本情况!D15+10</f>
        <v>28</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1.0526</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3399</v>
      </c>
      <c r="D50" s="1064">
        <f t="shared" ref="D50:D58" si="7">SUMIF($J$49:$N$49,C50,J50:N50)</f>
        <v>2.3E-2</v>
      </c>
      <c r="E50" s="743">
        <f>ROUND(SUM(D50:D58),4)</f>
        <v>5.2600000000000001E-2</v>
      </c>
      <c r="F50" s="1813">
        <f>IF(E2="商业",SUMIF(L1:L12,G2,N1:N12),"——")</f>
        <v>7.6999999999999999E-2</v>
      </c>
      <c r="G50" s="1062">
        <f>H50</f>
        <v>1.15E-2</v>
      </c>
      <c r="H50" s="1065">
        <f t="shared" ref="H50:H58" si="8">IFERROR(ROUNDDOWN($F$50*I50/2,4),"——")</f>
        <v>1.15E-2</v>
      </c>
      <c r="I50" s="3366">
        <v>0.3</v>
      </c>
      <c r="J50" s="1063">
        <f t="shared" ref="J50:J58" si="9">K50+$G50</f>
        <v>2.3E-2</v>
      </c>
      <c r="K50" s="1063">
        <f t="shared" ref="K50:K58" si="10">$L50+$G50</f>
        <v>1.15E-2</v>
      </c>
      <c r="L50" s="1063">
        <v>0</v>
      </c>
      <c r="M50" s="1063">
        <f t="shared" ref="M50:N58" si="11">L50-$G50</f>
        <v>-1.15E-2</v>
      </c>
      <c r="N50" s="1063">
        <f t="shared" si="11"/>
        <v>-2.3E-2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3396</v>
      </c>
      <c r="D51" s="1064">
        <f t="shared" si="7"/>
        <v>8.3999999999999995E-3</v>
      </c>
      <c r="E51" s="744"/>
      <c r="F51" s="1813"/>
      <c r="G51" s="1062">
        <f t="shared" ref="G51:G58" si="12">H51</f>
        <v>8.3999999999999995E-3</v>
      </c>
      <c r="H51" s="1065">
        <f t="shared" si="8"/>
        <v>8.3999999999999995E-3</v>
      </c>
      <c r="I51" s="3366">
        <v>0.22</v>
      </c>
      <c r="J51" s="1063">
        <f t="shared" si="9"/>
        <v>1.6799999999999999E-2</v>
      </c>
      <c r="K51" s="1063">
        <f t="shared" si="10"/>
        <v>8.3999999999999995E-3</v>
      </c>
      <c r="L51" s="1063">
        <v>0</v>
      </c>
      <c r="M51" s="1063">
        <f t="shared" si="11"/>
        <v>-8.3999999999999995E-3</v>
      </c>
      <c r="N51" s="1063">
        <f t="shared" si="11"/>
        <v>-1.6799999999999999E-2</v>
      </c>
      <c r="AA51" s="1119"/>
      <c r="AB51" s="1119"/>
      <c r="AC51" s="1119"/>
      <c r="AD51" s="1119"/>
      <c r="AE51" s="1119"/>
      <c r="AF51" s="1119"/>
      <c r="AG51" s="1119"/>
      <c r="AH51" s="1119"/>
      <c r="AI51" s="1119"/>
      <c r="AJ51" s="1119"/>
      <c r="AK51" s="1119"/>
    </row>
    <row r="52" spans="1:37" s="1118" customFormat="1" ht="36">
      <c r="A52" s="3368" t="s">
        <v>3270</v>
      </c>
      <c r="B52" s="2133">
        <f>估价对象房地状况!C19</f>
        <v>0</v>
      </c>
      <c r="C52" s="2043" t="s">
        <v>3396</v>
      </c>
      <c r="D52" s="1064">
        <f t="shared" si="7"/>
        <v>4.5999999999999999E-3</v>
      </c>
      <c r="E52" s="744"/>
      <c r="F52" s="1813"/>
      <c r="G52" s="1062">
        <f t="shared" si="12"/>
        <v>4.5999999999999999E-3</v>
      </c>
      <c r="H52" s="1065">
        <f t="shared" si="8"/>
        <v>4.5999999999999999E-3</v>
      </c>
      <c r="I52" s="3366">
        <v>0.12</v>
      </c>
      <c r="J52" s="1063">
        <f t="shared" si="9"/>
        <v>9.1999999999999998E-3</v>
      </c>
      <c r="K52" s="1063">
        <f t="shared" si="10"/>
        <v>4.5999999999999999E-3</v>
      </c>
      <c r="L52" s="1063">
        <v>0</v>
      </c>
      <c r="M52" s="1063">
        <f t="shared" si="11"/>
        <v>-4.5999999999999999E-3</v>
      </c>
      <c r="N52" s="1063">
        <f t="shared" si="11"/>
        <v>-9.1999999999999998E-3</v>
      </c>
      <c r="AA52" s="1119"/>
      <c r="AB52" s="1119"/>
      <c r="AC52" s="1119"/>
      <c r="AD52" s="1119"/>
      <c r="AE52" s="1119"/>
      <c r="AF52" s="1119"/>
      <c r="AG52" s="1119"/>
      <c r="AH52" s="1119"/>
      <c r="AI52" s="1119"/>
      <c r="AJ52" s="1119"/>
      <c r="AK52" s="1119"/>
    </row>
    <row r="53" spans="1:37" s="1118" customFormat="1" ht="36.75">
      <c r="A53" s="2129" t="s">
        <v>2054</v>
      </c>
      <c r="B53" s="2134" t="s">
        <v>2055</v>
      </c>
      <c r="C53" s="2043" t="s">
        <v>3396</v>
      </c>
      <c r="D53" s="1064">
        <f t="shared" si="7"/>
        <v>1.9E-3</v>
      </c>
      <c r="E53" s="744"/>
      <c r="F53" s="1813"/>
      <c r="G53" s="1062">
        <f t="shared" si="12"/>
        <v>1.9E-3</v>
      </c>
      <c r="H53" s="1065">
        <f t="shared" si="8"/>
        <v>1.9E-3</v>
      </c>
      <c r="I53" s="3366">
        <v>0.05</v>
      </c>
      <c r="J53" s="1063">
        <f t="shared" si="9"/>
        <v>3.8E-3</v>
      </c>
      <c r="K53" s="1063">
        <f t="shared" si="10"/>
        <v>1.9E-3</v>
      </c>
      <c r="L53" s="1063">
        <v>0</v>
      </c>
      <c r="M53" s="1063">
        <f t="shared" si="11"/>
        <v>-1.9E-3</v>
      </c>
      <c r="N53" s="1063">
        <f t="shared" si="11"/>
        <v>-3.8E-3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3396</v>
      </c>
      <c r="D54" s="1064">
        <f t="shared" si="7"/>
        <v>3.0000000000000001E-3</v>
      </c>
      <c r="E54" s="744"/>
      <c r="F54" s="1813"/>
      <c r="G54" s="1062">
        <f t="shared" si="12"/>
        <v>3.0000000000000001E-3</v>
      </c>
      <c r="H54" s="1065">
        <f t="shared" si="8"/>
        <v>3.0000000000000001E-3</v>
      </c>
      <c r="I54" s="3366">
        <v>0.08</v>
      </c>
      <c r="J54" s="1063">
        <f t="shared" si="9"/>
        <v>6.0000000000000001E-3</v>
      </c>
      <c r="K54" s="1063">
        <f t="shared" si="10"/>
        <v>3.0000000000000001E-3</v>
      </c>
      <c r="L54" s="1063">
        <v>0</v>
      </c>
      <c r="M54" s="1063">
        <f t="shared" si="11"/>
        <v>-3.0000000000000001E-3</v>
      </c>
      <c r="N54" s="1063">
        <f t="shared" si="11"/>
        <v>-6.0000000000000001E-3</v>
      </c>
      <c r="AA54" s="1119"/>
      <c r="AB54" s="1119"/>
      <c r="AC54" s="1119"/>
      <c r="AD54" s="1119"/>
      <c r="AE54" s="1119"/>
      <c r="AF54" s="1119"/>
      <c r="AG54" s="1119"/>
      <c r="AH54" s="1119"/>
      <c r="AI54" s="1119"/>
      <c r="AJ54" s="1119"/>
      <c r="AK54" s="1119"/>
    </row>
    <row r="55" spans="1:37" s="1118" customFormat="1" ht="24">
      <c r="A55" s="2129" t="s">
        <v>2057</v>
      </c>
      <c r="B55" s="2135" t="s">
        <v>2058</v>
      </c>
      <c r="C55" s="2043" t="s">
        <v>3396</v>
      </c>
      <c r="D55" s="1064">
        <f t="shared" si="7"/>
        <v>1.9E-3</v>
      </c>
      <c r="E55" s="744"/>
      <c r="F55" s="1813"/>
      <c r="G55" s="1062">
        <f t="shared" si="12"/>
        <v>1.9E-3</v>
      </c>
      <c r="H55" s="1065">
        <f t="shared" si="8"/>
        <v>1.9E-3</v>
      </c>
      <c r="I55" s="3366">
        <v>0.05</v>
      </c>
      <c r="J55" s="1063">
        <f t="shared" si="9"/>
        <v>3.8E-3</v>
      </c>
      <c r="K55" s="1063">
        <f t="shared" si="10"/>
        <v>1.9E-3</v>
      </c>
      <c r="L55" s="1063">
        <v>0</v>
      </c>
      <c r="M55" s="1063">
        <f t="shared" si="11"/>
        <v>-1.9E-3</v>
      </c>
      <c r="N55" s="1063">
        <f t="shared" si="11"/>
        <v>-3.8E-3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3396</v>
      </c>
      <c r="D56" s="1064">
        <f t="shared" si="7"/>
        <v>1.9E-3</v>
      </c>
      <c r="E56" s="744"/>
      <c r="F56" s="1813"/>
      <c r="G56" s="1062">
        <f t="shared" si="12"/>
        <v>1.9E-3</v>
      </c>
      <c r="H56" s="1065">
        <f t="shared" si="8"/>
        <v>1.9E-3</v>
      </c>
      <c r="I56" s="3366">
        <v>0.05</v>
      </c>
      <c r="J56" s="1063">
        <f t="shared" si="9"/>
        <v>3.8E-3</v>
      </c>
      <c r="K56" s="1063">
        <f t="shared" si="10"/>
        <v>1.9E-3</v>
      </c>
      <c r="L56" s="1063">
        <v>0</v>
      </c>
      <c r="M56" s="1063">
        <f t="shared" si="11"/>
        <v>-1.9E-3</v>
      </c>
      <c r="N56" s="1063">
        <f t="shared" si="11"/>
        <v>-3.8E-3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3399</v>
      </c>
      <c r="D57" s="1064">
        <f t="shared" si="7"/>
        <v>6.0000000000000001E-3</v>
      </c>
      <c r="E57" s="744"/>
      <c r="F57" s="1813"/>
      <c r="G57" s="1062">
        <f t="shared" si="12"/>
        <v>3.0000000000000001E-3</v>
      </c>
      <c r="H57" s="1065">
        <f t="shared" si="8"/>
        <v>3.0000000000000001E-3</v>
      </c>
      <c r="I57" s="3366">
        <v>0.08</v>
      </c>
      <c r="J57" s="1063">
        <f t="shared" si="9"/>
        <v>6.0000000000000001E-3</v>
      </c>
      <c r="K57" s="1063">
        <f t="shared" si="10"/>
        <v>3.0000000000000001E-3</v>
      </c>
      <c r="L57" s="1063">
        <v>0</v>
      </c>
      <c r="M57" s="1063">
        <f t="shared" si="11"/>
        <v>-3.0000000000000001E-3</v>
      </c>
      <c r="N57" s="1063">
        <f t="shared" si="11"/>
        <v>-6.0000000000000001E-3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3396</v>
      </c>
      <c r="D58" s="1064">
        <f t="shared" si="7"/>
        <v>1.9E-3</v>
      </c>
      <c r="E58" s="745"/>
      <c r="F58" s="1813"/>
      <c r="G58" s="1062">
        <f t="shared" si="12"/>
        <v>1.9E-3</v>
      </c>
      <c r="H58" s="1065">
        <f t="shared" si="8"/>
        <v>1.9E-3</v>
      </c>
      <c r="I58" s="3367">
        <v>0.05</v>
      </c>
      <c r="J58" s="1063">
        <f t="shared" si="9"/>
        <v>3.8E-3</v>
      </c>
      <c r="K58" s="1063">
        <f t="shared" si="10"/>
        <v>1.9E-3</v>
      </c>
      <c r="L58" s="1063">
        <v>0</v>
      </c>
      <c r="M58" s="1063">
        <f t="shared" si="11"/>
        <v>-1.9E-3</v>
      </c>
      <c r="N58" s="1063">
        <f t="shared" si="11"/>
        <v>-3.8E-3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3270</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3270</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t="e">
        <f>1+E83</f>
        <v>#VALUE!</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t="s">
        <v>3396</v>
      </c>
      <c r="D83" s="1064" t="e">
        <f t="shared" ref="D83:D90" si="23">SUMIF($J$82:$N$82,C83,J83:N83)</f>
        <v>#VALUE!</v>
      </c>
      <c r="E83" s="743" t="e">
        <f>ROUND(SUM(D83:D90),4)</f>
        <v>#VALUE!</v>
      </c>
      <c r="F83" s="1813" t="str">
        <f>IF(E2="工业",SUMIF(L1:L12,G2,N1:N12),"——")</f>
        <v>——</v>
      </c>
      <c r="G83" s="1062" t="str">
        <f>H83</f>
        <v>——</v>
      </c>
      <c r="H83" s="1065" t="str">
        <f t="shared" ref="H83:H90" si="24">IFERROR(ROUNDDOWN($F$83*I83/2,4),"——")</f>
        <v>——</v>
      </c>
      <c r="I83" s="3366">
        <v>0.26</v>
      </c>
      <c r="J83" s="1063" t="e">
        <f t="shared" ref="J83:J90" si="25">K83+$G83</f>
        <v>#VALUE!</v>
      </c>
      <c r="K83" s="1063" t="e">
        <f t="shared" ref="K83:K90" si="26">$L83+$G83</f>
        <v>#VALUE!</v>
      </c>
      <c r="L83" s="1063">
        <v>0</v>
      </c>
      <c r="M83" s="1063" t="e">
        <f t="shared" ref="M83:N90" si="27">L83-$G83</f>
        <v>#VALUE!</v>
      </c>
      <c r="N83" s="1063" t="e">
        <f t="shared" si="27"/>
        <v>#VALUE!</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t="s">
        <v>3397</v>
      </c>
      <c r="D84" s="1064">
        <f t="shared" si="23"/>
        <v>0</v>
      </c>
      <c r="E84" s="746"/>
      <c r="F84" s="1813"/>
      <c r="G84" s="1062" t="str">
        <f t="shared" ref="G84:G90" si="28">H84</f>
        <v>——</v>
      </c>
      <c r="H84" s="1065" t="str">
        <f t="shared" si="24"/>
        <v>——</v>
      </c>
      <c r="I84" s="3366">
        <v>0.3</v>
      </c>
      <c r="J84" s="1063" t="e">
        <f t="shared" si="25"/>
        <v>#VALUE!</v>
      </c>
      <c r="K84" s="1063" t="e">
        <f t="shared" si="26"/>
        <v>#VALUE!</v>
      </c>
      <c r="L84" s="1063">
        <v>0</v>
      </c>
      <c r="M84" s="1063" t="e">
        <f t="shared" si="27"/>
        <v>#VALUE!</v>
      </c>
      <c r="N84" s="1063" t="e">
        <f t="shared" si="27"/>
        <v>#VALUE!</v>
      </c>
      <c r="Z84" s="1997"/>
      <c r="AA84" s="2052"/>
      <c r="AG84" s="1120"/>
      <c r="AK84" s="2052"/>
    </row>
    <row r="85" spans="1:37" ht="36">
      <c r="A85" s="3368" t="s">
        <v>3271</v>
      </c>
      <c r="B85" s="2133">
        <f>估价对象房地状况!G17</f>
        <v>0</v>
      </c>
      <c r="C85" s="2043" t="s">
        <v>3396</v>
      </c>
      <c r="D85" s="1064" t="e">
        <f t="shared" si="23"/>
        <v>#VALUE!</v>
      </c>
      <c r="E85" s="746"/>
      <c r="F85" s="1813"/>
      <c r="G85" s="1062" t="str">
        <f t="shared" si="28"/>
        <v>——</v>
      </c>
      <c r="H85" s="1065" t="str">
        <f t="shared" si="24"/>
        <v>——</v>
      </c>
      <c r="I85" s="3366">
        <v>0.1</v>
      </c>
      <c r="J85" s="1063" t="e">
        <f t="shared" si="25"/>
        <v>#VALUE!</v>
      </c>
      <c r="K85" s="1063" t="e">
        <f t="shared" si="26"/>
        <v>#VALUE!</v>
      </c>
      <c r="L85" s="1063">
        <v>0</v>
      </c>
      <c r="M85" s="1063" t="e">
        <f t="shared" si="27"/>
        <v>#VALUE!</v>
      </c>
      <c r="N85" s="1063" t="e">
        <f t="shared" si="27"/>
        <v>#VALUE!</v>
      </c>
      <c r="Z85" s="1997"/>
      <c r="AA85" s="2052"/>
      <c r="AG85" s="1120"/>
      <c r="AK85" s="2052"/>
    </row>
    <row r="86" spans="1:37" ht="14.25">
      <c r="A86" s="2129" t="s">
        <v>2067</v>
      </c>
      <c r="B86" s="2133">
        <f>估价对象房地状况!G22</f>
        <v>0</v>
      </c>
      <c r="C86" s="2043" t="s">
        <v>3398</v>
      </c>
      <c r="D86" s="1064" t="e">
        <f t="shared" si="23"/>
        <v>#VALUE!</v>
      </c>
      <c r="E86" s="746"/>
      <c r="F86" s="1813"/>
      <c r="G86" s="1062" t="str">
        <f t="shared" si="28"/>
        <v>——</v>
      </c>
      <c r="H86" s="1065" t="str">
        <f t="shared" si="24"/>
        <v>——</v>
      </c>
      <c r="I86" s="3366">
        <v>0.05</v>
      </c>
      <c r="J86" s="1063" t="e">
        <f t="shared" si="25"/>
        <v>#VALUE!</v>
      </c>
      <c r="K86" s="1063" t="e">
        <f t="shared" si="26"/>
        <v>#VALUE!</v>
      </c>
      <c r="L86" s="1063">
        <v>0</v>
      </c>
      <c r="M86" s="1063" t="e">
        <f t="shared" si="27"/>
        <v>#VALUE!</v>
      </c>
      <c r="N86" s="1063" t="e">
        <f t="shared" si="27"/>
        <v>#VALUE!</v>
      </c>
      <c r="Z86" s="1997"/>
      <c r="AA86" s="2052"/>
      <c r="AG86" s="1120"/>
      <c r="AK86" s="2052"/>
    </row>
    <row r="87" spans="1:37" ht="25.5">
      <c r="A87" s="2129" t="s">
        <v>2059</v>
      </c>
      <c r="B87" s="1325" t="str">
        <f>估价对象房地状况!G19</f>
        <v>估价对象所在区域公共配套设施齐备情况</v>
      </c>
      <c r="C87" s="2043" t="s">
        <v>3397</v>
      </c>
      <c r="D87" s="1064">
        <f t="shared" si="23"/>
        <v>0</v>
      </c>
      <c r="E87" s="746"/>
      <c r="F87" s="1813"/>
      <c r="G87" s="1062" t="str">
        <f t="shared" si="28"/>
        <v>——</v>
      </c>
      <c r="H87" s="1065" t="str">
        <f t="shared" si="24"/>
        <v>——</v>
      </c>
      <c r="I87" s="3366">
        <v>0.06</v>
      </c>
      <c r="J87" s="1063" t="e">
        <f t="shared" si="25"/>
        <v>#VALUE!</v>
      </c>
      <c r="K87" s="1063" t="e">
        <f t="shared" si="26"/>
        <v>#VALUE!</v>
      </c>
      <c r="L87" s="1063">
        <v>0</v>
      </c>
      <c r="M87" s="1063" t="e">
        <f t="shared" si="27"/>
        <v>#VALUE!</v>
      </c>
      <c r="N87" s="1063" t="e">
        <f t="shared" si="27"/>
        <v>#VALUE!</v>
      </c>
    </row>
    <row r="88" spans="1:37" ht="25.5">
      <c r="A88" s="2129" t="s">
        <v>2060</v>
      </c>
      <c r="B88" s="1325" t="str">
        <f>估价对象房地状况!G20</f>
        <v>估价对象所在区域基础设施水平</v>
      </c>
      <c r="C88" s="2043" t="s">
        <v>3399</v>
      </c>
      <c r="D88" s="1064" t="e">
        <f t="shared" si="23"/>
        <v>#VALUE!</v>
      </c>
      <c r="E88" s="746"/>
      <c r="F88" s="1813"/>
      <c r="G88" s="1062" t="str">
        <f t="shared" si="28"/>
        <v>——</v>
      </c>
      <c r="H88" s="1065" t="str">
        <f t="shared" si="24"/>
        <v>——</v>
      </c>
      <c r="I88" s="3366">
        <v>0.12</v>
      </c>
      <c r="J88" s="1063" t="e">
        <f t="shared" si="25"/>
        <v>#VALUE!</v>
      </c>
      <c r="K88" s="1063" t="e">
        <f t="shared" si="26"/>
        <v>#VALUE!</v>
      </c>
      <c r="L88" s="1063">
        <v>0</v>
      </c>
      <c r="M88" s="1063" t="e">
        <f t="shared" si="27"/>
        <v>#VALUE!</v>
      </c>
      <c r="N88" s="1063" t="e">
        <f t="shared" si="27"/>
        <v>#VALUE!</v>
      </c>
    </row>
    <row r="89" spans="1:37" ht="24">
      <c r="A89" s="2129" t="s">
        <v>2057</v>
      </c>
      <c r="B89" s="2135" t="s">
        <v>2071</v>
      </c>
      <c r="C89" s="2043" t="s">
        <v>3396</v>
      </c>
      <c r="D89" s="1064" t="e">
        <f t="shared" si="23"/>
        <v>#VALUE!</v>
      </c>
      <c r="E89" s="746"/>
      <c r="F89" s="1813"/>
      <c r="G89" s="1062" t="str">
        <f t="shared" si="28"/>
        <v>——</v>
      </c>
      <c r="H89" s="1065" t="str">
        <f t="shared" si="24"/>
        <v>——</v>
      </c>
      <c r="I89" s="3366">
        <v>0.06</v>
      </c>
      <c r="J89" s="1063" t="e">
        <f t="shared" si="25"/>
        <v>#VALUE!</v>
      </c>
      <c r="K89" s="1063" t="e">
        <f t="shared" si="26"/>
        <v>#VALUE!</v>
      </c>
      <c r="L89" s="1063">
        <v>0</v>
      </c>
      <c r="M89" s="1063" t="e">
        <f t="shared" si="27"/>
        <v>#VALUE!</v>
      </c>
      <c r="N89" s="1063" t="e">
        <f t="shared" si="27"/>
        <v>#VALUE!</v>
      </c>
    </row>
    <row r="90" spans="1:37" ht="39" thickBot="1">
      <c r="A90" s="2137" t="s">
        <v>2072</v>
      </c>
      <c r="B90" s="2142" t="str">
        <f>估价对象房地状况!G18</f>
        <v>该园区内是否有污染型企业，绿化情况，卫生条件，整体环境状况判断</v>
      </c>
      <c r="C90" s="2043" t="s">
        <v>3396</v>
      </c>
      <c r="D90" s="1064" t="e">
        <f t="shared" si="23"/>
        <v>#VALUE!</v>
      </c>
      <c r="E90" s="747"/>
      <c r="F90" s="1813"/>
      <c r="G90" s="1062" t="str">
        <f t="shared" si="28"/>
        <v>——</v>
      </c>
      <c r="H90" s="1065" t="str">
        <f t="shared" si="24"/>
        <v>——</v>
      </c>
      <c r="I90" s="3367">
        <v>0.05</v>
      </c>
      <c r="J90" s="1063" t="e">
        <f t="shared" si="25"/>
        <v>#VALUE!</v>
      </c>
      <c r="K90" s="1063" t="e">
        <f t="shared" si="26"/>
        <v>#VALUE!</v>
      </c>
      <c r="L90" s="1063">
        <v>0</v>
      </c>
      <c r="M90" s="1063" t="e">
        <f t="shared" si="27"/>
        <v>#VALUE!</v>
      </c>
      <c r="N90" s="1063" t="e">
        <f t="shared" si="27"/>
        <v>#VALUE!</v>
      </c>
    </row>
    <row r="91" spans="1:37" ht="15">
      <c r="A91" s="3376" t="s">
        <v>2614</v>
      </c>
      <c r="B91" s="3377">
        <f>1+E93</f>
        <v>1</v>
      </c>
      <c r="C91" s="3370"/>
      <c r="D91" s="3371"/>
      <c r="E91" s="1813"/>
      <c r="F91" s="1813"/>
      <c r="G91" s="3372"/>
      <c r="H91" s="3373"/>
      <c r="I91" s="3374"/>
      <c r="J91" s="3375"/>
      <c r="K91" s="3375"/>
      <c r="L91" s="3375"/>
      <c r="M91" s="3375"/>
      <c r="N91" s="3375"/>
    </row>
    <row r="92" spans="1:37" ht="24.75">
      <c r="A92" s="3378" t="s">
        <v>3272</v>
      </c>
      <c r="B92" s="3365"/>
      <c r="C92" s="3365" t="s">
        <v>3281</v>
      </c>
      <c r="D92" s="3365" t="s">
        <v>3282</v>
      </c>
      <c r="E92" s="3347" t="s">
        <v>3283</v>
      </c>
      <c r="F92" s="3380" t="s">
        <v>3284</v>
      </c>
      <c r="G92" s="3365" t="s">
        <v>3285</v>
      </c>
      <c r="H92" s="3387" t="s">
        <v>3288</v>
      </c>
      <c r="I92" s="3365" t="s">
        <v>3289</v>
      </c>
      <c r="J92" s="3388" t="s">
        <v>3290</v>
      </c>
      <c r="K92" s="3388" t="s">
        <v>3291</v>
      </c>
      <c r="L92" s="3388" t="s">
        <v>3292</v>
      </c>
      <c r="M92" s="3388" t="s">
        <v>3293</v>
      </c>
      <c r="N92" s="3388" t="s">
        <v>3294</v>
      </c>
    </row>
    <row r="93" spans="1:37" ht="24">
      <c r="A93" s="3368" t="s">
        <v>3273</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3274</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3270</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3275</v>
      </c>
      <c r="B96" s="3384" t="s">
        <v>3286</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3276</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3277</v>
      </c>
      <c r="B98" s="3385" t="s">
        <v>3287</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3278</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3279</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3280</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52" t="s">
        <v>3295</v>
      </c>
      <c r="B103" s="3752"/>
      <c r="C103" s="3752"/>
      <c r="D103" s="3752"/>
      <c r="E103" s="3752"/>
      <c r="F103" s="3752"/>
      <c r="G103" s="3752"/>
      <c r="H103" s="3752"/>
      <c r="I103" s="3752"/>
      <c r="J103" s="3752"/>
      <c r="K103" s="3389"/>
      <c r="L103" s="3389"/>
      <c r="M103" s="3389"/>
      <c r="N103" s="3389"/>
    </row>
    <row r="104" spans="1:14">
      <c r="A104" s="3753" t="s">
        <v>3296</v>
      </c>
      <c r="B104" s="3753" t="s">
        <v>3297</v>
      </c>
      <c r="C104" s="3390" t="s">
        <v>3298</v>
      </c>
      <c r="D104" s="3391"/>
      <c r="E104" s="3391"/>
      <c r="F104" s="3391"/>
      <c r="G104" s="3391"/>
      <c r="H104" s="3391"/>
      <c r="I104" s="3391"/>
      <c r="J104" s="3392"/>
      <c r="K104" s="3393"/>
      <c r="L104" s="3393"/>
      <c r="M104" s="3393"/>
      <c r="N104" s="3393"/>
    </row>
    <row r="105" spans="1:14">
      <c r="A105" s="3753"/>
      <c r="B105" s="3753"/>
      <c r="C105" s="3394" t="s">
        <v>3299</v>
      </c>
      <c r="D105" s="3394" t="s">
        <v>3300</v>
      </c>
      <c r="E105" s="3394" t="s">
        <v>3301</v>
      </c>
      <c r="F105" s="3394" t="s">
        <v>3302</v>
      </c>
      <c r="G105" s="3394" t="s">
        <v>3303</v>
      </c>
      <c r="H105" s="3394" t="s">
        <v>3304</v>
      </c>
      <c r="I105" s="3394" t="s">
        <v>3305</v>
      </c>
      <c r="J105" s="3394" t="s">
        <v>3306</v>
      </c>
      <c r="K105" s="3394" t="s">
        <v>3307</v>
      </c>
      <c r="L105" s="3394" t="s">
        <v>3308</v>
      </c>
      <c r="M105" s="3394" t="s">
        <v>3309</v>
      </c>
      <c r="N105" s="3394" t="s">
        <v>3310</v>
      </c>
    </row>
    <row r="106" spans="1:14">
      <c r="A106" s="3739" t="s">
        <v>3311</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3269</v>
      </c>
      <c r="C111" s="3395">
        <f>$I$3</f>
        <v>1</v>
      </c>
      <c r="D111" s="3395">
        <f t="shared" ref="D111:M111" si="34">$I$3</f>
        <v>1</v>
      </c>
      <c r="E111" s="3395">
        <f t="shared" si="34"/>
        <v>1</v>
      </c>
      <c r="F111" s="3395">
        <f t="shared" si="34"/>
        <v>1</v>
      </c>
      <c r="G111" s="3395">
        <f t="shared" si="34"/>
        <v>1</v>
      </c>
      <c r="H111" s="3395">
        <f t="shared" si="34"/>
        <v>1</v>
      </c>
      <c r="I111" s="3395">
        <f t="shared" si="34"/>
        <v>1</v>
      </c>
      <c r="J111" s="3395">
        <f t="shared" si="34"/>
        <v>1</v>
      </c>
      <c r="K111" s="3395">
        <f t="shared" si="34"/>
        <v>1</v>
      </c>
      <c r="L111" s="3395">
        <f t="shared" si="34"/>
        <v>1</v>
      </c>
      <c r="M111" s="3395">
        <f t="shared" si="34"/>
        <v>1</v>
      </c>
      <c r="N111" s="3395">
        <f>$I$3</f>
        <v>1</v>
      </c>
    </row>
    <row r="112" spans="1:14">
      <c r="A112" s="3741"/>
      <c r="B112" s="3394">
        <v>6</v>
      </c>
      <c r="C112" s="3387">
        <f>(-0.5556*(C111^2)-0.2719*C111+8944)*(10^(-4))</f>
        <v>0.89431725000000006</v>
      </c>
      <c r="D112" s="3387">
        <f>(-0.5556*(D111^2)-0.2719*D111+8944)*(10^(-4))</f>
        <v>0.89431725000000006</v>
      </c>
      <c r="E112" s="3387">
        <f>(-0.7912*(E111^2)-11.3794*E111+8482)*(10^(-4))</f>
        <v>0.84698294000000007</v>
      </c>
      <c r="F112" s="3387">
        <f t="shared" ref="F112:I112" si="35">(-0.7912*(F111^2)-11.3794*F111+8482)*(10^(-4))</f>
        <v>0.84698294000000007</v>
      </c>
      <c r="G112" s="3387">
        <f t="shared" si="35"/>
        <v>0.84698294000000007</v>
      </c>
      <c r="H112" s="3387">
        <f t="shared" si="35"/>
        <v>0.84698294000000007</v>
      </c>
      <c r="I112" s="3387">
        <f t="shared" si="35"/>
        <v>0.84698294000000007</v>
      </c>
      <c r="J112" s="3387">
        <f>(-0.989*(J111^2)-63.78*J111+7771)*(10^(-4))</f>
        <v>0.77062310000000001</v>
      </c>
      <c r="K112" s="3387">
        <f t="shared" ref="K112:N112" si="36">(-0.989*(K111^2)-63.78*K111+7771)*(10^(-4))</f>
        <v>0.77062310000000001</v>
      </c>
      <c r="L112" s="3387">
        <f t="shared" si="36"/>
        <v>0.77062310000000001</v>
      </c>
      <c r="M112" s="3387">
        <f t="shared" si="36"/>
        <v>0.77062310000000001</v>
      </c>
      <c r="N112" s="3387">
        <f t="shared" si="36"/>
        <v>0.77062310000000001</v>
      </c>
    </row>
    <row r="113" spans="1:14">
      <c r="A113" s="3742" t="s">
        <v>3312</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3313</v>
      </c>
      <c r="B116" s="3415">
        <f>G3</f>
        <v>2.5</v>
      </c>
      <c r="C116" s="3399" t="s">
        <v>3314</v>
      </c>
      <c r="D116" s="3400">
        <f>SUMPRODUCT((A118:A122=F116)*(B117:M117=H116)*B118:M122)</f>
        <v>0.91400000000000003</v>
      </c>
      <c r="E116" s="1999" t="s">
        <v>3315</v>
      </c>
      <c r="F116" s="3401" t="str">
        <f>E2</f>
        <v>商业</v>
      </c>
      <c r="G116" s="1999" t="s">
        <v>3316</v>
      </c>
      <c r="H116" s="3401" t="str">
        <f>G2</f>
        <v>五级</v>
      </c>
      <c r="I116" s="1999"/>
      <c r="J116" s="3402"/>
      <c r="K116" s="3402"/>
      <c r="L116" s="3402"/>
      <c r="M116" s="3402"/>
      <c r="N116" s="3397"/>
    </row>
    <row r="117" spans="1:14">
      <c r="A117" s="3403"/>
      <c r="B117" s="3404" t="s">
        <v>3317</v>
      </c>
      <c r="C117" s="3404" t="s">
        <v>3318</v>
      </c>
      <c r="D117" s="3404" t="s">
        <v>3319</v>
      </c>
      <c r="E117" s="3405" t="s">
        <v>3320</v>
      </c>
      <c r="F117" s="3405" t="s">
        <v>3321</v>
      </c>
      <c r="G117" s="3405" t="s">
        <v>3322</v>
      </c>
      <c r="H117" s="3406" t="s">
        <v>3323</v>
      </c>
      <c r="I117" s="3406" t="s">
        <v>3324</v>
      </c>
      <c r="J117" s="3407" t="s">
        <v>3325</v>
      </c>
      <c r="K117" s="3407" t="s">
        <v>3326</v>
      </c>
      <c r="L117" s="3407" t="s">
        <v>3327</v>
      </c>
      <c r="M117" s="3408" t="s">
        <v>3328</v>
      </c>
      <c r="N117" s="3397"/>
    </row>
    <row r="118" spans="1:14">
      <c r="A118" s="3409" t="s">
        <v>3329</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7">I118</f>
        <v>0.80359999999999998</v>
      </c>
      <c r="K118" s="3387">
        <f t="shared" si="37"/>
        <v>0.80359999999999998</v>
      </c>
      <c r="L118" s="3387">
        <f t="shared" si="37"/>
        <v>0.80359999999999998</v>
      </c>
      <c r="M118" s="3410">
        <f t="shared" si="37"/>
        <v>0.80359999999999998</v>
      </c>
      <c r="N118" s="3397"/>
    </row>
    <row r="119" spans="1:14">
      <c r="A119" s="3409" t="s">
        <v>3330</v>
      </c>
      <c r="B119" s="3387">
        <f>ROUND(0.993-0.0112*B116,4)</f>
        <v>0.96499999999999997</v>
      </c>
      <c r="C119" s="3387">
        <f>B119</f>
        <v>0.96499999999999997</v>
      </c>
      <c r="D119" s="3387">
        <f>ROUND(0.9415-0.0142*B116,4)</f>
        <v>0.90600000000000003</v>
      </c>
      <c r="E119" s="3387">
        <f t="shared" ref="E119:H120" si="38">D119</f>
        <v>0.90600000000000003</v>
      </c>
      <c r="F119" s="3387">
        <f t="shared" si="38"/>
        <v>0.90600000000000003</v>
      </c>
      <c r="G119" s="3387">
        <f t="shared" si="38"/>
        <v>0.90600000000000003</v>
      </c>
      <c r="H119" s="3387">
        <f t="shared" si="38"/>
        <v>0.90600000000000003</v>
      </c>
      <c r="I119" s="3387">
        <f>ROUND(0.838-0.0182*B116,4)</f>
        <v>0.79249999999999998</v>
      </c>
      <c r="J119" s="3387">
        <f t="shared" si="37"/>
        <v>0.79249999999999998</v>
      </c>
      <c r="K119" s="3387">
        <f t="shared" si="37"/>
        <v>0.79249999999999998</v>
      </c>
      <c r="L119" s="3387">
        <f t="shared" si="37"/>
        <v>0.79249999999999998</v>
      </c>
      <c r="M119" s="3410">
        <f t="shared" si="37"/>
        <v>0.79249999999999998</v>
      </c>
      <c r="N119" s="3397"/>
    </row>
    <row r="120" spans="1:14">
      <c r="A120" s="3409" t="s">
        <v>3331</v>
      </c>
      <c r="B120" s="3387">
        <f>ROUND(0.9448-0.0115*B116,4)</f>
        <v>0.91610000000000003</v>
      </c>
      <c r="C120" s="3387">
        <f>B120</f>
        <v>0.91610000000000003</v>
      </c>
      <c r="D120" s="3387">
        <f>ROUND(0.937-0.0145*B116,4)</f>
        <v>0.90080000000000005</v>
      </c>
      <c r="E120" s="3387">
        <f t="shared" si="38"/>
        <v>0.90080000000000005</v>
      </c>
      <c r="F120" s="3387">
        <f t="shared" si="38"/>
        <v>0.90080000000000005</v>
      </c>
      <c r="G120" s="3387">
        <f t="shared" si="38"/>
        <v>0.90080000000000005</v>
      </c>
      <c r="H120" s="3387">
        <f t="shared" si="38"/>
        <v>0.90080000000000005</v>
      </c>
      <c r="I120" s="3387">
        <f>ROUND(0.7965-0.0185*B116,4)</f>
        <v>0.75029999999999997</v>
      </c>
      <c r="J120" s="3387">
        <f t="shared" si="37"/>
        <v>0.75029999999999997</v>
      </c>
      <c r="K120" s="3387">
        <f t="shared" si="37"/>
        <v>0.75029999999999997</v>
      </c>
      <c r="L120" s="3387">
        <f t="shared" si="37"/>
        <v>0.75029999999999997</v>
      </c>
      <c r="M120" s="3410">
        <f t="shared" si="37"/>
        <v>0.75029999999999997</v>
      </c>
      <c r="N120" s="3397"/>
    </row>
    <row r="121" spans="1:14" ht="13.5" thickBot="1">
      <c r="A121" s="3411" t="s">
        <v>3332</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7"/>
        <v>0.54300000000000004</v>
      </c>
      <c r="K121" s="3412">
        <f t="shared" si="37"/>
        <v>0.54300000000000004</v>
      </c>
      <c r="L121" s="3412">
        <f t="shared" si="37"/>
        <v>0.54300000000000004</v>
      </c>
      <c r="M121" s="3413">
        <f t="shared" si="37"/>
        <v>0.54300000000000004</v>
      </c>
      <c r="N121" s="3397"/>
    </row>
    <row r="122" spans="1:14">
      <c r="A122" s="3414" t="s">
        <v>2614</v>
      </c>
      <c r="B122" s="3387">
        <f>ROUND(0.9404-0.0106*B116,4)</f>
        <v>0.91390000000000005</v>
      </c>
      <c r="C122" s="3387">
        <f>B122</f>
        <v>0.91390000000000005</v>
      </c>
      <c r="D122" s="3387">
        <f>ROUND(0.8955-0.0135*B116,4)</f>
        <v>0.86180000000000001</v>
      </c>
      <c r="E122" s="3387">
        <f t="shared" ref="E122:H122" si="39">D122</f>
        <v>0.86180000000000001</v>
      </c>
      <c r="F122" s="3387">
        <f t="shared" si="39"/>
        <v>0.86180000000000001</v>
      </c>
      <c r="G122" s="3387">
        <f t="shared" si="39"/>
        <v>0.86180000000000001</v>
      </c>
      <c r="H122" s="3387">
        <f t="shared" si="39"/>
        <v>0.86180000000000001</v>
      </c>
      <c r="I122" s="3387">
        <f>ROUND(0.7632-0.0166*B116,4)</f>
        <v>0.72170000000000001</v>
      </c>
      <c r="J122" s="3387">
        <f t="shared" si="37"/>
        <v>0.72170000000000001</v>
      </c>
      <c r="K122" s="3387">
        <f t="shared" si="37"/>
        <v>0.72170000000000001</v>
      </c>
      <c r="L122" s="3387">
        <f t="shared" si="37"/>
        <v>0.72170000000000001</v>
      </c>
      <c r="M122" s="3410">
        <f t="shared" si="37"/>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9" t="s">
        <v>1770</v>
      </c>
      <c r="D4" s="3670"/>
      <c r="E4" s="3671" t="s">
        <v>1771</v>
      </c>
      <c r="F4" s="3672"/>
      <c r="G4" s="3669" t="s">
        <v>1772</v>
      </c>
      <c r="H4" s="3670"/>
      <c r="I4" s="3669" t="s">
        <v>1773</v>
      </c>
      <c r="J4" s="3670"/>
      <c r="K4" s="559" t="s">
        <v>1774</v>
      </c>
      <c r="L4" s="2714"/>
      <c r="M4" s="2715"/>
      <c r="N4" s="2715"/>
      <c r="O4" s="2715"/>
      <c r="P4" s="3673" t="s">
        <v>1775</v>
      </c>
      <c r="Q4" s="3674"/>
      <c r="R4" s="3655" t="s">
        <v>1771</v>
      </c>
      <c r="S4" s="3656"/>
      <c r="T4" s="3655" t="s">
        <v>1772</v>
      </c>
      <c r="U4" s="3656"/>
      <c r="V4" s="3681" t="s">
        <v>1773</v>
      </c>
      <c r="W4" s="3681"/>
      <c r="X4" s="1354"/>
      <c r="Y4" s="3655" t="s">
        <v>1775</v>
      </c>
      <c r="Z4" s="3656"/>
      <c r="AA4" s="3650" t="s">
        <v>1771</v>
      </c>
      <c r="AB4" s="3651" t="s">
        <v>1772</v>
      </c>
      <c r="AC4" s="3650" t="s">
        <v>1773</v>
      </c>
    </row>
    <row r="5" spans="1:29" ht="15">
      <c r="A5" s="358"/>
      <c r="B5" s="359"/>
      <c r="C5" s="3661" t="s">
        <v>1673</v>
      </c>
      <c r="D5" s="3662"/>
      <c r="E5" s="3719" t="s">
        <v>1674</v>
      </c>
      <c r="F5" s="3660"/>
      <c r="G5" s="3661" t="s">
        <v>1675</v>
      </c>
      <c r="H5" s="3662"/>
      <c r="I5" s="3661" t="s">
        <v>1676</v>
      </c>
      <c r="J5" s="3662"/>
      <c r="K5" s="559"/>
      <c r="L5" s="2714"/>
      <c r="M5" s="2715"/>
      <c r="N5" s="2715"/>
      <c r="O5" s="2715"/>
      <c r="P5" s="3675"/>
      <c r="Q5" s="3676"/>
      <c r="R5" s="3657"/>
      <c r="S5" s="3658"/>
      <c r="T5" s="3657"/>
      <c r="U5" s="3658"/>
      <c r="V5" s="3681"/>
      <c r="W5" s="3681"/>
      <c r="X5" s="1354"/>
      <c r="Y5" s="3657"/>
      <c r="Z5" s="3658"/>
      <c r="AA5" s="3651"/>
      <c r="AB5" s="3651"/>
      <c r="AC5" s="3651"/>
    </row>
    <row r="6" spans="1:29" ht="15.75" thickBot="1">
      <c r="A6" s="360"/>
      <c r="B6" s="361"/>
      <c r="C6" s="3758" t="s">
        <v>1919</v>
      </c>
      <c r="D6" s="3759"/>
      <c r="E6" s="3760" t="s">
        <v>1919</v>
      </c>
      <c r="F6" s="3761"/>
      <c r="G6" s="3758" t="s">
        <v>1919</v>
      </c>
      <c r="H6" s="3759"/>
      <c r="I6" s="3758" t="s">
        <v>1919</v>
      </c>
      <c r="J6" s="3759"/>
      <c r="K6" s="559" t="s">
        <v>1678</v>
      </c>
      <c r="L6" s="2714"/>
      <c r="M6" s="2715"/>
      <c r="N6" s="2715"/>
      <c r="O6" s="2715"/>
      <c r="P6" s="3677"/>
      <c r="Q6" s="3678"/>
      <c r="R6" s="3657"/>
      <c r="S6" s="3658"/>
      <c r="T6" s="3679"/>
      <c r="U6" s="3680"/>
      <c r="V6" s="3681"/>
      <c r="W6" s="3681"/>
      <c r="X6" s="1354"/>
      <c r="Y6" s="3679"/>
      <c r="Z6" s="3680"/>
      <c r="AA6" s="3652"/>
      <c r="AB6" s="3652"/>
      <c r="AC6" s="3652"/>
    </row>
    <row r="7" spans="1:29" s="108" customFormat="1" ht="15.75" thickBot="1">
      <c r="A7" s="362" t="s">
        <v>1679</v>
      </c>
      <c r="B7" s="363"/>
      <c r="C7" s="364">
        <f>'数据-取费表'!B2</f>
        <v>45609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3" t="s">
        <v>1680</v>
      </c>
      <c r="Q7" s="3682"/>
      <c r="R7" s="700" t="s">
        <v>14</v>
      </c>
      <c r="S7" s="701">
        <f t="shared" ref="S7:S15" si="0">F7</f>
        <v>0</v>
      </c>
      <c r="T7" s="700" t="s">
        <v>14</v>
      </c>
      <c r="U7" s="701">
        <f t="shared" ref="U7:U15" si="1">H7</f>
        <v>0</v>
      </c>
      <c r="V7" s="700" t="s">
        <v>14</v>
      </c>
      <c r="W7" s="701">
        <f t="shared" ref="W7:W15" si="2">J7</f>
        <v>0</v>
      </c>
      <c r="X7" s="702"/>
      <c r="Y7" s="3653" t="s">
        <v>1680</v>
      </c>
      <c r="Z7" s="365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3" t="s">
        <v>1683</v>
      </c>
      <c r="Q8" s="3654"/>
      <c r="R8" s="700" t="s">
        <v>14</v>
      </c>
      <c r="S8" s="701">
        <f t="shared" si="0"/>
        <v>0</v>
      </c>
      <c r="T8" s="700" t="s">
        <v>14</v>
      </c>
      <c r="U8" s="701">
        <f t="shared" si="1"/>
        <v>0</v>
      </c>
      <c r="V8" s="700" t="s">
        <v>14</v>
      </c>
      <c r="W8" s="701">
        <f t="shared" si="2"/>
        <v>0</v>
      </c>
      <c r="X8" s="702"/>
      <c r="Y8" s="3653" t="s">
        <v>1683</v>
      </c>
      <c r="Z8" s="365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8" t="s">
        <v>1686</v>
      </c>
      <c r="Q9" s="1342" t="str">
        <f t="shared" ref="Q9:Q15" si="6">B9</f>
        <v>用途</v>
      </c>
      <c r="R9" s="700" t="s">
        <v>14</v>
      </c>
      <c r="S9" s="701">
        <f t="shared" si="0"/>
        <v>100</v>
      </c>
      <c r="T9" s="700" t="s">
        <v>14</v>
      </c>
      <c r="U9" s="701">
        <f t="shared" si="1"/>
        <v>100</v>
      </c>
      <c r="V9" s="700" t="s">
        <v>14</v>
      </c>
      <c r="W9" s="701">
        <f t="shared" si="2"/>
        <v>100</v>
      </c>
      <c r="X9" s="702"/>
      <c r="Y9" s="3618"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19"/>
      <c r="L10" s="2718"/>
      <c r="M10" s="2719"/>
      <c r="N10" s="2719"/>
      <c r="O10" s="2772"/>
      <c r="P10" s="3668"/>
      <c r="Q10" s="1342" t="str">
        <f t="shared" si="6"/>
        <v>土地使用年限（年）</v>
      </c>
      <c r="R10" s="700" t="s">
        <v>14</v>
      </c>
      <c r="S10" s="701">
        <f t="shared" si="0"/>
        <v>147</v>
      </c>
      <c r="T10" s="700" t="s">
        <v>14</v>
      </c>
      <c r="U10" s="701">
        <f t="shared" si="1"/>
        <v>147</v>
      </c>
      <c r="V10" s="700" t="s">
        <v>14</v>
      </c>
      <c r="W10" s="701">
        <f t="shared" si="2"/>
        <v>147</v>
      </c>
      <c r="X10" s="702"/>
      <c r="Y10" s="3618"/>
      <c r="Z10" s="52" t="str">
        <f t="shared" si="7"/>
        <v>土地使用年限（年）</v>
      </c>
      <c r="AA10" s="703">
        <f t="shared" si="3"/>
        <v>0.68027210884353739</v>
      </c>
      <c r="AB10" s="703">
        <f t="shared" si="4"/>
        <v>0.68027210884353739</v>
      </c>
      <c r="AC10" s="703">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8"/>
      <c r="Q11" s="1342" t="str">
        <f t="shared" si="6"/>
        <v>容积率</v>
      </c>
      <c r="R11" s="700" t="s">
        <v>14</v>
      </c>
      <c r="S11" s="701" t="e">
        <f t="shared" si="0"/>
        <v>#N/A</v>
      </c>
      <c r="T11" s="700" t="s">
        <v>14</v>
      </c>
      <c r="U11" s="701" t="e">
        <f t="shared" si="1"/>
        <v>#N/A</v>
      </c>
      <c r="V11" s="700" t="s">
        <v>14</v>
      </c>
      <c r="W11" s="701" t="e">
        <f t="shared" si="2"/>
        <v>#N/A</v>
      </c>
      <c r="X11" s="702"/>
      <c r="Y11" s="3618"/>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8"/>
      <c r="Q12" s="1342">
        <f t="shared" si="6"/>
        <v>111</v>
      </c>
      <c r="R12" s="700" t="s">
        <v>14</v>
      </c>
      <c r="S12" s="701">
        <f t="shared" si="0"/>
        <v>100</v>
      </c>
      <c r="T12" s="700" t="s">
        <v>14</v>
      </c>
      <c r="U12" s="701">
        <f t="shared" si="1"/>
        <v>100</v>
      </c>
      <c r="V12" s="700" t="s">
        <v>14</v>
      </c>
      <c r="W12" s="701">
        <f t="shared" si="2"/>
        <v>100</v>
      </c>
      <c r="X12" s="702"/>
      <c r="Y12" s="3618"/>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8"/>
      <c r="Q13" s="1342">
        <f t="shared" si="6"/>
        <v>111</v>
      </c>
      <c r="R13" s="700" t="s">
        <v>14</v>
      </c>
      <c r="S13" s="701">
        <f t="shared" si="0"/>
        <v>100</v>
      </c>
      <c r="T13" s="700" t="s">
        <v>14</v>
      </c>
      <c r="U13" s="701">
        <f t="shared" si="1"/>
        <v>100</v>
      </c>
      <c r="V13" s="700" t="s">
        <v>14</v>
      </c>
      <c r="W13" s="701">
        <f t="shared" si="2"/>
        <v>100</v>
      </c>
      <c r="X13" s="702"/>
      <c r="Y13" s="3618"/>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8"/>
      <c r="Q14" s="1342">
        <f t="shared" si="6"/>
        <v>111</v>
      </c>
      <c r="R14" s="700" t="s">
        <v>14</v>
      </c>
      <c r="S14" s="701">
        <f t="shared" si="0"/>
        <v>100</v>
      </c>
      <c r="T14" s="700" t="s">
        <v>14</v>
      </c>
      <c r="U14" s="701">
        <f t="shared" si="1"/>
        <v>100</v>
      </c>
      <c r="V14" s="700" t="s">
        <v>14</v>
      </c>
      <c r="W14" s="701">
        <f t="shared" si="2"/>
        <v>100</v>
      </c>
      <c r="X14" s="702"/>
      <c r="Y14" s="3618"/>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685" t="s">
        <v>1696</v>
      </c>
      <c r="Q32" s="1351">
        <f t="shared" si="8"/>
        <v>111</v>
      </c>
      <c r="R32" s="704" t="s">
        <v>14</v>
      </c>
      <c r="S32" s="705">
        <f t="shared" si="10"/>
        <v>100</v>
      </c>
      <c r="T32" s="704" t="s">
        <v>14</v>
      </c>
      <c r="U32" s="705">
        <f t="shared" si="11"/>
        <v>100</v>
      </c>
      <c r="V32" s="704" t="s">
        <v>14</v>
      </c>
      <c r="W32" s="705">
        <f t="shared" si="12"/>
        <v>100</v>
      </c>
      <c r="X32" s="1354"/>
      <c r="Y32" s="3686"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86"/>
      <c r="Q33" s="1351">
        <f t="shared" si="8"/>
        <v>111</v>
      </c>
      <c r="R33" s="707" t="s">
        <v>14</v>
      </c>
      <c r="S33" s="708">
        <f t="shared" si="10"/>
        <v>100</v>
      </c>
      <c r="T33" s="707" t="s">
        <v>14</v>
      </c>
      <c r="U33" s="708">
        <f t="shared" si="11"/>
        <v>100</v>
      </c>
      <c r="V33" s="707" t="s">
        <v>14</v>
      </c>
      <c r="W33" s="708">
        <f t="shared" si="12"/>
        <v>100</v>
      </c>
      <c r="X33" s="709"/>
      <c r="Y33" s="3686"/>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86"/>
      <c r="Q34" s="1351" t="str">
        <f>B34</f>
        <v>宗地面积</v>
      </c>
      <c r="R34" s="704" t="s">
        <v>14</v>
      </c>
      <c r="S34" s="705" t="e">
        <f t="shared" si="10"/>
        <v>#N/A</v>
      </c>
      <c r="T34" s="704" t="s">
        <v>14</v>
      </c>
      <c r="U34" s="705" t="e">
        <f t="shared" si="11"/>
        <v>#N/A</v>
      </c>
      <c r="V34" s="704" t="s">
        <v>14</v>
      </c>
      <c r="W34" s="705" t="e">
        <f t="shared" si="12"/>
        <v>#N/A</v>
      </c>
      <c r="X34" s="1354"/>
      <c r="Y34" s="368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6"/>
      <c r="Q35" s="1351" t="str">
        <f t="shared" ref="Q35:Q40" si="14">B35</f>
        <v>宗地形状</v>
      </c>
      <c r="R35" s="704" t="s">
        <v>14</v>
      </c>
      <c r="S35" s="705">
        <f t="shared" si="10"/>
        <v>100</v>
      </c>
      <c r="T35" s="704" t="s">
        <v>14</v>
      </c>
      <c r="U35" s="705">
        <f t="shared" si="11"/>
        <v>100</v>
      </c>
      <c r="V35" s="704" t="s">
        <v>14</v>
      </c>
      <c r="W35" s="705">
        <f t="shared" si="12"/>
        <v>100</v>
      </c>
      <c r="X35" s="1354"/>
      <c r="Y35" s="368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6"/>
      <c r="Q36" s="1351" t="str">
        <f t="shared" si="14"/>
        <v>宗地开发程度</v>
      </c>
      <c r="R36" s="700" t="s">
        <v>14</v>
      </c>
      <c r="S36" s="701">
        <f t="shared" si="10"/>
        <v>100</v>
      </c>
      <c r="T36" s="700" t="s">
        <v>14</v>
      </c>
      <c r="U36" s="701">
        <f t="shared" si="11"/>
        <v>100</v>
      </c>
      <c r="V36" s="700" t="s">
        <v>14</v>
      </c>
      <c r="W36" s="701">
        <f t="shared" si="12"/>
        <v>100</v>
      </c>
      <c r="X36" s="702"/>
      <c r="Y36" s="368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6" t="s">
        <v>1696</v>
      </c>
      <c r="Q37" s="1351" t="str">
        <f t="shared" si="14"/>
        <v>工程地质条件</v>
      </c>
      <c r="R37" s="704" t="s">
        <v>14</v>
      </c>
      <c r="S37" s="705">
        <f t="shared" si="10"/>
        <v>100</v>
      </c>
      <c r="T37" s="704" t="s">
        <v>14</v>
      </c>
      <c r="U37" s="705">
        <f t="shared" si="11"/>
        <v>100</v>
      </c>
      <c r="V37" s="704" t="s">
        <v>14</v>
      </c>
      <c r="W37" s="705">
        <f t="shared" si="12"/>
        <v>100</v>
      </c>
      <c r="X37" s="1354"/>
      <c r="Y37" s="3686"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86"/>
      <c r="Q38" s="1351">
        <f t="shared" si="14"/>
        <v>111</v>
      </c>
      <c r="R38" s="704" t="s">
        <v>14</v>
      </c>
      <c r="S38" s="705">
        <f t="shared" si="10"/>
        <v>100</v>
      </c>
      <c r="T38" s="704" t="s">
        <v>14</v>
      </c>
      <c r="U38" s="705">
        <f t="shared" si="11"/>
        <v>100</v>
      </c>
      <c r="V38" s="704" t="s">
        <v>14</v>
      </c>
      <c r="W38" s="705">
        <f t="shared" si="12"/>
        <v>100</v>
      </c>
      <c r="X38" s="1354"/>
      <c r="Y38" s="3686"/>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86"/>
      <c r="Q39" s="1351">
        <f t="shared" si="14"/>
        <v>111</v>
      </c>
      <c r="R39" s="704" t="s">
        <v>14</v>
      </c>
      <c r="S39" s="705">
        <f t="shared" si="10"/>
        <v>100</v>
      </c>
      <c r="T39" s="704" t="s">
        <v>14</v>
      </c>
      <c r="U39" s="705">
        <f t="shared" si="11"/>
        <v>100</v>
      </c>
      <c r="V39" s="704" t="s">
        <v>14</v>
      </c>
      <c r="W39" s="705">
        <f t="shared" si="12"/>
        <v>100</v>
      </c>
      <c r="X39" s="1354"/>
      <c r="Y39" s="3686"/>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86"/>
      <c r="Q40" s="1351">
        <f t="shared" si="14"/>
        <v>111</v>
      </c>
      <c r="R40" s="707" t="s">
        <v>14</v>
      </c>
      <c r="S40" s="708">
        <f t="shared" si="10"/>
        <v>100</v>
      </c>
      <c r="T40" s="707" t="s">
        <v>14</v>
      </c>
      <c r="U40" s="708">
        <f t="shared" si="11"/>
        <v>100</v>
      </c>
      <c r="V40" s="707" t="s">
        <v>14</v>
      </c>
      <c r="W40" s="708">
        <f t="shared" si="12"/>
        <v>100</v>
      </c>
      <c r="X40" s="709"/>
      <c r="Y40" s="3686"/>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8" t="str">
        <f>A41</f>
        <v>成交单价</v>
      </c>
      <c r="Q41" s="3668"/>
      <c r="R41" s="3681">
        <f>E41</f>
        <v>0</v>
      </c>
      <c r="S41" s="3681"/>
      <c r="T41" s="3681">
        <f>G41</f>
        <v>0</v>
      </c>
      <c r="U41" s="3681"/>
      <c r="V41" s="3681">
        <f>I41</f>
        <v>0</v>
      </c>
      <c r="W41" s="3681"/>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8" t="str">
        <f>A42</f>
        <v>比较价值（元/平方米）</v>
      </c>
      <c r="Q42" s="3668"/>
      <c r="R42" s="3736" t="e">
        <f>ROUND(PRODUCT(R41,AA7:AA40),0)</f>
        <v>#DIV/0!</v>
      </c>
      <c r="S42" s="3736"/>
      <c r="T42" s="3736" t="e">
        <f>ROUND(PRODUCT(T41,AB7:AB40),0)</f>
        <v>#DIV/0!</v>
      </c>
      <c r="U42" s="3736"/>
      <c r="V42" s="3736" t="e">
        <f>ROUND(PRODUCT(V41,AC7:AC40),0)</f>
        <v>#DIV/0!</v>
      </c>
      <c r="W42" s="373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89" t="str">
        <f>A43</f>
        <v>估价对象XX用房的比较价值（楼面单价，元/平方米）</v>
      </c>
      <c r="Q43" s="3690"/>
      <c r="R43" s="3737" t="e">
        <f>ROUND(IF(D42="简单平均",AVERAGE(R42:W42),R42*F42+T42*H42+V42*J42),0)</f>
        <v>#DIV/0!</v>
      </c>
      <c r="S43" s="3737"/>
      <c r="T43" s="3737"/>
      <c r="U43" s="3737"/>
      <c r="V43" s="3737"/>
      <c r="W43" s="373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9" t="s">
        <v>1887</v>
      </c>
      <c r="H50" s="373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0</v>
      </c>
      <c r="F51" s="638" t="e">
        <f t="shared" ref="F51:F60" si="15">ROUND(B51*E51/10000,0)</f>
        <v>#DIV/0!</v>
      </c>
      <c r="G51" s="3692"/>
      <c r="H51" s="366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0.6</v>
      </c>
      <c r="D52" s="944">
        <v>0.25</v>
      </c>
      <c r="E52" s="641"/>
      <c r="F52" s="638" t="e">
        <f t="shared" si="15"/>
        <v>#DIV/0!</v>
      </c>
      <c r="G52" s="3005" t="s">
        <v>1892</v>
      </c>
      <c r="H52" s="886" t="str">
        <f>项目基本情况!B37</f>
        <v>五级</v>
      </c>
      <c r="I52" s="772">
        <f>SUMIF(修正!A57:A68,H52,修正!B57:B68)</f>
        <v>0.6</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0.3</v>
      </c>
      <c r="D53" s="944">
        <v>0.25</v>
      </c>
      <c r="E53" s="641"/>
      <c r="F53" s="638" t="e">
        <f t="shared" si="15"/>
        <v>#DIV/0!</v>
      </c>
      <c r="G53" s="3006"/>
      <c r="H53" s="886" t="str">
        <f>项目基本情况!B37</f>
        <v>五级</v>
      </c>
      <c r="I53" s="772">
        <f>SUMIF(修正!A57:A68,H53,修正!C57:C68)</f>
        <v>0.3</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0.25</v>
      </c>
      <c r="D54" s="944">
        <v>0.25</v>
      </c>
      <c r="E54" s="641"/>
      <c r="F54" s="638" t="e">
        <f t="shared" si="15"/>
        <v>#DIV/0!</v>
      </c>
      <c r="G54" s="3006"/>
      <c r="H54" s="886" t="str">
        <f>项目基本情况!B37</f>
        <v>五级</v>
      </c>
      <c r="I54" s="772">
        <f>SUMIF(修正!A57:A68,H54,修正!D57:D68)</f>
        <v>0.25</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0.15</v>
      </c>
      <c r="D59" s="944">
        <v>0.25</v>
      </c>
      <c r="E59" s="217">
        <f>'数据-汇总表'!E14</f>
        <v>0</v>
      </c>
      <c r="F59" s="638" t="e">
        <f t="shared" si="15"/>
        <v>#DIV/0!</v>
      </c>
      <c r="G59" s="1986" t="s">
        <v>1892</v>
      </c>
      <c r="H59" s="886" t="str">
        <f>项目基本情况!B37</f>
        <v>五级</v>
      </c>
      <c r="I59" s="772">
        <f>SUMIF(修正!A57:A68,H59,修正!G57:G68)</f>
        <v>0.15</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2024-11-1</v>
      </c>
      <c r="D63" s="691">
        <f>EDATE(C63,-3)</f>
        <v>45505</v>
      </c>
      <c r="E63" s="691">
        <f>EDATE(D63,-3)</f>
        <v>45413</v>
      </c>
      <c r="F63" s="691">
        <f t="shared" ref="F63:O63" si="18">EDATE(E63,-3)</f>
        <v>45323</v>
      </c>
      <c r="G63" s="691">
        <f t="shared" si="18"/>
        <v>45231</v>
      </c>
      <c r="H63" s="691">
        <f t="shared" si="18"/>
        <v>45139</v>
      </c>
      <c r="I63" s="691">
        <f t="shared" si="18"/>
        <v>45047</v>
      </c>
      <c r="J63" s="691">
        <f t="shared" si="18"/>
        <v>44958</v>
      </c>
      <c r="K63" s="691">
        <f t="shared" si="18"/>
        <v>44866</v>
      </c>
      <c r="L63" s="691">
        <f t="shared" si="18"/>
        <v>44774</v>
      </c>
      <c r="M63" s="691">
        <f t="shared" si="18"/>
        <v>44682</v>
      </c>
      <c r="N63" s="691">
        <f t="shared" si="18"/>
        <v>44593</v>
      </c>
      <c r="O63" s="691">
        <f t="shared" si="18"/>
        <v>44501</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65" t="s">
        <v>2084</v>
      </c>
      <c r="D1" s="3766"/>
      <c r="E1" s="3766"/>
      <c r="F1" s="3766"/>
      <c r="G1" s="3766"/>
      <c r="H1" s="3766"/>
      <c r="I1" s="3766"/>
      <c r="J1" s="3766"/>
      <c r="K1" s="3766"/>
      <c r="L1" s="3766"/>
      <c r="M1" s="3766"/>
      <c r="N1" s="3766"/>
      <c r="O1" s="3766"/>
      <c r="P1" s="3766"/>
      <c r="Q1" s="3766"/>
      <c r="R1" s="3766"/>
      <c r="S1" s="3767"/>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1758</v>
      </c>
      <c r="C2" s="2144" t="s">
        <v>2074</v>
      </c>
      <c r="D2" s="2144" t="s">
        <v>2075</v>
      </c>
      <c r="E2" s="2611">
        <f ca="1">SUMIF(E6:E13,"&lt;&gt;#ref!",E6:E13)</f>
        <v>942.8</v>
      </c>
      <c r="F2" s="2792"/>
      <c r="G2" s="2792"/>
      <c r="H2" s="2792"/>
      <c r="I2" s="2792"/>
      <c r="J2" s="2792"/>
      <c r="K2" s="2792"/>
      <c r="L2" s="2792"/>
      <c r="M2" s="2792"/>
      <c r="N2" s="2792"/>
      <c r="O2" s="2792"/>
      <c r="P2" s="2792"/>
    </row>
    <row r="3" spans="1:16" ht="15.75">
      <c r="A3" s="2144" t="s">
        <v>2076</v>
      </c>
      <c r="B3" s="2601">
        <f ca="1">ROUND(B2*10000/E2,0)</f>
        <v>18647</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1758</v>
      </c>
      <c r="C6" s="2144" t="s">
        <v>2074</v>
      </c>
      <c r="D6" s="2792"/>
      <c r="E6" s="2611">
        <f ca="1">SUMIF(INDIRECT("'"&amp;A6&amp;"'"&amp;"!C:C"),"建筑面积",INDIRECT("'"&amp;A6&amp;"'"&amp;"!D:D"))</f>
        <v>942.8</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75" t="s">
        <v>2609</v>
      </c>
      <c r="B20" s="3768" t="s">
        <v>2630</v>
      </c>
      <c r="C20" s="3102" t="s">
        <v>2441</v>
      </c>
      <c r="D20" s="3103"/>
      <c r="E20" s="3104">
        <v>1</v>
      </c>
      <c r="F20" s="3105" t="s">
        <v>2442</v>
      </c>
      <c r="G20" s="3105"/>
    </row>
    <row r="21" spans="1:13" ht="19.5" customHeight="1">
      <c r="A21" s="3776"/>
      <c r="B21" s="3769"/>
      <c r="C21" s="3106" t="s">
        <v>2443</v>
      </c>
      <c r="D21" s="3107"/>
      <c r="E21" s="3108">
        <v>1</v>
      </c>
      <c r="F21" s="3105" t="s">
        <v>2444</v>
      </c>
      <c r="G21" s="3105"/>
    </row>
    <row r="22" spans="1:13" ht="19.5" customHeight="1">
      <c r="A22" s="3776"/>
      <c r="B22" s="3769"/>
      <c r="C22" s="3106" t="s">
        <v>2445</v>
      </c>
      <c r="D22" s="3107"/>
      <c r="E22" s="3108">
        <v>0.9</v>
      </c>
      <c r="F22" s="3105" t="s">
        <v>2446</v>
      </c>
      <c r="G22" s="3105"/>
    </row>
    <row r="23" spans="1:13" ht="19.5" customHeight="1">
      <c r="A23" s="3776"/>
      <c r="B23" s="3769"/>
      <c r="C23" s="3106" t="s">
        <v>2447</v>
      </c>
      <c r="D23" s="3107"/>
      <c r="E23" s="3108">
        <v>0.9</v>
      </c>
      <c r="F23" s="3105" t="s">
        <v>2448</v>
      </c>
      <c r="G23" s="3105"/>
    </row>
    <row r="24" spans="1:13" ht="19.5" customHeight="1">
      <c r="A24" s="3776"/>
      <c r="B24" s="3769"/>
      <c r="C24" s="3106" t="s">
        <v>2449</v>
      </c>
      <c r="D24" s="3107"/>
      <c r="E24" s="3108">
        <v>0.8</v>
      </c>
      <c r="F24" s="3105" t="s">
        <v>2450</v>
      </c>
      <c r="G24" s="3105"/>
    </row>
    <row r="25" spans="1:13" ht="19.5" customHeight="1" thickBot="1">
      <c r="A25" s="3777"/>
      <c r="B25" s="377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71" t="s">
        <v>2633</v>
      </c>
      <c r="B27" s="3768" t="s">
        <v>2614</v>
      </c>
      <c r="C27" s="3102" t="s">
        <v>2454</v>
      </c>
      <c r="D27" s="3103"/>
      <c r="E27" s="3104">
        <v>1</v>
      </c>
      <c r="F27" s="3105" t="s">
        <v>2455</v>
      </c>
      <c r="G27" s="3105"/>
    </row>
    <row r="28" spans="1:13" ht="19.5" customHeight="1">
      <c r="A28" s="3772"/>
      <c r="B28" s="3769"/>
      <c r="C28" s="3106" t="s">
        <v>2456</v>
      </c>
      <c r="D28" s="3107"/>
      <c r="E28" s="3108">
        <v>1</v>
      </c>
      <c r="F28" s="3105" t="s">
        <v>2457</v>
      </c>
      <c r="G28" s="3105"/>
    </row>
    <row r="29" spans="1:13" ht="19.5" customHeight="1">
      <c r="A29" s="3772"/>
      <c r="B29" s="3769"/>
      <c r="C29" s="3106" t="s">
        <v>2458</v>
      </c>
      <c r="D29" s="3107"/>
      <c r="E29" s="3108">
        <v>0.8</v>
      </c>
      <c r="F29" s="3105" t="s">
        <v>2459</v>
      </c>
      <c r="G29" s="3105"/>
    </row>
    <row r="30" spans="1:13" ht="19.5" customHeight="1">
      <c r="A30" s="3772"/>
      <c r="B30" s="3769"/>
      <c r="C30" s="3106" t="s">
        <v>2460</v>
      </c>
      <c r="D30" s="3107"/>
      <c r="E30" s="3108">
        <v>0.8</v>
      </c>
      <c r="F30" s="3105" t="s">
        <v>2461</v>
      </c>
      <c r="G30" s="3105"/>
    </row>
    <row r="31" spans="1:13" ht="19.5" customHeight="1">
      <c r="A31" s="3772"/>
      <c r="B31" s="3769"/>
      <c r="C31" s="3106" t="s">
        <v>2462</v>
      </c>
      <c r="D31" s="3107"/>
      <c r="E31" s="3108">
        <v>0.8</v>
      </c>
      <c r="F31" s="3105" t="s">
        <v>2463</v>
      </c>
      <c r="G31" s="3105"/>
    </row>
    <row r="32" spans="1:13" ht="19.5" customHeight="1">
      <c r="A32" s="3772"/>
      <c r="B32" s="3769"/>
      <c r="C32" s="3106" t="s">
        <v>2464</v>
      </c>
      <c r="D32" s="3107"/>
      <c r="E32" s="3108">
        <v>0.7</v>
      </c>
      <c r="F32" s="3105" t="s">
        <v>2465</v>
      </c>
      <c r="G32" s="3105"/>
    </row>
    <row r="33" spans="1:7" ht="19.5" customHeight="1">
      <c r="A33" s="3772"/>
      <c r="B33" s="3769"/>
      <c r="C33" s="3106" t="s">
        <v>2466</v>
      </c>
      <c r="D33" s="3107"/>
      <c r="E33" s="3108">
        <v>0.8</v>
      </c>
      <c r="F33" s="3105" t="s">
        <v>2467</v>
      </c>
      <c r="G33" s="3105"/>
    </row>
    <row r="34" spans="1:7" ht="19.5" customHeight="1">
      <c r="A34" s="3772"/>
      <c r="B34" s="3769"/>
      <c r="C34" s="3106" t="s">
        <v>2468</v>
      </c>
      <c r="D34" s="3107"/>
      <c r="E34" s="3108">
        <v>0.6</v>
      </c>
      <c r="F34" s="3105" t="s">
        <v>2469</v>
      </c>
      <c r="G34" s="3105"/>
    </row>
    <row r="35" spans="1:7" ht="19.5" customHeight="1">
      <c r="A35" s="3772"/>
      <c r="B35" s="3769"/>
      <c r="C35" s="3106" t="s">
        <v>2470</v>
      </c>
      <c r="D35" s="3107"/>
      <c r="E35" s="3108">
        <v>0.2</v>
      </c>
      <c r="F35" s="3105" t="s">
        <v>2471</v>
      </c>
      <c r="G35" s="3105"/>
    </row>
    <row r="36" spans="1:7" ht="19.5" customHeight="1">
      <c r="A36" s="3772"/>
      <c r="B36" s="3769"/>
      <c r="C36" s="3106" t="s">
        <v>2472</v>
      </c>
      <c r="D36" s="3107"/>
      <c r="E36" s="3108">
        <v>0.2</v>
      </c>
      <c r="F36" s="3105" t="s">
        <v>2473</v>
      </c>
      <c r="G36" s="3105"/>
    </row>
    <row r="37" spans="1:7" ht="19.5" customHeight="1">
      <c r="A37" s="3772"/>
      <c r="B37" s="3774" t="s">
        <v>2634</v>
      </c>
      <c r="C37" s="3106" t="s">
        <v>2474</v>
      </c>
      <c r="D37" s="3107"/>
      <c r="E37" s="3108">
        <v>0.6</v>
      </c>
      <c r="F37" s="3105" t="s">
        <v>2475</v>
      </c>
      <c r="G37" s="3105"/>
    </row>
    <row r="38" spans="1:7" ht="19.5" customHeight="1">
      <c r="A38" s="3772"/>
      <c r="B38" s="3769"/>
      <c r="C38" s="3106" t="s">
        <v>2476</v>
      </c>
      <c r="D38" s="3107"/>
      <c r="E38" s="3108">
        <v>0.6</v>
      </c>
      <c r="F38" s="3105" t="s">
        <v>2477</v>
      </c>
      <c r="G38" s="3105"/>
    </row>
    <row r="39" spans="1:7" ht="19.5" customHeight="1" thickBot="1">
      <c r="A39" s="3773"/>
      <c r="B39" s="377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75" t="s">
        <v>2612</v>
      </c>
      <c r="B41" s="3768" t="s">
        <v>2636</v>
      </c>
      <c r="C41" s="3102" t="s">
        <v>2481</v>
      </c>
      <c r="D41" s="3103"/>
      <c r="E41" s="3104">
        <v>1</v>
      </c>
      <c r="F41" s="3105" t="s">
        <v>2482</v>
      </c>
      <c r="G41" s="3105"/>
    </row>
    <row r="42" spans="1:7" ht="19.5" customHeight="1">
      <c r="A42" s="3776"/>
      <c r="B42" s="3769"/>
      <c r="C42" s="3106" t="s">
        <v>2483</v>
      </c>
      <c r="D42" s="3107"/>
      <c r="E42" s="3108">
        <v>1</v>
      </c>
      <c r="F42" s="3105" t="s">
        <v>2484</v>
      </c>
      <c r="G42" s="3105"/>
    </row>
    <row r="43" spans="1:7" ht="19.5" customHeight="1">
      <c r="A43" s="3776"/>
      <c r="B43" s="3778"/>
      <c r="C43" s="3106" t="s">
        <v>2485</v>
      </c>
      <c r="D43" s="3107"/>
      <c r="E43" s="3108">
        <v>1.5</v>
      </c>
      <c r="F43" s="3105" t="s">
        <v>2486</v>
      </c>
      <c r="G43" s="3105"/>
    </row>
    <row r="44" spans="1:7" ht="19.5" customHeight="1">
      <c r="A44" s="3776"/>
      <c r="B44" s="3117" t="s">
        <v>2637</v>
      </c>
      <c r="C44" s="3106" t="s">
        <v>2638</v>
      </c>
      <c r="D44" s="3107"/>
      <c r="E44" s="3108">
        <v>2</v>
      </c>
      <c r="F44" s="3105" t="s">
        <v>2487</v>
      </c>
      <c r="G44" s="3105"/>
    </row>
    <row r="45" spans="1:7" ht="19.5" customHeight="1">
      <c r="A45" s="3776"/>
      <c r="B45" s="3774" t="s">
        <v>2639</v>
      </c>
      <c r="C45" s="3106" t="s">
        <v>2488</v>
      </c>
      <c r="D45" s="3107"/>
      <c r="E45" s="3108">
        <v>1</v>
      </c>
      <c r="F45" s="3105" t="s">
        <v>2489</v>
      </c>
      <c r="G45" s="3105"/>
    </row>
    <row r="46" spans="1:7" ht="19.5" customHeight="1">
      <c r="A46" s="3776"/>
      <c r="B46" s="3769"/>
      <c r="C46" s="3106" t="s">
        <v>2490</v>
      </c>
      <c r="D46" s="3107"/>
      <c r="E46" s="3108">
        <v>1</v>
      </c>
      <c r="F46" s="3105" t="s">
        <v>2491</v>
      </c>
      <c r="G46" s="3105"/>
    </row>
    <row r="47" spans="1:7" ht="19.5" customHeight="1">
      <c r="A47" s="3776"/>
      <c r="B47" s="3769"/>
      <c r="C47" s="3106" t="s">
        <v>2492</v>
      </c>
      <c r="D47" s="3107"/>
      <c r="E47" s="3108">
        <v>1</v>
      </c>
      <c r="F47" s="3105" t="s">
        <v>2493</v>
      </c>
      <c r="G47" s="3105"/>
    </row>
    <row r="48" spans="1:7" ht="19.5" customHeight="1">
      <c r="A48" s="3776"/>
      <c r="B48" s="3769"/>
      <c r="C48" s="3106" t="s">
        <v>2494</v>
      </c>
      <c r="D48" s="3107"/>
      <c r="E48" s="3108">
        <v>1</v>
      </c>
      <c r="F48" s="3105" t="s">
        <v>2495</v>
      </c>
      <c r="G48" s="3105"/>
    </row>
    <row r="49" spans="1:7" ht="19.5" customHeight="1">
      <c r="A49" s="3776"/>
      <c r="B49" s="3769"/>
      <c r="C49" s="3106" t="s">
        <v>2496</v>
      </c>
      <c r="D49" s="3107"/>
      <c r="E49" s="3108">
        <v>1</v>
      </c>
      <c r="F49" s="3105" t="s">
        <v>2497</v>
      </c>
      <c r="G49" s="3105"/>
    </row>
    <row r="50" spans="1:7" ht="19.5" customHeight="1">
      <c r="A50" s="3776"/>
      <c r="B50" s="3769"/>
      <c r="C50" s="3106" t="s">
        <v>2498</v>
      </c>
      <c r="D50" s="3107"/>
      <c r="E50" s="3108">
        <v>1</v>
      </c>
      <c r="F50" s="3105" t="s">
        <v>2499</v>
      </c>
      <c r="G50" s="3105"/>
    </row>
    <row r="51" spans="1:7" ht="19.5" customHeight="1" thickBot="1">
      <c r="A51" s="3777"/>
      <c r="B51" s="377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4" t="s">
        <v>2653</v>
      </c>
      <c r="C73" s="3091" t="s">
        <v>2654</v>
      </c>
      <c r="D73" s="3091" t="s">
        <v>2655</v>
      </c>
      <c r="E73" s="3117">
        <v>0.2</v>
      </c>
      <c r="F73" s="3117">
        <v>25</v>
      </c>
    </row>
    <row r="74" spans="1:7" ht="24">
      <c r="A74" s="3117">
        <v>2</v>
      </c>
      <c r="B74" s="3769"/>
      <c r="C74" s="3091" t="s">
        <v>2656</v>
      </c>
      <c r="D74" s="3091" t="s">
        <v>2657</v>
      </c>
      <c r="E74" s="3117">
        <v>0.2</v>
      </c>
      <c r="F74" s="3117">
        <v>25</v>
      </c>
    </row>
    <row r="75" spans="1:7" ht="24">
      <c r="A75" s="3117">
        <v>3</v>
      </c>
      <c r="B75" s="3769"/>
      <c r="C75" s="3091" t="s">
        <v>2658</v>
      </c>
      <c r="D75" s="3091" t="s">
        <v>2659</v>
      </c>
      <c r="E75" s="3117">
        <v>0.2</v>
      </c>
      <c r="F75" s="3117">
        <v>25</v>
      </c>
    </row>
    <row r="76" spans="1:7" ht="13.5">
      <c r="A76" s="3117">
        <v>4</v>
      </c>
      <c r="B76" s="3769"/>
      <c r="C76" s="3091" t="s">
        <v>2660</v>
      </c>
      <c r="D76" s="3091" t="s">
        <v>2661</v>
      </c>
      <c r="E76" s="3117">
        <v>0.15</v>
      </c>
      <c r="F76" s="3117">
        <v>20</v>
      </c>
    </row>
    <row r="77" spans="1:7" ht="24">
      <c r="A77" s="3117">
        <v>5</v>
      </c>
      <c r="B77" s="3769"/>
      <c r="C77" s="3091" t="s">
        <v>2662</v>
      </c>
      <c r="D77" s="3091" t="s">
        <v>2663</v>
      </c>
      <c r="E77" s="3117">
        <v>0.15</v>
      </c>
      <c r="F77" s="3117">
        <v>20</v>
      </c>
    </row>
    <row r="78" spans="1:7" ht="24">
      <c r="A78" s="3117">
        <v>6</v>
      </c>
      <c r="B78" s="3769"/>
      <c r="C78" s="3091" t="s">
        <v>2664</v>
      </c>
      <c r="D78" s="3091" t="s">
        <v>2665</v>
      </c>
      <c r="E78" s="3117">
        <v>0.15</v>
      </c>
      <c r="F78" s="3117">
        <v>20</v>
      </c>
    </row>
    <row r="79" spans="1:7" ht="24">
      <c r="A79" s="3117">
        <v>7</v>
      </c>
      <c r="B79" s="3769"/>
      <c r="C79" s="3091" t="s">
        <v>2666</v>
      </c>
      <c r="D79" s="3091" t="s">
        <v>2667</v>
      </c>
      <c r="E79" s="3117">
        <v>0.15</v>
      </c>
      <c r="F79" s="3117">
        <v>20</v>
      </c>
    </row>
    <row r="80" spans="1:7" ht="24">
      <c r="A80" s="3117">
        <v>8</v>
      </c>
      <c r="B80" s="3769"/>
      <c r="C80" s="3091" t="s">
        <v>2668</v>
      </c>
      <c r="D80" s="3091" t="s">
        <v>2669</v>
      </c>
      <c r="E80" s="3117">
        <v>0.1</v>
      </c>
      <c r="F80" s="3117">
        <v>15</v>
      </c>
    </row>
    <row r="81" spans="1:6" ht="24">
      <c r="A81" s="3117">
        <v>9</v>
      </c>
      <c r="B81" s="3769"/>
      <c r="C81" s="3091" t="s">
        <v>2670</v>
      </c>
      <c r="D81" s="3091" t="s">
        <v>2671</v>
      </c>
      <c r="E81" s="3117">
        <v>0.1</v>
      </c>
      <c r="F81" s="3117">
        <v>15</v>
      </c>
    </row>
    <row r="82" spans="1:6" ht="24">
      <c r="A82" s="3117">
        <v>10</v>
      </c>
      <c r="B82" s="3769"/>
      <c r="C82" s="3091" t="s">
        <v>2672</v>
      </c>
      <c r="D82" s="3091" t="s">
        <v>2673</v>
      </c>
      <c r="E82" s="3117">
        <v>0.1</v>
      </c>
      <c r="F82" s="3117">
        <v>15</v>
      </c>
    </row>
    <row r="83" spans="1:6" ht="24">
      <c r="A83" s="3117">
        <v>11</v>
      </c>
      <c r="B83" s="3769"/>
      <c r="C83" s="3091" t="s">
        <v>2674</v>
      </c>
      <c r="D83" s="3091" t="s">
        <v>2675</v>
      </c>
      <c r="E83" s="3117">
        <v>0.1</v>
      </c>
      <c r="F83" s="3117">
        <v>15</v>
      </c>
    </row>
    <row r="84" spans="1:6" ht="24">
      <c r="A84" s="3117">
        <v>12</v>
      </c>
      <c r="B84" s="3769"/>
      <c r="C84" s="3091" t="s">
        <v>2676</v>
      </c>
      <c r="D84" s="3091" t="s">
        <v>2677</v>
      </c>
      <c r="E84" s="3117">
        <v>0.1</v>
      </c>
      <c r="F84" s="3117">
        <v>15</v>
      </c>
    </row>
    <row r="85" spans="1:6" ht="13.5">
      <c r="A85" s="3117">
        <v>13</v>
      </c>
      <c r="B85" s="3769"/>
      <c r="C85" s="3091" t="s">
        <v>2678</v>
      </c>
      <c r="D85" s="3091" t="s">
        <v>2679</v>
      </c>
      <c r="E85" s="3117">
        <v>0.1</v>
      </c>
      <c r="F85" s="3117">
        <v>15</v>
      </c>
    </row>
    <row r="86" spans="1:6" ht="13.5">
      <c r="A86" s="3117">
        <v>14</v>
      </c>
      <c r="B86" s="3769"/>
      <c r="C86" s="3091" t="s">
        <v>2680</v>
      </c>
      <c r="D86" s="3091" t="s">
        <v>2681</v>
      </c>
      <c r="E86" s="3117">
        <v>0.1</v>
      </c>
      <c r="F86" s="3117">
        <v>15</v>
      </c>
    </row>
    <row r="87" spans="1:6" ht="13.5">
      <c r="A87" s="3117">
        <v>15</v>
      </c>
      <c r="B87" s="3769"/>
      <c r="C87" s="3091" t="s">
        <v>2682</v>
      </c>
      <c r="D87" s="3091" t="s">
        <v>2683</v>
      </c>
      <c r="E87" s="3117">
        <v>0.1</v>
      </c>
      <c r="F87" s="3117">
        <v>15</v>
      </c>
    </row>
    <row r="88" spans="1:6" ht="24">
      <c r="A88" s="3117">
        <v>16</v>
      </c>
      <c r="B88" s="3769"/>
      <c r="C88" s="3091" t="s">
        <v>2684</v>
      </c>
      <c r="D88" s="3091" t="s">
        <v>2685</v>
      </c>
      <c r="E88" s="3117">
        <v>0.1</v>
      </c>
      <c r="F88" s="3117">
        <v>15</v>
      </c>
    </row>
    <row r="89" spans="1:6" ht="24">
      <c r="A89" s="3117">
        <v>17</v>
      </c>
      <c r="B89" s="3778"/>
      <c r="C89" s="3091" t="s">
        <v>2686</v>
      </c>
      <c r="D89" s="3091" t="s">
        <v>2687</v>
      </c>
      <c r="E89" s="3117">
        <v>0.1</v>
      </c>
      <c r="F89" s="3117">
        <v>15</v>
      </c>
    </row>
    <row r="90" spans="1:6" ht="13.5">
      <c r="A90" s="3117">
        <v>18</v>
      </c>
      <c r="B90" s="3774" t="s">
        <v>2688</v>
      </c>
      <c r="C90" s="3091" t="s">
        <v>2689</v>
      </c>
      <c r="D90" s="3091" t="s">
        <v>2690</v>
      </c>
      <c r="E90" s="3117">
        <v>0.2</v>
      </c>
      <c r="F90" s="3117">
        <v>25</v>
      </c>
    </row>
    <row r="91" spans="1:6" ht="24">
      <c r="A91" s="3117">
        <v>19</v>
      </c>
      <c r="B91" s="3769"/>
      <c r="C91" s="3091" t="s">
        <v>2691</v>
      </c>
      <c r="D91" s="3091" t="s">
        <v>2692</v>
      </c>
      <c r="E91" s="3117">
        <v>0.2</v>
      </c>
      <c r="F91" s="3117">
        <v>25</v>
      </c>
    </row>
    <row r="92" spans="1:6" ht="13.5">
      <c r="A92" s="3117">
        <v>20</v>
      </c>
      <c r="B92" s="3769"/>
      <c r="C92" s="3091" t="s">
        <v>2693</v>
      </c>
      <c r="D92" s="3091" t="s">
        <v>2694</v>
      </c>
      <c r="E92" s="3117">
        <v>0.15</v>
      </c>
      <c r="F92" s="3117">
        <v>20</v>
      </c>
    </row>
    <row r="93" spans="1:6" ht="13.5">
      <c r="A93" s="3117">
        <v>21</v>
      </c>
      <c r="B93" s="3769"/>
      <c r="C93" s="3091" t="s">
        <v>2695</v>
      </c>
      <c r="D93" s="3091" t="s">
        <v>2696</v>
      </c>
      <c r="E93" s="3117">
        <v>0.15</v>
      </c>
      <c r="F93" s="3117">
        <v>20</v>
      </c>
    </row>
    <row r="94" spans="1:6" ht="13.5">
      <c r="A94" s="3117">
        <v>22</v>
      </c>
      <c r="B94" s="3769"/>
      <c r="C94" s="3091" t="s">
        <v>2697</v>
      </c>
      <c r="D94" s="3091" t="s">
        <v>2698</v>
      </c>
      <c r="E94" s="3117">
        <v>0.15</v>
      </c>
      <c r="F94" s="3117">
        <v>20</v>
      </c>
    </row>
    <row r="95" spans="1:6" ht="36">
      <c r="A95" s="3117">
        <v>23</v>
      </c>
      <c r="B95" s="3769"/>
      <c r="C95" s="3091" t="s">
        <v>2699</v>
      </c>
      <c r="D95" s="3091" t="s">
        <v>2700</v>
      </c>
      <c r="E95" s="3117">
        <v>0.15</v>
      </c>
      <c r="F95" s="3117">
        <v>20</v>
      </c>
    </row>
    <row r="96" spans="1:6" ht="13.5">
      <c r="A96" s="3117">
        <v>24</v>
      </c>
      <c r="B96" s="3769"/>
      <c r="C96" s="3091" t="s">
        <v>2701</v>
      </c>
      <c r="D96" s="3091" t="s">
        <v>2702</v>
      </c>
      <c r="E96" s="3117">
        <v>0.1</v>
      </c>
      <c r="F96" s="3117">
        <v>15</v>
      </c>
    </row>
    <row r="97" spans="1:6" ht="13.5">
      <c r="A97" s="3117">
        <v>25</v>
      </c>
      <c r="B97" s="3769"/>
      <c r="C97" s="3091" t="s">
        <v>2703</v>
      </c>
      <c r="D97" s="3091" t="s">
        <v>2704</v>
      </c>
      <c r="E97" s="3117">
        <v>0.1</v>
      </c>
      <c r="F97" s="3117">
        <v>15</v>
      </c>
    </row>
    <row r="98" spans="1:6" ht="24">
      <c r="A98" s="3117">
        <v>26</v>
      </c>
      <c r="B98" s="3769"/>
      <c r="C98" s="3091" t="s">
        <v>2705</v>
      </c>
      <c r="D98" s="3091" t="s">
        <v>2706</v>
      </c>
      <c r="E98" s="3117">
        <v>0.1</v>
      </c>
      <c r="F98" s="3117">
        <v>15</v>
      </c>
    </row>
    <row r="99" spans="1:6" ht="24">
      <c r="A99" s="3117">
        <v>27</v>
      </c>
      <c r="B99" s="3769"/>
      <c r="C99" s="3091" t="s">
        <v>2707</v>
      </c>
      <c r="D99" s="3091" t="s">
        <v>2708</v>
      </c>
      <c r="E99" s="3117">
        <v>0.1</v>
      </c>
      <c r="F99" s="3117">
        <v>15</v>
      </c>
    </row>
    <row r="100" spans="1:6" ht="13.5">
      <c r="A100" s="3117">
        <v>28</v>
      </c>
      <c r="B100" s="3769"/>
      <c r="C100" s="3091" t="s">
        <v>2709</v>
      </c>
      <c r="D100" s="3091" t="s">
        <v>2710</v>
      </c>
      <c r="E100" s="3117">
        <v>0.1</v>
      </c>
      <c r="F100" s="3117">
        <v>15</v>
      </c>
    </row>
    <row r="101" spans="1:6" ht="13.5">
      <c r="A101" s="3117">
        <v>29</v>
      </c>
      <c r="B101" s="3769"/>
      <c r="C101" s="3091" t="s">
        <v>2711</v>
      </c>
      <c r="D101" s="3091" t="s">
        <v>2712</v>
      </c>
      <c r="E101" s="3117">
        <v>0.1</v>
      </c>
      <c r="F101" s="3117">
        <v>15</v>
      </c>
    </row>
    <row r="102" spans="1:6" ht="13.5">
      <c r="A102" s="3117">
        <v>30</v>
      </c>
      <c r="B102" s="3769"/>
      <c r="C102" s="3091" t="s">
        <v>2713</v>
      </c>
      <c r="D102" s="3091" t="s">
        <v>2714</v>
      </c>
      <c r="E102" s="3117">
        <v>0.1</v>
      </c>
      <c r="F102" s="3117">
        <v>15</v>
      </c>
    </row>
    <row r="103" spans="1:6" ht="24">
      <c r="A103" s="3117">
        <v>31</v>
      </c>
      <c r="B103" s="3769"/>
      <c r="C103" s="3091" t="s">
        <v>2715</v>
      </c>
      <c r="D103" s="3091" t="s">
        <v>2716</v>
      </c>
      <c r="E103" s="3117">
        <v>0.1</v>
      </c>
      <c r="F103" s="3117">
        <v>15</v>
      </c>
    </row>
    <row r="104" spans="1:6" ht="24">
      <c r="A104" s="3117">
        <v>32</v>
      </c>
      <c r="B104" s="3769"/>
      <c r="C104" s="3091" t="s">
        <v>2717</v>
      </c>
      <c r="D104" s="3091" t="s">
        <v>2718</v>
      </c>
      <c r="E104" s="3117">
        <v>0.1</v>
      </c>
      <c r="F104" s="3117">
        <v>15</v>
      </c>
    </row>
    <row r="105" spans="1:6" ht="24">
      <c r="A105" s="3117">
        <v>33</v>
      </c>
      <c r="B105" s="3769"/>
      <c r="C105" s="3091" t="s">
        <v>2719</v>
      </c>
      <c r="D105" s="3091" t="s">
        <v>2720</v>
      </c>
      <c r="E105" s="3117">
        <v>0.1</v>
      </c>
      <c r="F105" s="3117">
        <v>15</v>
      </c>
    </row>
    <row r="106" spans="1:6" ht="24">
      <c r="A106" s="3117">
        <v>34</v>
      </c>
      <c r="B106" s="3778"/>
      <c r="C106" s="3091" t="s">
        <v>2721</v>
      </c>
      <c r="D106" s="3091" t="s">
        <v>2722</v>
      </c>
      <c r="E106" s="3117">
        <v>0.1</v>
      </c>
      <c r="F106" s="3117">
        <v>15</v>
      </c>
    </row>
    <row r="107" spans="1:6" ht="24">
      <c r="A107" s="3117">
        <v>35</v>
      </c>
      <c r="B107" s="3774" t="s">
        <v>2723</v>
      </c>
      <c r="C107" s="3117" t="s">
        <v>2724</v>
      </c>
      <c r="D107" s="3091" t="s">
        <v>2725</v>
      </c>
      <c r="E107" s="3117">
        <v>0.15</v>
      </c>
      <c r="F107" s="3117">
        <v>20</v>
      </c>
    </row>
    <row r="108" spans="1:6" ht="13.5">
      <c r="A108" s="3117">
        <v>36</v>
      </c>
      <c r="B108" s="3769"/>
      <c r="C108" s="3117" t="s">
        <v>2726</v>
      </c>
      <c r="D108" s="3091" t="s">
        <v>2727</v>
      </c>
      <c r="E108" s="3117">
        <v>0.15</v>
      </c>
      <c r="F108" s="3117">
        <v>20</v>
      </c>
    </row>
    <row r="109" spans="1:6" ht="13.5">
      <c r="A109" s="3117">
        <v>37</v>
      </c>
      <c r="B109" s="3769"/>
      <c r="C109" s="3117" t="s">
        <v>2728</v>
      </c>
      <c r="D109" s="3091" t="s">
        <v>2729</v>
      </c>
      <c r="E109" s="3117">
        <v>0.15</v>
      </c>
      <c r="F109" s="3117">
        <v>20</v>
      </c>
    </row>
    <row r="110" spans="1:6" ht="13.5">
      <c r="A110" s="3117">
        <v>38</v>
      </c>
      <c r="B110" s="3769"/>
      <c r="C110" s="3117" t="s">
        <v>2730</v>
      </c>
      <c r="D110" s="3091" t="s">
        <v>2731</v>
      </c>
      <c r="E110" s="3117">
        <v>0.1</v>
      </c>
      <c r="F110" s="3117">
        <v>15</v>
      </c>
    </row>
    <row r="111" spans="1:6" ht="24">
      <c r="A111" s="3117">
        <v>39</v>
      </c>
      <c r="B111" s="3769"/>
      <c r="C111" s="3117" t="s">
        <v>2732</v>
      </c>
      <c r="D111" s="3091" t="s">
        <v>2733</v>
      </c>
      <c r="E111" s="3117">
        <v>0.1</v>
      </c>
      <c r="F111" s="3117">
        <v>15</v>
      </c>
    </row>
    <row r="112" spans="1:6" ht="24">
      <c r="A112" s="3117">
        <v>40</v>
      </c>
      <c r="B112" s="3778"/>
      <c r="C112" s="3117" t="s">
        <v>2734</v>
      </c>
      <c r="D112" s="3091" t="s">
        <v>2735</v>
      </c>
      <c r="E112" s="3117">
        <v>0.1</v>
      </c>
      <c r="F112" s="3117">
        <v>15</v>
      </c>
    </row>
    <row r="113" spans="1:6" ht="13.5">
      <c r="A113" s="3117">
        <v>41</v>
      </c>
      <c r="B113" s="3779" t="s">
        <v>2736</v>
      </c>
      <c r="C113" s="3117" t="s">
        <v>2737</v>
      </c>
      <c r="D113" s="3091" t="s">
        <v>2738</v>
      </c>
      <c r="E113" s="3117">
        <v>0.1</v>
      </c>
      <c r="F113" s="3117">
        <v>15</v>
      </c>
    </row>
    <row r="114" spans="1:6" ht="13.5">
      <c r="A114" s="3117">
        <v>42</v>
      </c>
      <c r="B114" s="3779"/>
      <c r="C114" s="3117" t="s">
        <v>2739</v>
      </c>
      <c r="D114" s="3091" t="s">
        <v>2740</v>
      </c>
      <c r="E114" s="3117">
        <v>0.1</v>
      </c>
      <c r="F114" s="3117">
        <v>15</v>
      </c>
    </row>
    <row r="115" spans="1:6" ht="24">
      <c r="A115" s="3117">
        <v>43</v>
      </c>
      <c r="B115" s="3779"/>
      <c r="C115" s="3117" t="s">
        <v>2741</v>
      </c>
      <c r="D115" s="3091" t="s">
        <v>2742</v>
      </c>
      <c r="E115" s="3117">
        <v>0.1</v>
      </c>
      <c r="F115" s="3117">
        <v>15</v>
      </c>
    </row>
    <row r="116" spans="1:6" ht="13.5">
      <c r="A116" s="3117">
        <v>44</v>
      </c>
      <c r="B116" s="3774" t="s">
        <v>2743</v>
      </c>
      <c r="C116" s="3117" t="s">
        <v>2744</v>
      </c>
      <c r="D116" s="3091" t="s">
        <v>2745</v>
      </c>
      <c r="E116" s="3117">
        <v>0.1</v>
      </c>
      <c r="F116" s="3117">
        <v>15</v>
      </c>
    </row>
    <row r="117" spans="1:6" ht="24">
      <c r="A117" s="3117">
        <v>45</v>
      </c>
      <c r="B117" s="3778"/>
      <c r="C117" s="3091" t="s">
        <v>2746</v>
      </c>
      <c r="D117" s="3091" t="s">
        <v>2747</v>
      </c>
      <c r="E117" s="3117">
        <v>0.1</v>
      </c>
      <c r="F117" s="3117">
        <v>15</v>
      </c>
    </row>
    <row r="118" spans="1:6" ht="24">
      <c r="A118" s="3117">
        <v>46</v>
      </c>
      <c r="B118" s="3774" t="s">
        <v>2748</v>
      </c>
      <c r="C118" s="3117" t="s">
        <v>2749</v>
      </c>
      <c r="D118" s="3091" t="s">
        <v>2750</v>
      </c>
      <c r="E118" s="3117">
        <v>0.1</v>
      </c>
      <c r="F118" s="3117">
        <v>15</v>
      </c>
    </row>
    <row r="119" spans="1:6" ht="24">
      <c r="A119" s="3117">
        <v>47</v>
      </c>
      <c r="B119" s="3778"/>
      <c r="C119" s="3117" t="s">
        <v>2751</v>
      </c>
      <c r="D119" s="3091" t="s">
        <v>2752</v>
      </c>
      <c r="E119" s="3117">
        <v>0.1</v>
      </c>
      <c r="F119" s="3117">
        <v>15</v>
      </c>
    </row>
    <row r="120" spans="1:6" ht="13.5">
      <c r="A120" s="3117">
        <v>48</v>
      </c>
      <c r="B120" s="3774" t="s">
        <v>2753</v>
      </c>
      <c r="C120" s="3117" t="s">
        <v>2754</v>
      </c>
      <c r="D120" s="3091" t="s">
        <v>2755</v>
      </c>
      <c r="E120" s="3117">
        <v>0.1</v>
      </c>
      <c r="F120" s="3117">
        <v>15</v>
      </c>
    </row>
    <row r="121" spans="1:6" ht="13.5">
      <c r="A121" s="3117">
        <v>49</v>
      </c>
      <c r="B121" s="3778"/>
      <c r="C121" s="3117" t="s">
        <v>2756</v>
      </c>
      <c r="D121" s="3091" t="s">
        <v>2757</v>
      </c>
      <c r="E121" s="3117">
        <v>0.1</v>
      </c>
      <c r="F121" s="3117">
        <v>15</v>
      </c>
    </row>
    <row r="122" spans="1:6" ht="24">
      <c r="A122" s="3117">
        <v>50</v>
      </c>
      <c r="B122" s="3779" t="s">
        <v>2758</v>
      </c>
      <c r="C122" s="3117" t="s">
        <v>2759</v>
      </c>
      <c r="D122" s="3091" t="s">
        <v>2760</v>
      </c>
      <c r="E122" s="3117">
        <v>0.1</v>
      </c>
      <c r="F122" s="3117">
        <v>15</v>
      </c>
    </row>
    <row r="123" spans="1:6" ht="24">
      <c r="A123" s="3117">
        <v>51</v>
      </c>
      <c r="B123" s="3779"/>
      <c r="C123" s="3117" t="s">
        <v>2761</v>
      </c>
      <c r="D123" s="3091" t="s">
        <v>2762</v>
      </c>
      <c r="E123" s="3117">
        <v>0.1</v>
      </c>
      <c r="F123" s="3117">
        <v>15</v>
      </c>
    </row>
    <row r="124" spans="1:6" ht="24">
      <c r="A124" s="3117">
        <v>52</v>
      </c>
      <c r="B124" s="3779" t="s">
        <v>2763</v>
      </c>
      <c r="C124" s="3117" t="s">
        <v>2764</v>
      </c>
      <c r="D124" s="3091" t="s">
        <v>2765</v>
      </c>
      <c r="E124" s="3117">
        <v>0.1</v>
      </c>
      <c r="F124" s="3117">
        <v>15</v>
      </c>
    </row>
    <row r="125" spans="1:6" ht="24">
      <c r="A125" s="3117">
        <v>53</v>
      </c>
      <c r="B125" s="3779"/>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9" t="s">
        <v>2771</v>
      </c>
      <c r="C127" s="3117" t="s">
        <v>2772</v>
      </c>
      <c r="D127" s="3091" t="s">
        <v>2773</v>
      </c>
      <c r="E127" s="3117">
        <v>0.1</v>
      </c>
      <c r="F127" s="3117">
        <v>15</v>
      </c>
    </row>
    <row r="128" spans="1:6" ht="13.5">
      <c r="A128" s="3117">
        <v>56</v>
      </c>
      <c r="B128" s="3779"/>
      <c r="C128" s="3117" t="s">
        <v>2774</v>
      </c>
      <c r="D128" s="3091" t="s">
        <v>2775</v>
      </c>
      <c r="E128" s="3117">
        <v>0.1</v>
      </c>
      <c r="F128" s="3117">
        <v>15</v>
      </c>
    </row>
    <row r="129" spans="1:6" ht="24">
      <c r="A129" s="3117">
        <v>57</v>
      </c>
      <c r="B129" s="3779"/>
      <c r="C129" s="3117" t="s">
        <v>2776</v>
      </c>
      <c r="D129" s="3091" t="s">
        <v>2777</v>
      </c>
      <c r="E129" s="3117">
        <v>0.1</v>
      </c>
      <c r="F129" s="3117">
        <v>15</v>
      </c>
    </row>
    <row r="130" spans="1:6" ht="24">
      <c r="A130" s="3117">
        <v>58</v>
      </c>
      <c r="B130" s="3779" t="s">
        <v>2778</v>
      </c>
      <c r="C130" s="3117" t="s">
        <v>2779</v>
      </c>
      <c r="D130" s="3091" t="s">
        <v>2780</v>
      </c>
      <c r="E130" s="3117">
        <v>0.1</v>
      </c>
      <c r="F130" s="3117">
        <v>15</v>
      </c>
    </row>
    <row r="131" spans="1:6" ht="13.5">
      <c r="A131" s="3117">
        <v>59</v>
      </c>
      <c r="B131" s="3779"/>
      <c r="C131" s="3117" t="s">
        <v>2781</v>
      </c>
      <c r="D131" s="3091" t="s">
        <v>2782</v>
      </c>
      <c r="E131" s="3117">
        <v>0.1</v>
      </c>
      <c r="F131" s="3117">
        <v>15</v>
      </c>
    </row>
    <row r="132" spans="1:6" ht="13.5">
      <c r="A132" s="3117">
        <v>60</v>
      </c>
      <c r="B132" s="3774" t="s">
        <v>2783</v>
      </c>
      <c r="C132" s="3117" t="s">
        <v>2784</v>
      </c>
      <c r="D132" s="3091" t="s">
        <v>2785</v>
      </c>
      <c r="E132" s="3117">
        <v>0.1</v>
      </c>
      <c r="F132" s="3117">
        <v>15</v>
      </c>
    </row>
    <row r="133" spans="1:6" ht="13.5">
      <c r="A133" s="3117">
        <v>61</v>
      </c>
      <c r="B133" s="377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9" t="s">
        <v>2791</v>
      </c>
      <c r="C135" s="3117" t="s">
        <v>2792</v>
      </c>
      <c r="D135" s="3091" t="s">
        <v>2793</v>
      </c>
      <c r="E135" s="3117">
        <v>0.1</v>
      </c>
      <c r="F135" s="3117">
        <v>15</v>
      </c>
    </row>
    <row r="136" spans="1:6" ht="13.5">
      <c r="A136" s="3117">
        <v>64</v>
      </c>
      <c r="B136" s="3779"/>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1</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0.95120000000000005</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2"/>
      <c r="B4" s="3463" t="s">
        <v>917</v>
      </c>
      <c r="C4" s="3463"/>
      <c r="D4" s="3463"/>
      <c r="E4" s="1492"/>
    </row>
    <row r="5" spans="1:5" ht="16.5" thickTop="1">
      <c r="A5" s="1490"/>
      <c r="B5" s="3461" t="s">
        <v>909</v>
      </c>
      <c r="C5" s="1493" t="s">
        <v>910</v>
      </c>
      <c r="D5" s="849">
        <f ca="1">结果表!H101</f>
        <v>1021</v>
      </c>
      <c r="E5" s="1490"/>
    </row>
    <row r="6" spans="1:5" ht="15.75">
      <c r="A6" s="1490"/>
      <c r="B6" s="3461"/>
      <c r="C6" s="1493" t="s">
        <v>911</v>
      </c>
      <c r="D6" s="849" t="str">
        <f ca="1">NUMBERSTRING(INT(D5*10000),2)&amp;"元整"</f>
        <v>壹仟零贰拾壹万元整</v>
      </c>
      <c r="E6" s="1490"/>
    </row>
    <row r="7" spans="1:5" ht="15.75">
      <c r="A7" s="1490"/>
      <c r="B7" s="3466"/>
      <c r="C7" s="1494" t="s">
        <v>912</v>
      </c>
      <c r="D7" s="850">
        <f ca="1">结果表!H102</f>
        <v>10830</v>
      </c>
      <c r="E7" s="1490"/>
    </row>
    <row r="8" spans="1:5" ht="15.75">
      <c r="A8" s="1490"/>
      <c r="B8" s="3467" t="str">
        <f>结果表!E103</f>
        <v>2.估价师知悉的法定优先受偿款</v>
      </c>
      <c r="C8" s="1495" t="s">
        <v>913</v>
      </c>
      <c r="D8" s="850">
        <f>结果表!H103</f>
        <v>0</v>
      </c>
      <c r="E8" s="1490"/>
    </row>
    <row r="9" spans="1:5" ht="15.75">
      <c r="A9" s="1490"/>
      <c r="B9" s="3469"/>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0" t="str">
        <f>结果表!E107</f>
        <v>3.房地产抵押价值</v>
      </c>
      <c r="C13" s="1498" t="s">
        <v>910</v>
      </c>
      <c r="D13" s="852">
        <f ca="1">结果表!H107</f>
        <v>1021</v>
      </c>
      <c r="E13" s="1490"/>
    </row>
    <row r="14" spans="1:5" ht="15.75">
      <c r="A14" s="1490"/>
      <c r="B14" s="3461"/>
      <c r="C14" s="1493" t="s">
        <v>911</v>
      </c>
      <c r="D14" s="849" t="str">
        <f ca="1">NUMBERSTRING(INT(D13*10000),2)&amp;"元整"</f>
        <v>壹仟零贰拾壹万元整</v>
      </c>
      <c r="E14" s="1490"/>
    </row>
    <row r="15" spans="1:5" ht="15">
      <c r="A15" s="1490"/>
      <c r="B15" s="3466"/>
      <c r="C15" s="1494" t="s">
        <v>921</v>
      </c>
      <c r="D15" s="858">
        <f ca="1">结果表!H108</f>
        <v>10830</v>
      </c>
      <c r="E15" s="1490"/>
    </row>
    <row r="16" spans="1:5" ht="15">
      <c r="A16" s="1490"/>
      <c r="B16" s="3467" t="str">
        <f>结果表!E109</f>
        <v>——</v>
      </c>
      <c r="C16" s="1498" t="s">
        <v>922</v>
      </c>
      <c r="D16" s="1499" t="str">
        <f>结果表!H109</f>
        <v>——</v>
      </c>
      <c r="E16" s="1490"/>
    </row>
    <row r="17" spans="1:5" ht="15.75">
      <c r="A17" s="1490"/>
      <c r="B17" s="3468"/>
      <c r="C17" s="1493" t="s">
        <v>923</v>
      </c>
      <c r="D17" s="849" t="e">
        <f>NUMBERSTRING(INT(D16*10000),2)&amp;"元整"</f>
        <v>#VALUE!</v>
      </c>
      <c r="E17" s="1490"/>
    </row>
    <row r="18" spans="1:5" ht="15">
      <c r="A18" s="1490"/>
      <c r="B18" s="3469"/>
      <c r="C18" s="1494" t="s">
        <v>912</v>
      </c>
      <c r="D18" s="858" t="str">
        <f>结果表!H110</f>
        <v>——</v>
      </c>
      <c r="E18" s="1490"/>
    </row>
    <row r="19" spans="1:5" ht="15.75">
      <c r="A19" s="1490"/>
      <c r="B19" s="3460" t="str">
        <f>结果表!E111</f>
        <v>——</v>
      </c>
      <c r="C19" s="1498" t="s">
        <v>910</v>
      </c>
      <c r="D19" s="850" t="str">
        <f>结果表!H111</f>
        <v>——</v>
      </c>
      <c r="E19" s="1490"/>
    </row>
    <row r="20" spans="1:5" ht="15.75">
      <c r="A20" s="1490"/>
      <c r="B20" s="3461"/>
      <c r="C20" s="1493" t="s">
        <v>923</v>
      </c>
      <c r="D20" s="849" t="e">
        <f>NUMBERSTRING(INT(D19*10000),2)&amp;"元整"</f>
        <v>#VALUE!</v>
      </c>
      <c r="E20" s="1490"/>
    </row>
    <row r="21" spans="1:5" ht="15.75" thickBot="1">
      <c r="A21" s="1490"/>
      <c r="B21" s="3462"/>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29295</v>
      </c>
      <c r="C2" s="2" t="s">
        <v>106</v>
      </c>
      <c r="D2" s="199"/>
      <c r="E2" s="199"/>
      <c r="F2" s="199"/>
      <c r="G2" s="199"/>
    </row>
    <row r="3" spans="1:7" s="200" customFormat="1" ht="18" customHeight="1" thickBot="1">
      <c r="A3" s="203" t="s">
        <v>58</v>
      </c>
      <c r="B3" s="204">
        <f ca="1">ROUND(B2*10000/'数据-汇总表'!E3,0)</f>
        <v>310723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19</v>
      </c>
      <c r="D10" s="844">
        <f>'数据-汇总表'!E6</f>
        <v>942.8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19</v>
      </c>
      <c r="D19" s="848">
        <f>'数据-汇总表'!E3</f>
        <v>942.8</v>
      </c>
      <c r="E19" s="211">
        <f>'数据-取费表'!B31</f>
        <v>200</v>
      </c>
      <c r="F19" s="231"/>
      <c r="G19" s="1" t="s">
        <v>436</v>
      </c>
    </row>
    <row r="20" spans="1:7" s="214" customFormat="1" ht="13.5" customHeight="1">
      <c r="A20" s="776" t="s">
        <v>419</v>
      </c>
      <c r="B20" s="210" t="s">
        <v>77</v>
      </c>
      <c r="C20" s="232">
        <f>ROUND((C5+C19)*F20,0)</f>
        <v>413</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1312</v>
      </c>
      <c r="D22" s="235">
        <f ca="1">C26</f>
        <v>5.9999999999999995E-4</v>
      </c>
      <c r="E22" s="236" t="s">
        <v>99</v>
      </c>
      <c r="F22" s="237">
        <f ca="1">'数据-取费表'!B40</f>
        <v>3.1E-2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1298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v>
      </c>
      <c r="D24" s="238"/>
      <c r="E24" s="238"/>
      <c r="F24" s="239"/>
      <c r="G24" s="240" t="s">
        <v>82</v>
      </c>
    </row>
    <row r="25" spans="1:7" s="214" customFormat="1" ht="24">
      <c r="A25" s="779" t="s">
        <v>348</v>
      </c>
      <c r="B25" s="215" t="s">
        <v>420</v>
      </c>
      <c r="C25" s="1104">
        <f ca="1">ROUND(IF('数据-取费表'!B22&lt;=1,C20*F22*'数据-取费表'!B23/2,C20*(POWER((1+F22),'数据-取费表'!B23/2)-1)),0)</f>
        <v>13</v>
      </c>
      <c r="D25" s="238"/>
      <c r="E25" s="241"/>
      <c r="F25" s="239"/>
      <c r="G25" s="242" t="s">
        <v>83</v>
      </c>
    </row>
    <row r="26" spans="1:7" s="214" customFormat="1">
      <c r="A26" s="779" t="s">
        <v>350</v>
      </c>
      <c r="B26" s="215" t="s">
        <v>422</v>
      </c>
      <c r="C26" s="238">
        <f ca="1">ROUND(IF('数据-取费表'!B22&lt;=1,F21*F22*'数据-取费表'!B23/2,F21*(POWER((1+F22),'数据-取费表'!B23/2)-1)),4)</f>
        <v>5.9999999999999995E-4</v>
      </c>
      <c r="D26" s="238"/>
      <c r="E26" s="241"/>
      <c r="F26" s="239"/>
      <c r="G26" s="243"/>
    </row>
    <row r="27" spans="1:7" s="214" customFormat="1" ht="24.75">
      <c r="A27" s="776" t="s">
        <v>342</v>
      </c>
      <c r="B27" s="244" t="s">
        <v>85</v>
      </c>
      <c r="C27" s="245">
        <f>C28</f>
        <v>4208</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4208</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28807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472</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424</v>
      </c>
      <c r="D34" s="217"/>
      <c r="E34" s="220"/>
      <c r="F34" s="257">
        <f>IF('数据-取费表'!B24=0,1,'数据-取费表'!N16)</f>
        <v>1</v>
      </c>
      <c r="G34" s="219" t="s">
        <v>89</v>
      </c>
    </row>
    <row r="35" spans="1:7" ht="13.5" customHeight="1">
      <c r="A35" s="779" t="s">
        <v>351</v>
      </c>
      <c r="B35" s="215" t="s">
        <v>33</v>
      </c>
      <c r="C35" s="220">
        <f>ROUND(C34*F35,0)</f>
        <v>21</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19</v>
      </c>
      <c r="D37" s="217">
        <f>'数据-汇总表'!E3</f>
        <v>942.8</v>
      </c>
      <c r="E37" s="249">
        <f>'数据-取费表'!B35</f>
        <v>200</v>
      </c>
      <c r="F37" s="259"/>
      <c r="G37" s="261" t="s">
        <v>92</v>
      </c>
    </row>
    <row r="38" spans="1:7" ht="13.5" customHeight="1">
      <c r="A38" s="779" t="s">
        <v>354</v>
      </c>
      <c r="B38" s="215" t="s">
        <v>36</v>
      </c>
      <c r="C38" s="220">
        <f>ROUND(C34*F38,0)</f>
        <v>8</v>
      </c>
      <c r="D38" s="220"/>
      <c r="E38" s="220"/>
      <c r="F38" s="259">
        <f>'数据-取费表'!B36</f>
        <v>0.02</v>
      </c>
      <c r="G38" s="219" t="s">
        <v>90</v>
      </c>
    </row>
    <row r="39" spans="1:7" s="214" customFormat="1" ht="13.5" customHeight="1">
      <c r="A39" s="776" t="s">
        <v>338</v>
      </c>
      <c r="B39" s="210" t="s">
        <v>77</v>
      </c>
      <c r="C39" s="232">
        <f>ROUND(C33*F20,0)</f>
        <v>9</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15</v>
      </c>
      <c r="D41" s="235">
        <f ca="1">C44</f>
        <v>5.9999999999999995E-4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15</v>
      </c>
      <c r="D42" s="238"/>
      <c r="E42" s="238"/>
      <c r="F42" s="239"/>
      <c r="G42" s="3642" t="s">
        <v>94</v>
      </c>
    </row>
    <row r="43" spans="1:7" ht="13.5" customHeight="1">
      <c r="A43" s="779" t="s">
        <v>347</v>
      </c>
      <c r="B43" s="215" t="s">
        <v>426</v>
      </c>
      <c r="C43" s="238">
        <f ca="1">ROUND(IF('数据-取费表'!B22&lt;=1,C39*F22*'数据-取费表'!B21/2,C39*(POWER((1+F22),'数据-取费表'!B21/2)-1)),0)</f>
        <v>0</v>
      </c>
      <c r="D43" s="238"/>
      <c r="E43" s="238"/>
      <c r="F43" s="239"/>
      <c r="G43" s="3643"/>
    </row>
    <row r="44" spans="1:7" ht="13.5" customHeight="1">
      <c r="A44" s="779" t="s">
        <v>348</v>
      </c>
      <c r="B44" s="215" t="s">
        <v>428</v>
      </c>
      <c r="C44" s="238">
        <f ca="1">ROUND(IF('数据-取费表'!B22&lt;=1,C40*F22*'数据-取费表'!B21/2,C40*(POWER((1+F22),'数据-取费表'!B21/2)-1)),4)</f>
        <v>5.9999999999999995E-4</v>
      </c>
      <c r="D44" s="238"/>
      <c r="E44" s="238"/>
      <c r="F44" s="239"/>
      <c r="G44" s="3644"/>
    </row>
    <row r="45" spans="1:7" s="214" customFormat="1" ht="13.5" customHeight="1">
      <c r="A45" s="776" t="s">
        <v>341</v>
      </c>
      <c r="B45" s="244" t="s">
        <v>85</v>
      </c>
      <c r="C45" s="245">
        <f>C46</f>
        <v>96</v>
      </c>
      <c r="D45" s="235">
        <f>C47</f>
        <v>4.0000000000000001E-3</v>
      </c>
      <c r="E45" s="236" t="s">
        <v>102</v>
      </c>
      <c r="F45" s="246"/>
      <c r="G45" s="247" t="s">
        <v>434</v>
      </c>
    </row>
    <row r="46" spans="1:7" s="214" customFormat="1" ht="13.5" customHeight="1">
      <c r="A46" s="779" t="s">
        <v>349</v>
      </c>
      <c r="B46" s="248" t="s">
        <v>427</v>
      </c>
      <c r="C46" s="249">
        <f>ROUND((C33+C39)*F27,0)</f>
        <v>96</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642</v>
      </c>
      <c r="D49" s="232"/>
      <c r="E49" s="232"/>
      <c r="F49" s="264"/>
      <c r="G49" s="234" t="s">
        <v>435</v>
      </c>
    </row>
    <row r="50" spans="1:7" s="258" customFormat="1" ht="24">
      <c r="A50" s="776" t="s">
        <v>344</v>
      </c>
      <c r="B50" s="210" t="s">
        <v>97</v>
      </c>
      <c r="C50" s="232"/>
      <c r="D50" s="232"/>
      <c r="E50" s="232"/>
      <c r="F50" s="264">
        <f>IF('数据-取费表'!B24=0,'数据-取费表'!N16,1)</f>
        <v>0.76</v>
      </c>
      <c r="G50" s="247" t="s">
        <v>98</v>
      </c>
    </row>
    <row r="51" spans="1:7" ht="16.5" customHeight="1">
      <c r="A51" s="776" t="s">
        <v>345</v>
      </c>
      <c r="B51" s="210" t="s">
        <v>105</v>
      </c>
      <c r="C51" s="232">
        <f ca="1">ROUND(C49*F50,0)</f>
        <v>488</v>
      </c>
      <c r="D51" s="232"/>
      <c r="E51" s="232"/>
      <c r="F51" s="264"/>
      <c r="G51" s="234" t="s">
        <v>37</v>
      </c>
    </row>
    <row r="52" spans="1:7" s="208" customFormat="1" ht="16.5" thickBot="1">
      <c r="A52" s="265" t="s">
        <v>38</v>
      </c>
      <c r="B52" s="266"/>
      <c r="C52" s="267">
        <f ca="1">C31+C51</f>
        <v>29295</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2" t="s">
        <v>2841</v>
      </c>
      <c r="B1" s="3782"/>
      <c r="C1" s="3782"/>
      <c r="D1" s="3782"/>
      <c r="E1" s="3782"/>
      <c r="F1" s="3782"/>
      <c r="G1" s="3783"/>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2"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80"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2" thickBot="1">
      <c r="A4" s="3781"/>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2"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2"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2"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2"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4" t="s">
        <v>3183</v>
      </c>
      <c r="B1" s="3784"/>
    </row>
    <row r="2" spans="1:7" ht="14.25" thickBot="1">
      <c r="A2" s="3254"/>
      <c r="B2" s="3254"/>
    </row>
    <row r="3" spans="1:7" ht="14.25" thickBot="1">
      <c r="A3" s="3254"/>
      <c r="B3" s="3254"/>
      <c r="C3" s="3255" t="s">
        <v>2813</v>
      </c>
      <c r="D3" s="3255" t="s">
        <v>2869</v>
      </c>
      <c r="E3" s="3255" t="s">
        <v>2815</v>
      </c>
      <c r="F3" s="3255" t="s">
        <v>2870</v>
      </c>
      <c r="G3" s="3255" t="s">
        <v>2633</v>
      </c>
    </row>
    <row r="4" spans="1:7" ht="14.2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4.2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4.2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4.2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4.2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4.2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4.2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4.2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4.2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4.2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4.2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5" t="s">
        <v>3234</v>
      </c>
      <c r="B1" s="3785"/>
      <c r="C1" s="3785"/>
      <c r="D1" s="3785"/>
      <c r="E1" s="3785"/>
      <c r="F1" s="3786"/>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0">
        <f>基准地价修正!G23</f>
        <v>45609</v>
      </c>
      <c r="B1" s="3209" t="s">
        <v>3382</v>
      </c>
      <c r="C1" s="3210"/>
      <c r="D1" s="3210"/>
      <c r="E1" s="3210"/>
      <c r="F1" s="3210"/>
      <c r="G1" s="3210"/>
      <c r="H1" s="3210"/>
      <c r="I1" s="3210"/>
      <c r="J1" s="3164"/>
      <c r="K1" s="3210" t="s">
        <v>454</v>
      </c>
      <c r="L1" s="3210"/>
      <c r="M1" s="3210"/>
      <c r="N1" s="3210"/>
      <c r="O1" s="3210"/>
      <c r="P1" s="3210"/>
      <c r="Q1" s="3164"/>
      <c r="R1" s="3787" t="s">
        <v>456</v>
      </c>
      <c r="S1" s="3788"/>
      <c r="T1" s="3788"/>
      <c r="U1" s="3788"/>
      <c r="V1" s="3788"/>
      <c r="W1" s="3788"/>
      <c r="X1" s="3164"/>
      <c r="Y1" s="3787" t="s">
        <v>457</v>
      </c>
      <c r="Z1" s="3788"/>
      <c r="AA1" s="3788"/>
      <c r="AB1" s="3788"/>
      <c r="AC1" s="3788"/>
      <c r="AD1" s="3788"/>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ROUND(AVERAGEIF(D4:D21,"&lt;&gt;0"),2)</f>
        <v>0.47</v>
      </c>
      <c r="E3" s="3150">
        <f t="shared" ref="E3:H3" si="0">ROUND(AVERAGEIF(E4:E21,"&lt;&gt;0"),2)</f>
        <v>0.3</v>
      </c>
      <c r="F3" s="3150">
        <f t="shared" si="0"/>
        <v>0.04</v>
      </c>
      <c r="G3" s="3150">
        <f t="shared" si="0"/>
        <v>0.51</v>
      </c>
      <c r="H3" s="3150">
        <f t="shared" si="0"/>
        <v>0.55000000000000004</v>
      </c>
      <c r="I3" s="3150">
        <f>F3</f>
        <v>0.04</v>
      </c>
      <c r="J3" s="3151"/>
      <c r="K3" s="3152">
        <f>ROUND(AVERAGEIF(K4:K21,"&lt;&gt;0"),4)</f>
        <v>4.7000000000000002E-3</v>
      </c>
      <c r="L3" s="3153">
        <f t="shared" ref="L3:O3" si="1">ROUND(AVERAGEIF(L4:L21,"&lt;&gt;0"),4)</f>
        <v>3.0000000000000001E-3</v>
      </c>
      <c r="M3" s="3153">
        <f t="shared" si="1"/>
        <v>4.0000000000000002E-4</v>
      </c>
      <c r="N3" s="3153">
        <f t="shared" si="1"/>
        <v>5.1000000000000004E-3</v>
      </c>
      <c r="O3" s="3153">
        <f t="shared" si="1"/>
        <v>5.4999999999999997E-3</v>
      </c>
      <c r="P3" s="3153">
        <f>M3</f>
        <v>4.0000000000000002E-4</v>
      </c>
      <c r="Q3" s="3151"/>
      <c r="R3" s="3154">
        <f>ROUND(SUMPRODUCT(PRODUCT(1+K4:K21)),4)</f>
        <v>1.0723</v>
      </c>
      <c r="S3" s="3155">
        <f t="shared" ref="S3:V3" si="2">ROUND(SUMPRODUCT(PRODUCT(1+L4:L21)),4)</f>
        <v>1.0465</v>
      </c>
      <c r="T3" s="3155">
        <f t="shared" si="2"/>
        <v>1.0054000000000001</v>
      </c>
      <c r="U3" s="3155">
        <f t="shared" si="2"/>
        <v>1.0790999999999999</v>
      </c>
      <c r="V3" s="3155">
        <f t="shared" si="2"/>
        <v>1.0857000000000001</v>
      </c>
      <c r="W3" s="3154">
        <f>T3</f>
        <v>1.0054000000000001</v>
      </c>
      <c r="X3" s="3151"/>
      <c r="Y3" s="3156">
        <f>ROUND(AVERAGEIF(Y8:Y21,"&lt;&gt;0"),4)</f>
        <v>8.3999999999999995E-3</v>
      </c>
      <c r="Z3" s="3157">
        <f t="shared" ref="Z3:AC3" si="3">ROUND(AVERAGEIF(Z8:Z21,"&lt;&gt;0"),4)</f>
        <v>3.5000000000000001E-3</v>
      </c>
      <c r="AA3" s="3158">
        <f t="shared" si="3"/>
        <v>8.0000000000000004E-4</v>
      </c>
      <c r="AB3" s="3156">
        <f t="shared" si="3"/>
        <v>9.1000000000000004E-3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2025</v>
      </c>
      <c r="C5" s="3177">
        <v>1</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ROUND(IF(项目基本情况!$B$8="出让",SUMPRODUCT(PRODUCT(1+K5:$K$21)),SUMPRODUCT(PRODUCT(1+K5:$K$20))),4)</f>
        <v>1.0620000000000001</v>
      </c>
      <c r="S5" s="3182">
        <f>ROUND(IF(项目基本情况!$B$8="出让",SUMPRODUCT(PRODUCT(1+L5:$L$21)),SUMPRODUCT(PRODUCT(1+L5:$L$20))),4)</f>
        <v>1.0448</v>
      </c>
      <c r="T5" s="3182">
        <f>ROUND(IF(项目基本情况!$B$8="出让",SUMPRODUCT(PRODUCT(1+M5:$M$21)),SUMPRODUCT(PRODUCT(1+M5:$M$20))),4)</f>
        <v>1.0079</v>
      </c>
      <c r="U5" s="3182">
        <f>ROUND(IF(项目基本情况!$B$8="出让",SUMPRODUCT(PRODUCT(1+N5:$N$21)),SUMPRODUCT(PRODUCT(1+N5:$N$20))),4)</f>
        <v>1.0672999999999999</v>
      </c>
      <c r="V5" s="3182">
        <f>ROUND(IF(项目基本情况!$B$8="出让",SUMPRODUCT(PRODUCT(1+O5:$O$21)),SUMPRODUCT(PRODUCT(1+O5:$O$20))),4)</f>
        <v>1.0818000000000001</v>
      </c>
      <c r="W5" s="3182">
        <f>T5</f>
        <v>1.0079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2.75">
      <c r="A6" s="3185" t="s">
        <v>3387</v>
      </c>
      <c r="B6" s="3186">
        <v>2024</v>
      </c>
      <c r="C6" s="3187">
        <v>4</v>
      </c>
      <c r="D6" s="3188">
        <v>0</v>
      </c>
      <c r="E6" s="3188">
        <v>0</v>
      </c>
      <c r="F6" s="3188">
        <v>0</v>
      </c>
      <c r="G6" s="3188">
        <v>0</v>
      </c>
      <c r="H6" s="3189">
        <v>0</v>
      </c>
      <c r="I6" s="3190">
        <f t="shared" ref="I6" si="15">F6</f>
        <v>0</v>
      </c>
      <c r="J6" s="3191"/>
      <c r="K6" s="3192">
        <f t="shared" ref="K6" si="16">D6/100</f>
        <v>0</v>
      </c>
      <c r="L6" s="3193">
        <f t="shared" ref="L6" si="17">E6/100</f>
        <v>0</v>
      </c>
      <c r="M6" s="3193">
        <f t="shared" ref="M6" si="18">F6/100</f>
        <v>0</v>
      </c>
      <c r="N6" s="3193">
        <f t="shared" ref="N6" si="19">G6/100</f>
        <v>0</v>
      </c>
      <c r="O6" s="3193">
        <f t="shared" ref="O6" si="20">H6/100</f>
        <v>0</v>
      </c>
      <c r="P6" s="3193">
        <f>M6</f>
        <v>0</v>
      </c>
      <c r="Q6" s="3191"/>
      <c r="R6" s="3191">
        <f>ROUND(IF(项目基本情况!$B$8="出让",SUMPRODUCT(PRODUCT(1+K6:$K$21)),SUMPRODUCT(PRODUCT(1+K6:$K$20))),4)</f>
        <v>1.0620000000000001</v>
      </c>
      <c r="S6" s="3191">
        <f>ROUND(IF(项目基本情况!$B$8="出让",SUMPRODUCT(PRODUCT(1+L6:$L$21)),SUMPRODUCT(PRODUCT(1+L6:$L$20))),4)</f>
        <v>1.0448</v>
      </c>
      <c r="T6" s="3191">
        <f>ROUND(IF(项目基本情况!$B$8="出让",SUMPRODUCT(PRODUCT(1+M6:$M$21)),SUMPRODUCT(PRODUCT(1+M6:$M$20))),4)</f>
        <v>1.0079</v>
      </c>
      <c r="U6" s="3191">
        <f>ROUND(IF(项目基本情况!$B$8="出让",SUMPRODUCT(PRODUCT(1+N6:$N$21)),SUMPRODUCT(PRODUCT(1+N6:$N$20))),4)</f>
        <v>1.0672999999999999</v>
      </c>
      <c r="V6" s="3191">
        <f>ROUND(IF(项目基本情况!$B$8="出让",SUMPRODUCT(PRODUCT(1+O6:$O$21)),SUMPRODUCT(PRODUCT(1+O6:$O$20))),4)</f>
        <v>1.0818000000000001</v>
      </c>
      <c r="W6" s="3191">
        <f>T6</f>
        <v>1.0079</v>
      </c>
      <c r="X6" s="3191"/>
      <c r="Y6" s="3193">
        <f>IF(D6=0,0,ROUND(AVERAGE(D6:D19)/100,4))</f>
        <v>0</v>
      </c>
      <c r="Z6" s="3193">
        <f t="shared" ref="Z6" si="21">IF(E6=0,0,ROUND(AVERAGE(E6:E19)/100,4))</f>
        <v>0</v>
      </c>
      <c r="AA6" s="3193">
        <f t="shared" ref="AA6" si="22">IF(F6=0,0,ROUND(AVERAGE(F6:F19)/100,4))</f>
        <v>0</v>
      </c>
      <c r="AB6" s="3193">
        <f t="shared" ref="AB6" si="23">IF(G6=0,0,ROUND(AVERAGE(G6:G19)/100,4))</f>
        <v>0</v>
      </c>
      <c r="AC6" s="3193">
        <f t="shared" ref="AC6" si="24">IF(H6=0,0,ROUND(AVERAGE(H6:H19)/100,4))</f>
        <v>0</v>
      </c>
      <c r="AD6" s="3193">
        <f t="shared" ref="AD6" si="25">AA6</f>
        <v>0</v>
      </c>
    </row>
    <row r="7" spans="1:30" s="3184" customFormat="1" ht="12.75">
      <c r="A7" s="2204" t="s">
        <v>3386</v>
      </c>
      <c r="B7" s="3176">
        <v>2024</v>
      </c>
      <c r="C7" s="3177">
        <v>3</v>
      </c>
      <c r="D7" s="3178">
        <v>-1.19</v>
      </c>
      <c r="E7" s="3178">
        <v>-0.47</v>
      </c>
      <c r="F7" s="3178">
        <v>-0.28999999999999998</v>
      </c>
      <c r="G7" s="3178">
        <v>-0.74</v>
      </c>
      <c r="H7" s="3178">
        <v>-0.21</v>
      </c>
      <c r="I7" s="3179">
        <f t="shared" ref="I7" si="26">F7</f>
        <v>-0.28999999999999998</v>
      </c>
      <c r="J7" s="3180"/>
      <c r="K7" s="3181">
        <f t="shared" ref="K7" si="27">D7/100</f>
        <v>-1.1899999999999999E-2</v>
      </c>
      <c r="L7" s="3171">
        <f t="shared" ref="L7" si="28">E7/100</f>
        <v>-4.6999999999999993E-3</v>
      </c>
      <c r="M7" s="3171">
        <f t="shared" ref="M7" si="29">F7/100</f>
        <v>-2.8999999999999998E-3</v>
      </c>
      <c r="N7" s="3171">
        <f t="shared" ref="N7" si="30">G7/100</f>
        <v>-7.4000000000000003E-3</v>
      </c>
      <c r="O7" s="3171">
        <f t="shared" ref="O7" si="31">H7/100</f>
        <v>-2.0999999999999999E-3</v>
      </c>
      <c r="P7" s="3171">
        <f>M7</f>
        <v>-2.8999999999999998E-3</v>
      </c>
      <c r="Q7" s="3180"/>
      <c r="R7" s="3182">
        <f>ROUND(IF(项目基本情况!$B$8="出让",SUMPRODUCT(PRODUCT(1+K7:$K$21)),SUMPRODUCT(PRODUCT(1+K7:$K$20))),4)</f>
        <v>1.0620000000000001</v>
      </c>
      <c r="S7" s="3182">
        <f>ROUND(IF(项目基本情况!$B$8="出让",SUMPRODUCT(PRODUCT(1+L7:$L$21)),SUMPRODUCT(PRODUCT(1+L7:$L$20))),4)</f>
        <v>1.0448</v>
      </c>
      <c r="T7" s="3182">
        <f>ROUND(IF(项目基本情况!$B$8="出让",SUMPRODUCT(PRODUCT(1+M7:$M$21)),SUMPRODUCT(PRODUCT(1+M7:$M$20))),4)</f>
        <v>1.0079</v>
      </c>
      <c r="U7" s="3182">
        <f>ROUND(IF(项目基本情况!$B$8="出让",SUMPRODUCT(PRODUCT(1+N7:$N$21)),SUMPRODUCT(PRODUCT(1+N7:$N$20))),4)</f>
        <v>1.0672999999999999</v>
      </c>
      <c r="V7" s="3182">
        <f>ROUND(IF(项目基本情况!$B$8="出让",SUMPRODUCT(PRODUCT(1+O7:$O$21)),SUMPRODUCT(PRODUCT(1+O7:$O$20))),4)</f>
        <v>1.0818000000000001</v>
      </c>
      <c r="W7" s="3182">
        <f>T7</f>
        <v>1.0079</v>
      </c>
      <c r="X7" s="3180"/>
      <c r="Y7" s="3183">
        <f>IF(D7=0,0,ROUND(AVERAGE(D7:D20)/100,4))</f>
        <v>4.3E-3</v>
      </c>
      <c r="Z7" s="3183">
        <f t="shared" ref="Z7" si="32">IF(E7=0,0,ROUND(AVERAGE(E7:E20)/100,4))</f>
        <v>3.0999999999999999E-3</v>
      </c>
      <c r="AA7" s="3183">
        <f t="shared" ref="AA7" si="33">IF(F7=0,0,ROUND(AVERAGE(F7:F20)/100,4))</f>
        <v>5.9999999999999995E-4</v>
      </c>
      <c r="AB7" s="3183">
        <f t="shared" ref="AB7" si="34">IF(G7=0,0,ROUND(AVERAGE(G7:G20)/100,4))</f>
        <v>4.7000000000000002E-3</v>
      </c>
      <c r="AC7" s="3183">
        <f t="shared" ref="AC7" si="35">IF(H7=0,0,ROUND(AVERAGE(H7:H20)/100,4))</f>
        <v>5.5999999999999999E-3</v>
      </c>
      <c r="AD7" s="3183">
        <f t="shared" ref="AD7" si="36">AA7</f>
        <v>5.9999999999999995E-4</v>
      </c>
    </row>
    <row r="8" spans="1:30" s="3184" customFormat="1" ht="12.75">
      <c r="A8" s="3175" t="s">
        <v>3379</v>
      </c>
      <c r="B8" s="3176">
        <v>2024</v>
      </c>
      <c r="C8" s="3177">
        <v>2</v>
      </c>
      <c r="D8" s="3178">
        <v>-0.59</v>
      </c>
      <c r="E8" s="3178">
        <v>-0.21</v>
      </c>
      <c r="F8" s="3178">
        <v>-1.38</v>
      </c>
      <c r="G8" s="3178">
        <v>-1.24</v>
      </c>
      <c r="H8" s="3195">
        <v>0.34</v>
      </c>
      <c r="I8" s="3179">
        <f t="shared" ref="I8:I21" si="37">F8</f>
        <v>-1.38</v>
      </c>
      <c r="J8" s="3180"/>
      <c r="K8" s="3181">
        <f t="shared" ref="K8:O21" si="38">D8/100</f>
        <v>-5.8999999999999999E-3</v>
      </c>
      <c r="L8" s="3171">
        <f t="shared" si="38"/>
        <v>-2.0999999999999999E-3</v>
      </c>
      <c r="M8" s="3171">
        <f t="shared" si="38"/>
        <v>-1.38E-2</v>
      </c>
      <c r="N8" s="3171">
        <f t="shared" si="38"/>
        <v>-1.24E-2</v>
      </c>
      <c r="O8" s="3171">
        <f t="shared" si="38"/>
        <v>3.4000000000000002E-3</v>
      </c>
      <c r="P8" s="3171">
        <f>M8</f>
        <v>-1.38E-2</v>
      </c>
      <c r="Q8" s="3180"/>
      <c r="R8" s="3182">
        <f>ROUND(IF(项目基本情况!$B$8="出让",SUMPRODUCT(PRODUCT(1+K8:$K$21)),SUMPRODUCT(PRODUCT(1+K8:$K$20))),4)</f>
        <v>1.0748</v>
      </c>
      <c r="S8" s="3182">
        <f>ROUND(IF(项目基本情况!$B$8="出让",SUMPRODUCT(PRODUCT(1+L8:$L$21)),SUMPRODUCT(PRODUCT(1+L8:$L$20))),4)</f>
        <v>1.0498000000000001</v>
      </c>
      <c r="T8" s="3182">
        <f>ROUND(IF(项目基本情况!$B$8="出让",SUMPRODUCT(PRODUCT(1+M8:$M$21)),SUMPRODUCT(PRODUCT(1+M8:$M$20))),4)</f>
        <v>1.0107999999999999</v>
      </c>
      <c r="U8" s="3182">
        <f>ROUND(IF(项目基本情况!$B$8="出让",SUMPRODUCT(PRODUCT(1+N8:$N$21)),SUMPRODUCT(PRODUCT(1+N8:$N$20))),4)</f>
        <v>1.0752999999999999</v>
      </c>
      <c r="V8" s="3182">
        <f>ROUND(IF(项目基本情况!$B$8="出让",SUMPRODUCT(PRODUCT(1+O8:$O$21)),SUMPRODUCT(PRODUCT(1+O8:$O$20))),4)</f>
        <v>1.0841000000000001</v>
      </c>
      <c r="W8" s="3182">
        <f>T8</f>
        <v>1.0107999999999999</v>
      </c>
      <c r="X8" s="3180"/>
      <c r="Y8" s="3183">
        <f>IF(D8=0,0,ROUND(AVERAGE(D8:D21)/100,4))</f>
        <v>5.8999999999999999E-3</v>
      </c>
      <c r="Z8" s="3183">
        <f t="shared" ref="Z8:AC8" si="39">IF(E8=0,0,ROUND(AVERAGE(E8:E21)/100,4))</f>
        <v>3.5999999999999999E-3</v>
      </c>
      <c r="AA8" s="3183">
        <f t="shared" si="39"/>
        <v>5.9999999999999995E-4</v>
      </c>
      <c r="AB8" s="3183">
        <f t="shared" si="39"/>
        <v>6.0000000000000001E-3</v>
      </c>
      <c r="AC8" s="3183">
        <f t="shared" si="39"/>
        <v>6.0000000000000001E-3</v>
      </c>
      <c r="AD8" s="3183">
        <f t="shared" ref="AD8:AD20" si="40">AA8</f>
        <v>5.9999999999999995E-4</v>
      </c>
    </row>
    <row r="9" spans="1:30" s="3184" customFormat="1" ht="12.75">
      <c r="A9" s="3175" t="s">
        <v>3375</v>
      </c>
      <c r="B9" s="3176">
        <v>2024</v>
      </c>
      <c r="C9" s="3177">
        <v>1</v>
      </c>
      <c r="D9" s="3178">
        <v>0.08</v>
      </c>
      <c r="E9" s="3178">
        <v>0.46</v>
      </c>
      <c r="F9" s="3178">
        <v>-0.16</v>
      </c>
      <c r="G9" s="3178">
        <v>0.26</v>
      </c>
      <c r="H9" s="3195">
        <v>0.59</v>
      </c>
      <c r="I9" s="3179">
        <v>0</v>
      </c>
      <c r="J9" s="3180"/>
      <c r="K9" s="3181">
        <f t="shared" ref="K9" si="41">D9/100</f>
        <v>8.0000000000000004E-4</v>
      </c>
      <c r="L9" s="3171">
        <f t="shared" ref="L9" si="42">E9/100</f>
        <v>4.5999999999999999E-3</v>
      </c>
      <c r="M9" s="3171">
        <f t="shared" ref="M9" si="43">F9/100</f>
        <v>-1.6000000000000001E-3</v>
      </c>
      <c r="N9" s="3171">
        <f t="shared" ref="N9" si="44">G9/100</f>
        <v>2.5999999999999999E-3</v>
      </c>
      <c r="O9" s="3171">
        <f t="shared" ref="O9" si="45">H9/100</f>
        <v>5.8999999999999999E-3</v>
      </c>
      <c r="P9" s="3171">
        <f t="shared" ref="P9" si="46">M9</f>
        <v>-1.6000000000000001E-3</v>
      </c>
      <c r="Q9" s="3180"/>
      <c r="R9" s="3182">
        <f>ROUND(IF(项目基本情况!$B$8="出让",SUMPRODUCT(PRODUCT(1+K9:$K$21)),SUMPRODUCT(PRODUCT(1+K9:$K$20))),4)</f>
        <v>1.0811999999999999</v>
      </c>
      <c r="S9" s="3182">
        <f>ROUND(IF(项目基本情况!$B$8="出让",SUMPRODUCT(PRODUCT(1+L9:$L$21)),SUMPRODUCT(PRODUCT(1+L9:$L$20))),4)</f>
        <v>1.052</v>
      </c>
      <c r="T9" s="3182">
        <f>ROUND(IF(项目基本情况!$B$8="出让",SUMPRODUCT(PRODUCT(1+M9:$M$21)),SUMPRODUCT(PRODUCT(1+M9:$M$20))),4)</f>
        <v>1.0249999999999999</v>
      </c>
      <c r="U9" s="3182">
        <f>ROUND(IF(项目基本情况!$B$8="出让",SUMPRODUCT(PRODUCT(1+N9:$N$21)),SUMPRODUCT(PRODUCT(1+N9:$N$20))),4)</f>
        <v>1.0888</v>
      </c>
      <c r="V9" s="3182">
        <f>ROUND(IF(项目基本情况!$B$8="出让",SUMPRODUCT(PRODUCT(1+O9:$O$21)),SUMPRODUCT(PRODUCT(1+O9:$O$20))),4)</f>
        <v>1.0804</v>
      </c>
      <c r="W9" s="3182">
        <f t="shared" ref="W9" si="47">T9</f>
        <v>1.0249999999999999</v>
      </c>
      <c r="X9" s="3180"/>
      <c r="Y9" s="3183"/>
      <c r="Z9" s="3183"/>
      <c r="AA9" s="3183"/>
      <c r="AB9" s="3183"/>
      <c r="AC9" s="3183"/>
      <c r="AD9" s="3183"/>
    </row>
    <row r="10" spans="1:30" s="3184" customFormat="1" ht="12.75">
      <c r="A10" s="3175" t="s">
        <v>3371</v>
      </c>
      <c r="B10" s="3176">
        <v>2023</v>
      </c>
      <c r="C10" s="3177">
        <v>4</v>
      </c>
      <c r="D10" s="3178">
        <v>0.19</v>
      </c>
      <c r="E10" s="3178">
        <v>0.24</v>
      </c>
      <c r="F10" s="3178">
        <v>-0.16</v>
      </c>
      <c r="G10" s="3178">
        <v>0.17</v>
      </c>
      <c r="H10" s="3195">
        <v>0.61</v>
      </c>
      <c r="I10" s="3179">
        <f>F10</f>
        <v>-0.16</v>
      </c>
      <c r="J10" s="3180"/>
      <c r="K10" s="3181">
        <f t="shared" si="38"/>
        <v>1.9E-3</v>
      </c>
      <c r="L10" s="3171">
        <f t="shared" si="38"/>
        <v>2.3999999999999998E-3</v>
      </c>
      <c r="M10" s="3171">
        <f t="shared" si="38"/>
        <v>-1.6000000000000001E-3</v>
      </c>
      <c r="N10" s="3171">
        <f t="shared" si="38"/>
        <v>1.7000000000000001E-3</v>
      </c>
      <c r="O10" s="3171">
        <f t="shared" si="38"/>
        <v>6.0999999999999995E-3</v>
      </c>
      <c r="P10" s="3171">
        <f t="shared" ref="P10" si="48">M10</f>
        <v>-1.6000000000000001E-3</v>
      </c>
      <c r="Q10" s="3180"/>
      <c r="R10" s="3182">
        <f>ROUND(IF(项目基本情况!$B$8="出让",SUMPRODUCT(PRODUCT(1+K10:$K$21)),SUMPRODUCT(PRODUCT(1+K10:$K$20))),4)</f>
        <v>1.0804</v>
      </c>
      <c r="S10" s="3182">
        <f>ROUND(IF(项目基本情况!$B$8="出让",SUMPRODUCT(PRODUCT(1+L10:$L$21)),SUMPRODUCT(PRODUCT(1+L10:$L$20))),4)</f>
        <v>1.0471999999999999</v>
      </c>
      <c r="T10" s="3182">
        <f>ROUND(IF(项目基本情况!$B$8="出让",SUMPRODUCT(PRODUCT(1+M10:$M$21)),SUMPRODUCT(PRODUCT(1+M10:$M$20))),4)</f>
        <v>1.0266</v>
      </c>
      <c r="U10" s="3182">
        <f>ROUND(IF(项目基本情况!$B$8="出让",SUMPRODUCT(PRODUCT(1+N10:$N$21)),SUMPRODUCT(PRODUCT(1+N10:$N$20))),4)</f>
        <v>1.0859000000000001</v>
      </c>
      <c r="V10" s="3182">
        <f>ROUND(IF(项目基本情况!$B$8="出让",SUMPRODUCT(PRODUCT(1+O10:$O$21)),SUMPRODUCT(PRODUCT(1+O10:$O$20))),4)</f>
        <v>1.0741000000000001</v>
      </c>
      <c r="W10" s="3182">
        <f t="shared" ref="W10" si="49">T10</f>
        <v>1.0266</v>
      </c>
      <c r="X10" s="3180"/>
      <c r="Y10" s="3183"/>
      <c r="Z10" s="3183"/>
      <c r="AA10" s="3183"/>
      <c r="AB10" s="3183"/>
      <c r="AC10" s="3183"/>
      <c r="AD10" s="3183"/>
    </row>
    <row r="11" spans="1:30" s="3184" customFormat="1" ht="12.75">
      <c r="A11" s="3175" t="s">
        <v>3370</v>
      </c>
      <c r="B11" s="3176">
        <v>2023</v>
      </c>
      <c r="C11" s="3177">
        <v>3</v>
      </c>
      <c r="D11" s="3178">
        <v>0.25</v>
      </c>
      <c r="E11" s="3178">
        <v>0.5</v>
      </c>
      <c r="F11" s="3178">
        <v>0.31</v>
      </c>
      <c r="G11" s="3178">
        <v>0.21</v>
      </c>
      <c r="H11" s="3195">
        <v>0.43</v>
      </c>
      <c r="I11" s="3179">
        <f t="shared" si="37"/>
        <v>0.31</v>
      </c>
      <c r="J11" s="3180"/>
      <c r="K11" s="3181">
        <f t="shared" ref="K11:K13" si="50">D11/100</f>
        <v>2.5000000000000001E-3</v>
      </c>
      <c r="L11" s="3171">
        <f t="shared" ref="L11:L13" si="51">E11/100</f>
        <v>5.0000000000000001E-3</v>
      </c>
      <c r="M11" s="3171">
        <f t="shared" ref="M11:M13" si="52">F11/100</f>
        <v>3.0999999999999999E-3</v>
      </c>
      <c r="N11" s="3171">
        <f t="shared" ref="N11:N13" si="53">G11/100</f>
        <v>2.0999999999999999E-3</v>
      </c>
      <c r="O11" s="3171">
        <f t="shared" ref="O11:O13" si="54">H11/100</f>
        <v>4.3E-3</v>
      </c>
      <c r="P11" s="3171">
        <f t="shared" ref="P11:P13" si="55">M11</f>
        <v>3.0999999999999999E-3</v>
      </c>
      <c r="Q11" s="3180"/>
      <c r="R11" s="3182">
        <f>ROUND(IF(项目基本情况!$B$8="出让",SUMPRODUCT(PRODUCT(1+K11:$K$21)),SUMPRODUCT(PRODUCT(1+K11:$K$20))),4)</f>
        <v>1.0783</v>
      </c>
      <c r="S11" s="3182">
        <f>ROUND(IF(项目基本情况!$B$8="出让",SUMPRODUCT(PRODUCT(1+L11:$L$21)),SUMPRODUCT(PRODUCT(1+L11:$L$20))),4)</f>
        <v>1.0447</v>
      </c>
      <c r="T11" s="3182">
        <f>ROUND(IF(项目基本情况!$B$8="出让",SUMPRODUCT(PRODUCT(1+M11:$M$21)),SUMPRODUCT(PRODUCT(1+M11:$M$20))),4)</f>
        <v>1.0282</v>
      </c>
      <c r="U11" s="3182">
        <f>ROUND(IF(项目基本情况!$B$8="出让",SUMPRODUCT(PRODUCT(1+N11:$N$21)),SUMPRODUCT(PRODUCT(1+N11:$N$20))),4)</f>
        <v>1.0841000000000001</v>
      </c>
      <c r="V11" s="3182">
        <f>ROUND(IF(项目基本情况!$B$8="出让",SUMPRODUCT(PRODUCT(1+O11:$O$21)),SUMPRODUCT(PRODUCT(1+O11:$O$20))),4)</f>
        <v>1.0674999999999999</v>
      </c>
      <c r="W11" s="3182">
        <f t="shared" ref="W11:W12" si="56">T11</f>
        <v>1.0282</v>
      </c>
      <c r="X11" s="3180"/>
      <c r="Y11" s="3183"/>
      <c r="Z11" s="3183"/>
      <c r="AA11" s="3183"/>
      <c r="AB11" s="3183"/>
      <c r="AC11" s="3183"/>
      <c r="AD11" s="3183"/>
    </row>
    <row r="12" spans="1:30" s="3184" customFormat="1" ht="12.75">
      <c r="A12" s="3175" t="s">
        <v>3368</v>
      </c>
      <c r="B12" s="3176">
        <v>2023</v>
      </c>
      <c r="C12" s="3177">
        <v>2</v>
      </c>
      <c r="D12" s="3178">
        <v>0.91</v>
      </c>
      <c r="E12" s="3178">
        <v>0.66</v>
      </c>
      <c r="F12" s="3178">
        <v>0.47</v>
      </c>
      <c r="G12" s="3178">
        <v>0.96</v>
      </c>
      <c r="H12" s="3195">
        <v>0.71</v>
      </c>
      <c r="I12" s="3179">
        <f t="shared" si="37"/>
        <v>0.47</v>
      </c>
      <c r="J12" s="3180"/>
      <c r="K12" s="3181">
        <f t="shared" si="50"/>
        <v>9.1000000000000004E-3</v>
      </c>
      <c r="L12" s="3171">
        <f t="shared" si="51"/>
        <v>6.6E-3</v>
      </c>
      <c r="M12" s="3171">
        <f t="shared" si="52"/>
        <v>4.6999999999999993E-3</v>
      </c>
      <c r="N12" s="3171">
        <f t="shared" si="53"/>
        <v>9.5999999999999992E-3</v>
      </c>
      <c r="O12" s="3171">
        <f t="shared" si="54"/>
        <v>7.0999999999999995E-3</v>
      </c>
      <c r="P12" s="3171">
        <f t="shared" si="55"/>
        <v>4.6999999999999993E-3</v>
      </c>
      <c r="Q12" s="3180"/>
      <c r="R12" s="3182">
        <f>ROUND(IF(项目基本情况!$B$8="出让",SUMPRODUCT(PRODUCT(1+K12:$K$21)),SUMPRODUCT(PRODUCT(1+K12:$K$20))),4)</f>
        <v>1.0755999999999999</v>
      </c>
      <c r="S12" s="3182">
        <f>ROUND(IF(项目基本情况!$B$8="出让",SUMPRODUCT(PRODUCT(1+L12:$L$21)),SUMPRODUCT(PRODUCT(1+L12:$L$20))),4)</f>
        <v>1.0395000000000001</v>
      </c>
      <c r="T12" s="3182">
        <f>ROUND(IF(项目基本情况!$B$8="出让",SUMPRODUCT(PRODUCT(1+M12:$M$21)),SUMPRODUCT(PRODUCT(1+M12:$M$20))),4)</f>
        <v>1.0250999999999999</v>
      </c>
      <c r="U12" s="3182">
        <f>ROUND(IF(项目基本情况!$B$8="出让",SUMPRODUCT(PRODUCT(1+N12:$N$21)),SUMPRODUCT(PRODUCT(1+N12:$N$20))),4)</f>
        <v>1.0818000000000001</v>
      </c>
      <c r="V12" s="3182">
        <f>ROUND(IF(项目基本情况!$B$8="出让",SUMPRODUCT(PRODUCT(1+O12:$O$21)),SUMPRODUCT(PRODUCT(1+O12:$O$20))),4)</f>
        <v>1.0629999999999999</v>
      </c>
      <c r="W12" s="3182">
        <f t="shared" si="56"/>
        <v>1.0250999999999999</v>
      </c>
      <c r="X12" s="3180"/>
      <c r="Y12" s="3183"/>
      <c r="Z12" s="3183"/>
      <c r="AA12" s="3183"/>
      <c r="AB12" s="3183"/>
      <c r="AC12" s="3183"/>
      <c r="AD12" s="3183"/>
    </row>
    <row r="13" spans="1:30" s="3184" customFormat="1" ht="12.75">
      <c r="A13" s="3175" t="s">
        <v>3367</v>
      </c>
      <c r="B13" s="3176">
        <v>2023</v>
      </c>
      <c r="C13" s="3177">
        <v>1</v>
      </c>
      <c r="D13" s="3178">
        <v>0.89</v>
      </c>
      <c r="E13" s="3178">
        <v>0.74</v>
      </c>
      <c r="F13" s="3178">
        <v>0.56999999999999995</v>
      </c>
      <c r="G13" s="3178">
        <v>0.92</v>
      </c>
      <c r="H13" s="3195">
        <v>0.5</v>
      </c>
      <c r="I13" s="3179">
        <f t="shared" si="37"/>
        <v>0.56999999999999995</v>
      </c>
      <c r="J13" s="3180"/>
      <c r="K13" s="3181">
        <f t="shared" si="50"/>
        <v>8.8999999999999999E-3</v>
      </c>
      <c r="L13" s="3171">
        <f t="shared" si="51"/>
        <v>7.4000000000000003E-3</v>
      </c>
      <c r="M13" s="3171">
        <f t="shared" si="52"/>
        <v>5.6999999999999993E-3</v>
      </c>
      <c r="N13" s="3171">
        <f t="shared" si="53"/>
        <v>9.1999999999999998E-3</v>
      </c>
      <c r="O13" s="3171">
        <f t="shared" si="54"/>
        <v>5.0000000000000001E-3</v>
      </c>
      <c r="P13" s="3171">
        <f t="shared" si="55"/>
        <v>5.6999999999999993E-3</v>
      </c>
      <c r="Q13" s="3180"/>
      <c r="R13" s="3182">
        <f>ROUND(IF(项目基本情况!$B$8="出让",SUMPRODUCT(PRODUCT(1+K13:$K$21)),SUMPRODUCT(PRODUCT(1+K13:$K$20))),4)</f>
        <v>1.0659000000000001</v>
      </c>
      <c r="S13" s="3182">
        <f>ROUND(IF(项目基本情况!$B$8="出让",SUMPRODUCT(PRODUCT(1+L13:$L$21)),SUMPRODUCT(PRODUCT(1+L13:$L$20))),4)</f>
        <v>1.0326</v>
      </c>
      <c r="T13" s="3182">
        <f>ROUND(IF(项目基本情况!$B$8="出让",SUMPRODUCT(PRODUCT(1+M13:$M$21)),SUMPRODUCT(PRODUCT(1+M13:$M$20))),4)</f>
        <v>1.0203</v>
      </c>
      <c r="U13" s="3182">
        <f>ROUND(IF(项目基本情况!$B$8="出让",SUMPRODUCT(PRODUCT(1+N13:$N$21)),SUMPRODUCT(PRODUCT(1+N13:$N$20))),4)</f>
        <v>1.0714999999999999</v>
      </c>
      <c r="V13" s="3182">
        <f>ROUND(IF(项目基本情况!$B$8="出让",SUMPRODUCT(PRODUCT(1+O13:$O$21)),SUMPRODUCT(PRODUCT(1+O13:$O$20))),4)</f>
        <v>1.0555000000000001</v>
      </c>
      <c r="W13" s="3182">
        <f t="shared" ref="W13:W20" si="57">T13</f>
        <v>1.0203</v>
      </c>
      <c r="X13" s="3180"/>
      <c r="Y13" s="3183"/>
      <c r="Z13" s="3183"/>
      <c r="AA13" s="3183"/>
      <c r="AB13" s="3183"/>
      <c r="AC13" s="3183"/>
      <c r="AD13" s="3183"/>
    </row>
    <row r="14" spans="1:30" s="3184" customFormat="1" ht="12.75">
      <c r="A14" s="3175" t="s">
        <v>3366</v>
      </c>
      <c r="B14" s="3176">
        <v>2022</v>
      </c>
      <c r="C14" s="3177">
        <v>4</v>
      </c>
      <c r="D14" s="3178">
        <v>0.62</v>
      </c>
      <c r="E14" s="3178">
        <v>0.2</v>
      </c>
      <c r="F14" s="3178">
        <v>0.11</v>
      </c>
      <c r="G14" s="3178">
        <v>0.69</v>
      </c>
      <c r="H14" s="3195">
        <v>0.53</v>
      </c>
      <c r="I14" s="3179">
        <f t="shared" si="37"/>
        <v>0.11</v>
      </c>
      <c r="J14" s="3180"/>
      <c r="K14" s="3181">
        <f t="shared" si="38"/>
        <v>6.1999999999999998E-3</v>
      </c>
      <c r="L14" s="3171">
        <f t="shared" si="38"/>
        <v>2E-3</v>
      </c>
      <c r="M14" s="3171">
        <f t="shared" si="38"/>
        <v>1.1000000000000001E-3</v>
      </c>
      <c r="N14" s="3171">
        <f t="shared" si="38"/>
        <v>6.8999999999999999E-3</v>
      </c>
      <c r="O14" s="3171">
        <f t="shared" si="38"/>
        <v>5.3E-3</v>
      </c>
      <c r="P14" s="3171">
        <f t="shared" ref="P14:P21" si="58">M14</f>
        <v>1.1000000000000001E-3</v>
      </c>
      <c r="Q14" s="3180"/>
      <c r="R14" s="3182">
        <f>ROUND(IF(项目基本情况!$B$8="出让",SUMPRODUCT(PRODUCT(1+K14:$K$21)),SUMPRODUCT(PRODUCT(1+K14:$K$20))),4)</f>
        <v>1.0565</v>
      </c>
      <c r="S14" s="3182">
        <f>ROUND(IF(项目基本情况!$B$8="出让",SUMPRODUCT(PRODUCT(1+L14:$L$21)),SUMPRODUCT(PRODUCT(1+L14:$L$20))),4)</f>
        <v>1.0250999999999999</v>
      </c>
      <c r="T14" s="3182">
        <f>ROUND(IF(项目基本情况!$B$8="出让",SUMPRODUCT(PRODUCT(1+M14:$M$21)),SUMPRODUCT(PRODUCT(1+M14:$M$20))),4)</f>
        <v>1.0145</v>
      </c>
      <c r="U14" s="3182">
        <f>ROUND(IF(项目基本情况!$B$8="出让",SUMPRODUCT(PRODUCT(1+N14:$N$21)),SUMPRODUCT(PRODUCT(1+N14:$N$20))),4)</f>
        <v>1.0618000000000001</v>
      </c>
      <c r="V14" s="3182">
        <f>ROUND(IF(项目基本情况!$B$8="出让",SUMPRODUCT(PRODUCT(1+O14:$O$21)),SUMPRODUCT(PRODUCT(1+O14:$O$20))),4)</f>
        <v>1.0502</v>
      </c>
      <c r="W14" s="3182">
        <f t="shared" si="57"/>
        <v>1.0145</v>
      </c>
      <c r="X14" s="3180"/>
      <c r="Y14" s="3183">
        <f>IF(D14=0,0,ROUND(AVERAGE(D14:D22)/100,4))</f>
        <v>8.0999999999999996E-3</v>
      </c>
      <c r="Z14" s="3183">
        <f t="shared" ref="Z14:AC14" si="59">IF(E14=0,0,ROUND(AVERAGE(E14:E21)/100,4))</f>
        <v>3.3E-3</v>
      </c>
      <c r="AA14" s="3183">
        <f t="shared" si="59"/>
        <v>1.5E-3</v>
      </c>
      <c r="AB14" s="3183">
        <f t="shared" si="59"/>
        <v>8.8999999999999999E-3</v>
      </c>
      <c r="AC14" s="3183">
        <f t="shared" si="59"/>
        <v>6.6E-3</v>
      </c>
      <c r="AD14" s="3183">
        <f t="shared" si="40"/>
        <v>1.5E-3</v>
      </c>
    </row>
    <row r="15" spans="1:30" s="3184" customFormat="1" ht="12.75">
      <c r="A15" s="3175" t="s">
        <v>3364</v>
      </c>
      <c r="B15" s="3176">
        <v>2022</v>
      </c>
      <c r="C15" s="3177">
        <v>3</v>
      </c>
      <c r="D15" s="3178">
        <v>0.66</v>
      </c>
      <c r="E15" s="3178">
        <v>0.32</v>
      </c>
      <c r="F15" s="3178">
        <v>0.23</v>
      </c>
      <c r="G15" s="3178">
        <v>0.72</v>
      </c>
      <c r="H15" s="3195">
        <v>0.63</v>
      </c>
      <c r="I15" s="3179">
        <f t="shared" si="37"/>
        <v>0.23</v>
      </c>
      <c r="J15" s="3180"/>
      <c r="K15" s="3181">
        <f t="shared" si="38"/>
        <v>6.6E-3</v>
      </c>
      <c r="L15" s="3171">
        <f t="shared" si="38"/>
        <v>3.2000000000000002E-3</v>
      </c>
      <c r="M15" s="3171">
        <f t="shared" si="38"/>
        <v>2.3E-3</v>
      </c>
      <c r="N15" s="3171">
        <f t="shared" si="38"/>
        <v>7.1999999999999998E-3</v>
      </c>
      <c r="O15" s="3171">
        <f t="shared" si="38"/>
        <v>6.3E-3</v>
      </c>
      <c r="P15" s="3171">
        <f t="shared" si="58"/>
        <v>2.3E-3</v>
      </c>
      <c r="Q15" s="3180"/>
      <c r="R15" s="3182">
        <f>ROUND(IF(项目基本情况!$B$8="出让",SUMPRODUCT(PRODUCT(1+K15:$K$21)),SUMPRODUCT(PRODUCT(1+K15:$K$20))),4)</f>
        <v>1.05</v>
      </c>
      <c r="S15" s="3182">
        <f>ROUND(IF(项目基本情况!$B$8="出让",SUMPRODUCT(PRODUCT(1+L15:$L$21)),SUMPRODUCT(PRODUCT(1+L15:$L$20))),4)</f>
        <v>1.0229999999999999</v>
      </c>
      <c r="T15" s="3182">
        <f>ROUND(IF(项目基本情况!$B$8="出让",SUMPRODUCT(PRODUCT(1+M15:$M$21)),SUMPRODUCT(PRODUCT(1+M15:$M$20))),4)</f>
        <v>1.0134000000000001</v>
      </c>
      <c r="U15" s="3182">
        <f>ROUND(IF(项目基本情况!$B$8="出让",SUMPRODUCT(PRODUCT(1+N15:$N$21)),SUMPRODUCT(PRODUCT(1+N15:$N$20))),4)</f>
        <v>1.0545</v>
      </c>
      <c r="V15" s="3182">
        <f>ROUND(IF(项目基本情况!$B$8="出让",SUMPRODUCT(PRODUCT(1+O15:$O$21)),SUMPRODUCT(PRODUCT(1+O15:$O$20))),4)</f>
        <v>1.0447</v>
      </c>
      <c r="W15" s="3182">
        <f t="shared" si="57"/>
        <v>1.0134000000000001</v>
      </c>
      <c r="X15" s="3180"/>
      <c r="Y15" s="3183">
        <f>IF(D15=0,0,ROUND(AVERAGE(D15:D21)/100,4))</f>
        <v>8.3999999999999995E-3</v>
      </c>
      <c r="Z15" s="3183">
        <f t="shared" ref="Z15:AC15" si="60">IF(E15=0,0,ROUND(AVERAGE(E15:E21)/100,4))</f>
        <v>3.5000000000000001E-3</v>
      </c>
      <c r="AA15" s="3183">
        <f t="shared" si="60"/>
        <v>1.5E-3</v>
      </c>
      <c r="AB15" s="3183">
        <f t="shared" si="60"/>
        <v>9.1999999999999998E-3</v>
      </c>
      <c r="AC15" s="3183">
        <f t="shared" si="60"/>
        <v>6.7999999999999996E-3</v>
      </c>
      <c r="AD15" s="3183">
        <f t="shared" si="40"/>
        <v>1.5E-3</v>
      </c>
    </row>
    <row r="16" spans="1:30" s="3184" customFormat="1" ht="12.75">
      <c r="A16" s="3175" t="s">
        <v>3355</v>
      </c>
      <c r="B16" s="3176">
        <v>2022</v>
      </c>
      <c r="C16" s="3177">
        <v>2</v>
      </c>
      <c r="D16" s="3178">
        <v>0.93</v>
      </c>
      <c r="E16" s="3178">
        <v>0.15</v>
      </c>
      <c r="F16" s="3178">
        <v>0.01</v>
      </c>
      <c r="G16" s="3178">
        <v>1.05</v>
      </c>
      <c r="H16" s="3195">
        <v>1.08</v>
      </c>
      <c r="I16" s="3179">
        <f t="shared" si="37"/>
        <v>0.01</v>
      </c>
      <c r="J16" s="3180"/>
      <c r="K16" s="3181">
        <f t="shared" si="38"/>
        <v>9.300000000000001E-3</v>
      </c>
      <c r="L16" s="3171">
        <f t="shared" si="38"/>
        <v>1.5E-3</v>
      </c>
      <c r="M16" s="3171">
        <f t="shared" si="38"/>
        <v>1E-4</v>
      </c>
      <c r="N16" s="3171">
        <f t="shared" si="38"/>
        <v>1.0500000000000001E-2</v>
      </c>
      <c r="O16" s="3171">
        <f t="shared" si="38"/>
        <v>1.0800000000000001E-2</v>
      </c>
      <c r="P16" s="3171">
        <f t="shared" si="58"/>
        <v>1E-4</v>
      </c>
      <c r="Q16" s="3180"/>
      <c r="R16" s="3182">
        <f>ROUND(IF(项目基本情况!$B$8="出让",SUMPRODUCT(PRODUCT(1+K16:$K$21)),SUMPRODUCT(PRODUCT(1+K16:$K$20))),4)</f>
        <v>1.0430999999999999</v>
      </c>
      <c r="S16" s="3182">
        <f>ROUND(IF(项目基本情况!$B$8="出让",SUMPRODUCT(PRODUCT(1+L16:$L$21)),SUMPRODUCT(PRODUCT(1+L16:$L$20))),4)</f>
        <v>1.0197000000000001</v>
      </c>
      <c r="T16" s="3182">
        <f>ROUND(IF(项目基本情况!$B$8="出让",SUMPRODUCT(PRODUCT(1+M16:$M$21)),SUMPRODUCT(PRODUCT(1+M16:$M$20))),4)</f>
        <v>1.0109999999999999</v>
      </c>
      <c r="U16" s="3182">
        <f>ROUND(IF(项目基本情况!$B$8="出让",SUMPRODUCT(PRODUCT(1+N16:$N$21)),SUMPRODUCT(PRODUCT(1+N16:$N$20))),4)</f>
        <v>1.0468999999999999</v>
      </c>
      <c r="V16" s="3182">
        <f>ROUND(IF(项目基本情况!$B$8="出让",SUMPRODUCT(PRODUCT(1+O16:$O$21)),SUMPRODUCT(PRODUCT(1+O16:$O$20))),4)</f>
        <v>1.0382</v>
      </c>
      <c r="W16" s="3182">
        <f t="shared" si="57"/>
        <v>1.0109999999999999</v>
      </c>
      <c r="X16" s="3180"/>
      <c r="Y16" s="3183">
        <f>IF(D16=0,0,ROUND(AVERAGE(D16:D21)/100,4))</f>
        <v>8.6999999999999994E-3</v>
      </c>
      <c r="Z16" s="3183">
        <f t="shared" ref="Z16:AC16" si="61">IF(E16=0,0,ROUND(AVERAGE(E16:E21)/100,4))</f>
        <v>3.5000000000000001E-3</v>
      </c>
      <c r="AA16" s="3183">
        <f t="shared" si="61"/>
        <v>1.4E-3</v>
      </c>
      <c r="AB16" s="3183">
        <f t="shared" si="61"/>
        <v>9.4999999999999998E-3</v>
      </c>
      <c r="AC16" s="3183">
        <f t="shared" si="61"/>
        <v>6.8999999999999999E-3</v>
      </c>
      <c r="AD16" s="3183">
        <f t="shared" si="40"/>
        <v>1.4E-3</v>
      </c>
    </row>
    <row r="17" spans="1:30" s="3184" customFormat="1" ht="12.75">
      <c r="A17" s="3175" t="s">
        <v>2822</v>
      </c>
      <c r="B17" s="3176">
        <v>2022</v>
      </c>
      <c r="C17" s="3177">
        <v>1</v>
      </c>
      <c r="D17" s="3178">
        <v>0.89</v>
      </c>
      <c r="E17" s="3178">
        <v>0.44</v>
      </c>
      <c r="F17" s="3178">
        <v>0.37</v>
      </c>
      <c r="G17" s="3178">
        <v>0.96</v>
      </c>
      <c r="H17" s="3195">
        <v>0.64</v>
      </c>
      <c r="I17" s="3179">
        <f t="shared" si="37"/>
        <v>0.37</v>
      </c>
      <c r="J17" s="3180"/>
      <c r="K17" s="3181">
        <f t="shared" si="38"/>
        <v>8.8999999999999999E-3</v>
      </c>
      <c r="L17" s="3171">
        <f t="shared" si="38"/>
        <v>4.4000000000000003E-3</v>
      </c>
      <c r="M17" s="3171">
        <f t="shared" si="38"/>
        <v>3.7000000000000002E-3</v>
      </c>
      <c r="N17" s="3171">
        <f t="shared" si="38"/>
        <v>9.5999999999999992E-3</v>
      </c>
      <c r="O17" s="3171">
        <f t="shared" si="38"/>
        <v>6.4000000000000003E-3</v>
      </c>
      <c r="P17" s="3171">
        <f t="shared" si="58"/>
        <v>3.7000000000000002E-3</v>
      </c>
      <c r="Q17" s="3180"/>
      <c r="R17" s="3182">
        <f>ROUND(IF(项目基本情况!$B$8="出让",SUMPRODUCT(PRODUCT(1+K17:$K$21)),SUMPRODUCT(PRODUCT(1+K17:$K$20))),4)</f>
        <v>1.0335000000000001</v>
      </c>
      <c r="S17" s="3182">
        <f>ROUND(IF(项目基本情况!$B$8="出让",SUMPRODUCT(PRODUCT(1+L17:$L$21)),SUMPRODUCT(PRODUCT(1+L17:$L$20))),4)</f>
        <v>1.0182</v>
      </c>
      <c r="T17" s="3182">
        <f>ROUND(IF(项目基本情况!$B$8="出让",SUMPRODUCT(PRODUCT(1+M17:$M$21)),SUMPRODUCT(PRODUCT(1+M17:$M$20))),4)</f>
        <v>1.0108999999999999</v>
      </c>
      <c r="U17" s="3182">
        <f>ROUND(IF(项目基本情况!$B$8="出让",SUMPRODUCT(PRODUCT(1+N17:$N$21)),SUMPRODUCT(PRODUCT(1+N17:$N$20))),4)</f>
        <v>1.0361</v>
      </c>
      <c r="V17" s="3182">
        <f>ROUND(IF(项目基本情况!$B$8="出让",SUMPRODUCT(PRODUCT(1+O17:$O$21)),SUMPRODUCT(PRODUCT(1+O17:$O$20))),4)</f>
        <v>1.0270999999999999</v>
      </c>
      <c r="W17" s="3182">
        <f t="shared" si="57"/>
        <v>1.0108999999999999</v>
      </c>
      <c r="X17" s="3180"/>
      <c r="Y17" s="3183">
        <f>IF(D17=0,0,ROUND(AVERAGE(D17:D21)/100,4))</f>
        <v>8.6E-3</v>
      </c>
      <c r="Z17" s="3183">
        <f t="shared" ref="Z17:AC17" si="62">IF(E17=0,0,ROUND(AVERAGE(E17:E21)/100,4))</f>
        <v>3.8999999999999998E-3</v>
      </c>
      <c r="AA17" s="3183">
        <f t="shared" si="62"/>
        <v>1.6999999999999999E-3</v>
      </c>
      <c r="AB17" s="3183">
        <f t="shared" si="62"/>
        <v>9.2999999999999992E-3</v>
      </c>
      <c r="AC17" s="3183">
        <f t="shared" si="62"/>
        <v>6.1000000000000004E-3</v>
      </c>
      <c r="AD17" s="3183">
        <f t="shared" si="40"/>
        <v>1.6999999999999999E-3</v>
      </c>
    </row>
    <row r="18" spans="1:30" s="3184" customFormat="1" ht="12.75">
      <c r="A18" s="3175" t="s">
        <v>2823</v>
      </c>
      <c r="B18" s="3176">
        <v>2021</v>
      </c>
      <c r="C18" s="3177">
        <v>4</v>
      </c>
      <c r="D18" s="3178">
        <v>1.03</v>
      </c>
      <c r="E18" s="3178">
        <v>0.24</v>
      </c>
      <c r="F18" s="3178">
        <v>7.0000000000000007E-2</v>
      </c>
      <c r="G18" s="3178">
        <v>1.17</v>
      </c>
      <c r="H18" s="3195">
        <v>0.55000000000000004</v>
      </c>
      <c r="I18" s="3179">
        <f t="shared" si="37"/>
        <v>7.0000000000000007E-2</v>
      </c>
      <c r="J18" s="3180"/>
      <c r="K18" s="3181">
        <f t="shared" si="38"/>
        <v>1.03E-2</v>
      </c>
      <c r="L18" s="3171">
        <f t="shared" si="38"/>
        <v>2.3999999999999998E-3</v>
      </c>
      <c r="M18" s="3171">
        <f t="shared" si="38"/>
        <v>7.000000000000001E-4</v>
      </c>
      <c r="N18" s="3171">
        <f t="shared" si="38"/>
        <v>1.1699999999999999E-2</v>
      </c>
      <c r="O18" s="3171">
        <f t="shared" si="38"/>
        <v>5.5000000000000005E-3</v>
      </c>
      <c r="P18" s="3171">
        <f t="shared" si="58"/>
        <v>7.000000000000001E-4</v>
      </c>
      <c r="Q18" s="3180"/>
      <c r="R18" s="3182">
        <f>ROUND(IF(项目基本情况!$B$8="出让",SUMPRODUCT(PRODUCT(1+K18:$K$21)),SUMPRODUCT(PRODUCT(1+K18:$K$20))),4)</f>
        <v>1.0244</v>
      </c>
      <c r="S18" s="3182">
        <f>ROUND(IF(项目基本情况!$B$8="出让",SUMPRODUCT(PRODUCT(1+L18:$L$21)),SUMPRODUCT(PRODUCT(1+L18:$L$20))),4)</f>
        <v>1.0138</v>
      </c>
      <c r="T18" s="3182">
        <f>ROUND(IF(项目基本情况!$B$8="出让",SUMPRODUCT(PRODUCT(1+M18:$M$21)),SUMPRODUCT(PRODUCT(1+M18:$M$20))),4)</f>
        <v>1.0072000000000001</v>
      </c>
      <c r="U18" s="3182">
        <f>ROUND(IF(项目基本情况!$B$8="出让",SUMPRODUCT(PRODUCT(1+N18:$N$21)),SUMPRODUCT(PRODUCT(1+N18:$N$20))),4)</f>
        <v>1.0262</v>
      </c>
      <c r="V18" s="3182">
        <f>ROUND(IF(项目基本情况!$B$8="出让",SUMPRODUCT(PRODUCT(1+O18:$O$21)),SUMPRODUCT(PRODUCT(1+O18:$O$20))),4)</f>
        <v>1.0205</v>
      </c>
      <c r="W18" s="3182">
        <f t="shared" si="57"/>
        <v>1.0072000000000001</v>
      </c>
      <c r="X18" s="3180"/>
      <c r="Y18" s="3183">
        <f>IF(D18=0,0,ROUND(AVERAGE(D18:D21)/100,4))</f>
        <v>8.5000000000000006E-3</v>
      </c>
      <c r="Z18" s="3183">
        <f t="shared" ref="Z18:AC18" si="63">IF(E18=0,0,ROUND(AVERAGE(E18:E21)/100,4))</f>
        <v>3.8E-3</v>
      </c>
      <c r="AA18" s="3183">
        <f t="shared" si="63"/>
        <v>1.1999999999999999E-3</v>
      </c>
      <c r="AB18" s="3183">
        <f t="shared" si="63"/>
        <v>9.2999999999999992E-3</v>
      </c>
      <c r="AC18" s="3183">
        <f t="shared" si="63"/>
        <v>6.0000000000000001E-3</v>
      </c>
      <c r="AD18" s="3183">
        <f t="shared" si="40"/>
        <v>1.1999999999999999E-3</v>
      </c>
    </row>
    <row r="19" spans="1:30" s="3184" customFormat="1" ht="12.75">
      <c r="A19" s="3175" t="s">
        <v>2824</v>
      </c>
      <c r="B19" s="3176">
        <v>2021</v>
      </c>
      <c r="C19" s="3177">
        <v>3</v>
      </c>
      <c r="D19" s="3178">
        <v>0.47</v>
      </c>
      <c r="E19" s="3178">
        <v>0.41</v>
      </c>
      <c r="F19" s="3178">
        <v>0.24</v>
      </c>
      <c r="G19" s="3178">
        <v>0.48</v>
      </c>
      <c r="H19" s="3195">
        <v>0.48</v>
      </c>
      <c r="I19" s="3179">
        <f t="shared" si="37"/>
        <v>0.24</v>
      </c>
      <c r="J19" s="3180"/>
      <c r="K19" s="3181">
        <f t="shared" si="38"/>
        <v>4.6999999999999993E-3</v>
      </c>
      <c r="L19" s="3171">
        <f t="shared" si="38"/>
        <v>4.0999999999999995E-3</v>
      </c>
      <c r="M19" s="3171">
        <f t="shared" si="38"/>
        <v>2.3999999999999998E-3</v>
      </c>
      <c r="N19" s="3171">
        <f t="shared" si="38"/>
        <v>4.7999999999999996E-3</v>
      </c>
      <c r="O19" s="3171">
        <f t="shared" si="38"/>
        <v>4.7999999999999996E-3</v>
      </c>
      <c r="P19" s="3171">
        <f t="shared" si="58"/>
        <v>2.3999999999999998E-3</v>
      </c>
      <c r="Q19" s="3180"/>
      <c r="R19" s="3182">
        <f>ROUND(IF(项目基本情况!$B$8="出让",SUMPRODUCT(PRODUCT(1+K19:$K$21)),SUMPRODUCT(PRODUCT(1+K19:$K$20))),4)</f>
        <v>1.0139</v>
      </c>
      <c r="S19" s="3182">
        <f>ROUND(IF(项目基本情况!$B$8="出让",SUMPRODUCT(PRODUCT(1+L19:$L$21)),SUMPRODUCT(PRODUCT(1+L19:$L$20))),4)</f>
        <v>1.0113000000000001</v>
      </c>
      <c r="T19" s="3182">
        <f>ROUND(IF(项目基本情况!$B$8="出让",SUMPRODUCT(PRODUCT(1+M19:$M$21)),SUMPRODUCT(PRODUCT(1+M19:$M$20))),4)</f>
        <v>1.0065</v>
      </c>
      <c r="U19" s="3182">
        <f>ROUND(IF(项目基本情况!$B$8="出让",SUMPRODUCT(PRODUCT(1+N19:$N$21)),SUMPRODUCT(PRODUCT(1+N19:$N$20))),4)</f>
        <v>1.0143</v>
      </c>
      <c r="V19" s="3182">
        <f>ROUND(IF(项目基本情况!$B$8="出让",SUMPRODUCT(PRODUCT(1+O19:$O$21)),SUMPRODUCT(PRODUCT(1+O19:$O$20))),4)</f>
        <v>1.0148999999999999</v>
      </c>
      <c r="W19" s="3182">
        <f t="shared" si="57"/>
        <v>1.0065</v>
      </c>
      <c r="X19" s="3180"/>
      <c r="Y19" s="3183">
        <f>IF(D19=0,0,ROUND(AVERAGE(D19:D21)/100,4))</f>
        <v>7.9000000000000008E-3</v>
      </c>
      <c r="Z19" s="3183">
        <f>IF(E19=0,0,ROUND(AVERAGE(E19:E21)/100,4))</f>
        <v>4.3E-3</v>
      </c>
      <c r="AA19" s="3183">
        <f>IF(F19=0,0,ROUND(AVERAGE(F19:F21)/100,4))</f>
        <v>1.2999999999999999E-3</v>
      </c>
      <c r="AB19" s="3183">
        <f>IF(G19=0,0,ROUND(AVERAGE(G19:G21)/100,4))</f>
        <v>8.5000000000000006E-3</v>
      </c>
      <c r="AC19" s="3183">
        <f>IF(H19=0,0,ROUND(AVERAGE(H19:H21)/100,4))</f>
        <v>6.1999999999999998E-3</v>
      </c>
      <c r="AD19" s="3183">
        <f t="shared" si="40"/>
        <v>1.2999999999999999E-3</v>
      </c>
    </row>
    <row r="20" spans="1:30" s="3184" customFormat="1" ht="12.75">
      <c r="A20" s="3175" t="s">
        <v>2825</v>
      </c>
      <c r="B20" s="3176">
        <v>2021</v>
      </c>
      <c r="C20" s="3177">
        <v>2</v>
      </c>
      <c r="D20" s="3178">
        <v>0.92</v>
      </c>
      <c r="E20" s="3178">
        <v>0.72</v>
      </c>
      <c r="F20" s="3178">
        <v>0.41</v>
      </c>
      <c r="G20" s="3178">
        <v>0.95</v>
      </c>
      <c r="H20" s="3195">
        <v>1.01</v>
      </c>
      <c r="I20" s="3179">
        <f t="shared" si="37"/>
        <v>0.41</v>
      </c>
      <c r="J20" s="3180"/>
      <c r="K20" s="3181">
        <f t="shared" si="38"/>
        <v>9.1999999999999998E-3</v>
      </c>
      <c r="L20" s="3171">
        <f t="shared" si="38"/>
        <v>7.1999999999999998E-3</v>
      </c>
      <c r="M20" s="3171">
        <f t="shared" si="38"/>
        <v>4.0999999999999995E-3</v>
      </c>
      <c r="N20" s="3171">
        <f t="shared" si="38"/>
        <v>9.4999999999999998E-3</v>
      </c>
      <c r="O20" s="3171">
        <f t="shared" si="38"/>
        <v>1.01E-2</v>
      </c>
      <c r="P20" s="3171">
        <f t="shared" si="58"/>
        <v>4.0999999999999995E-3</v>
      </c>
      <c r="Q20" s="3180"/>
      <c r="R20" s="3182">
        <f>ROUND(IF(项目基本情况!$B$8="出让",SUMPRODUCT(PRODUCT(1+K20:$K$21)),SUMPRODUCT(PRODUCT(1+K20:$K$20))),4)</f>
        <v>1.0092000000000001</v>
      </c>
      <c r="S20" s="3182">
        <f>ROUND(IF(项目基本情况!$B$8="出让",SUMPRODUCT(PRODUCT(1+L20:$L$21)),SUMPRODUCT(PRODUCT(1+L20:$L$20))),4)</f>
        <v>1.0072000000000001</v>
      </c>
      <c r="T20" s="3182">
        <f>ROUND(IF(项目基本情况!$B$8="出让",SUMPRODUCT(PRODUCT(1+M20:$M$21)),SUMPRODUCT(PRODUCT(1+M20:$M$20))),4)</f>
        <v>1.0041</v>
      </c>
      <c r="U20" s="3182">
        <f>ROUND(IF(项目基本情况!$B$8="出让",SUMPRODUCT(PRODUCT(1+N20:$N$21)),SUMPRODUCT(PRODUCT(1+N20:$N$20))),4)</f>
        <v>1.0095000000000001</v>
      </c>
      <c r="V20" s="3182">
        <f>ROUND(IF(项目基本情况!$B$8="出让",SUMPRODUCT(PRODUCT(1+O20:$O$21)),SUMPRODUCT(PRODUCT(1+O20:$O$20))),4)</f>
        <v>1.0101</v>
      </c>
      <c r="W20" s="3182">
        <f t="shared" si="57"/>
        <v>1.0041</v>
      </c>
      <c r="X20" s="3180"/>
      <c r="Y20" s="3183">
        <f>IF(D20=0,0,ROUND(AVERAGE(D20:D21)/100,4))</f>
        <v>9.4999999999999998E-3</v>
      </c>
      <c r="Z20" s="3183">
        <f>IF(E20=0,0,ROUND(AVERAGE(E20:E21)/100,4))</f>
        <v>4.4000000000000003E-3</v>
      </c>
      <c r="AA20" s="3183">
        <f>IF(F20=0,0,ROUND(AVERAGE(F20:F21)/100,4))</f>
        <v>8.0000000000000004E-4</v>
      </c>
      <c r="AB20" s="3183">
        <f>IF(G20=0,0,ROUND(AVERAGE(G20:G21)/100,4))</f>
        <v>1.03E-2</v>
      </c>
      <c r="AC20" s="3183">
        <f>IF(H20=0,0,ROUND(AVERAGE(H20:H21)/100,4))</f>
        <v>6.8999999999999999E-3</v>
      </c>
      <c r="AD20" s="3183">
        <f t="shared" si="40"/>
        <v>8.0000000000000004E-4</v>
      </c>
    </row>
    <row r="21" spans="1:30" s="3206" customFormat="1" thickBot="1">
      <c r="A21" s="3196" t="s">
        <v>2826</v>
      </c>
      <c r="B21" s="3197">
        <v>2021</v>
      </c>
      <c r="C21" s="3198">
        <v>1</v>
      </c>
      <c r="D21" s="3199">
        <v>0.97</v>
      </c>
      <c r="E21" s="3199">
        <v>0.16</v>
      </c>
      <c r="F21" s="3199">
        <v>-0.25</v>
      </c>
      <c r="G21" s="3199">
        <v>1.1100000000000001</v>
      </c>
      <c r="H21" s="3200">
        <v>0.36</v>
      </c>
      <c r="I21" s="3201">
        <f t="shared" si="37"/>
        <v>-0.25</v>
      </c>
      <c r="J21" s="3202"/>
      <c r="K21" s="3203">
        <f t="shared" si="38"/>
        <v>9.7000000000000003E-3</v>
      </c>
      <c r="L21" s="3204">
        <f t="shared" si="38"/>
        <v>1.6000000000000001E-3</v>
      </c>
      <c r="M21" s="3204">
        <f>F21/100</f>
        <v>-2.5000000000000001E-3</v>
      </c>
      <c r="N21" s="3204">
        <f t="shared" si="38"/>
        <v>1.11E-2</v>
      </c>
      <c r="O21" s="3204">
        <f t="shared" si="38"/>
        <v>3.5999999999999999E-3</v>
      </c>
      <c r="P21" s="3204">
        <f t="shared" si="58"/>
        <v>-2.5000000000000001E-3</v>
      </c>
      <c r="Q21" s="3202"/>
      <c r="R21" s="3205">
        <v>1</v>
      </c>
      <c r="S21" s="3205">
        <v>1</v>
      </c>
      <c r="T21" s="3205">
        <v>1</v>
      </c>
      <c r="U21" s="3205">
        <v>1</v>
      </c>
      <c r="V21" s="3205">
        <v>1</v>
      </c>
      <c r="W21" s="3205">
        <f t="shared" ref="W21" si="64">T21</f>
        <v>1</v>
      </c>
      <c r="X21" s="3202"/>
      <c r="Y21" s="3204">
        <f>IF(D21=0,0,ROUND(AVERAGE(D21:D21)/100,4))</f>
        <v>9.7000000000000003E-3</v>
      </c>
      <c r="Z21" s="3204">
        <f>IF(E21=0,0,ROUND(AVERAGE(E21:E21)/100,4))</f>
        <v>1.6000000000000001E-3</v>
      </c>
      <c r="AA21" s="3204">
        <f>IF(F21=0,0,ROUND(AVERAGE(F21:F21)/100,4))</f>
        <v>-2.5000000000000001E-3</v>
      </c>
      <c r="AB21" s="3204">
        <f>IF(G21=0,0,ROUND(AVERAGE(G21:G21)/100,4))</f>
        <v>1.11E-2</v>
      </c>
      <c r="AC21" s="3204">
        <f>IF(H21=0,0,ROUND(AVERAGE(H21:H21)/100,4))</f>
        <v>3.5999999999999999E-3</v>
      </c>
      <c r="AD21" s="3204">
        <f>AA21</f>
        <v>-2.5000000000000001E-3</v>
      </c>
    </row>
    <row r="22" spans="1:30" s="3008" customFormat="1" ht="14.25" thickTop="1"/>
    <row r="23" spans="1:30" s="3008" customFormat="1">
      <c r="A23" s="3447" t="s">
        <v>3385</v>
      </c>
    </row>
    <row r="24" spans="1:30" s="3008" customFormat="1">
      <c r="I24" s="3207" t="s">
        <v>2827</v>
      </c>
    </row>
    <row r="25" spans="1:30" s="3008" customFormat="1"/>
    <row r="26" spans="1:30" s="3208" customFormat="1" ht="12.75">
      <c r="B26" s="3209" t="s">
        <v>3383</v>
      </c>
      <c r="C26" s="3210"/>
      <c r="D26" s="3210"/>
      <c r="E26" s="3210"/>
      <c r="F26" s="3210"/>
      <c r="G26" s="3210"/>
      <c r="H26" s="3210"/>
      <c r="I26" s="3210"/>
      <c r="J26" s="3164"/>
      <c r="K26" s="3210" t="s">
        <v>2828</v>
      </c>
      <c r="L26" s="3210"/>
      <c r="M26" s="3210"/>
      <c r="N26" s="3210"/>
      <c r="O26" s="3210"/>
      <c r="P26" s="3210"/>
      <c r="Q26" s="3164"/>
      <c r="R26" s="3787" t="s">
        <v>2829</v>
      </c>
      <c r="S26" s="3788"/>
      <c r="T26" s="3788"/>
      <c r="U26" s="3788"/>
      <c r="V26" s="3788"/>
      <c r="W26" s="3788"/>
      <c r="X26" s="3164"/>
      <c r="Y26" s="3787" t="s">
        <v>2830</v>
      </c>
      <c r="Z26" s="3788"/>
      <c r="AA26" s="3788"/>
      <c r="AB26" s="3788"/>
      <c r="AC26" s="3788"/>
      <c r="AD26" s="3788"/>
    </row>
    <row r="27" spans="1:30" s="3142" customFormat="1" ht="14.25" thickBot="1">
      <c r="B27" s="3143"/>
      <c r="C27" s="3144"/>
      <c r="D27" s="3145" t="s">
        <v>2831</v>
      </c>
      <c r="E27" s="3146" t="s">
        <v>2832</v>
      </c>
      <c r="F27" s="3146" t="s">
        <v>2833</v>
      </c>
      <c r="G27" s="3146" t="s">
        <v>2834</v>
      </c>
      <c r="H27" s="3146"/>
      <c r="I27" s="3146" t="s">
        <v>2835</v>
      </c>
      <c r="J27" s="3147"/>
      <c r="K27" s="3145" t="s">
        <v>2831</v>
      </c>
      <c r="L27" s="3146" t="s">
        <v>2832</v>
      </c>
      <c r="M27" s="3146" t="s">
        <v>2833</v>
      </c>
      <c r="N27" s="3146" t="s">
        <v>2834</v>
      </c>
      <c r="O27" s="3146"/>
      <c r="P27" s="3146" t="s">
        <v>2835</v>
      </c>
      <c r="Q27" s="3147"/>
      <c r="R27" s="3145" t="s">
        <v>2831</v>
      </c>
      <c r="S27" s="3146" t="s">
        <v>2832</v>
      </c>
      <c r="T27" s="3146" t="s">
        <v>2833</v>
      </c>
      <c r="U27" s="3146" t="s">
        <v>2834</v>
      </c>
      <c r="V27" s="3146"/>
      <c r="W27" s="3146" t="s">
        <v>2835</v>
      </c>
      <c r="X27" s="3147"/>
      <c r="Y27" s="3145" t="s">
        <v>2831</v>
      </c>
      <c r="Z27" s="3146" t="s">
        <v>2832</v>
      </c>
      <c r="AA27" s="3146" t="s">
        <v>2833</v>
      </c>
      <c r="AB27" s="3146" t="s">
        <v>2834</v>
      </c>
      <c r="AC27" s="3146"/>
      <c r="AD27" s="3146" t="s">
        <v>2835</v>
      </c>
    </row>
    <row r="28" spans="1:30" s="3160" customFormat="1" ht="12.75">
      <c r="A28" s="3148" t="s">
        <v>2836</v>
      </c>
      <c r="B28" s="3149"/>
      <c r="C28" s="3150"/>
      <c r="D28" s="3150"/>
      <c r="E28" s="3150">
        <f t="shared" ref="E28:G28" si="65">ROUND(AVERAGEIF(E29:E46,"&lt;&gt;0"),2)</f>
        <v>0.26</v>
      </c>
      <c r="F28" s="3150">
        <f t="shared" si="65"/>
        <v>0.19</v>
      </c>
      <c r="G28" s="3150">
        <f t="shared" si="65"/>
        <v>0.38</v>
      </c>
      <c r="H28" s="3150"/>
      <c r="I28" s="3150">
        <f>F28</f>
        <v>0.19</v>
      </c>
      <c r="J28" s="3151"/>
      <c r="K28" s="3152"/>
      <c r="L28" s="3153">
        <f t="shared" ref="L28:N28" si="66">ROUND(AVERAGEIF(L29:L46,"&lt;&gt;0"),4)</f>
        <v>2.5999999999999999E-3</v>
      </c>
      <c r="M28" s="3153">
        <f t="shared" si="66"/>
        <v>1.9E-3</v>
      </c>
      <c r="N28" s="3153">
        <f t="shared" si="66"/>
        <v>3.8E-3</v>
      </c>
      <c r="O28" s="3153"/>
      <c r="P28" s="3153">
        <f>M28</f>
        <v>1.9E-3</v>
      </c>
      <c r="Q28" s="3151"/>
      <c r="R28" s="3154"/>
      <c r="S28" s="3155">
        <f>ROUND(SUMPRODUCT(PRODUCT(1+L29:L46)),4)</f>
        <v>1.04</v>
      </c>
      <c r="T28" s="3155">
        <f t="shared" ref="T28:U28" si="67">ROUND(SUMPRODUCT(PRODUCT(1+M29:M46)),4)</f>
        <v>1.0293000000000001</v>
      </c>
      <c r="U28" s="3155">
        <f t="shared" si="67"/>
        <v>1.0583</v>
      </c>
      <c r="V28" s="3155"/>
      <c r="W28" s="3154">
        <f>T28</f>
        <v>1.0293000000000001</v>
      </c>
      <c r="X28" s="3151"/>
      <c r="Y28" s="3156"/>
      <c r="Z28" s="3157">
        <f t="shared" ref="Z28:AB28" si="68">ROUND(AVERAGEIF(Z29:Z46,"&lt;&gt;0"),4)</f>
        <v>4.1000000000000003E-3</v>
      </c>
      <c r="AA28" s="3158">
        <f t="shared" si="68"/>
        <v>3.3E-3</v>
      </c>
      <c r="AB28" s="3156">
        <f t="shared" si="68"/>
        <v>8.0999999999999996E-3</v>
      </c>
      <c r="AC28" s="3159"/>
      <c r="AD28" s="3156">
        <f>AA28</f>
        <v>3.3E-3</v>
      </c>
    </row>
    <row r="29" spans="1:30" s="3161" customFormat="1" ht="12.75">
      <c r="B29" s="3162"/>
      <c r="C29" s="3163"/>
      <c r="D29" s="3163"/>
      <c r="E29" s="3163"/>
      <c r="F29" s="3163"/>
      <c r="G29" s="3163"/>
      <c r="H29" s="3163"/>
      <c r="I29" s="3163"/>
      <c r="J29" s="3164"/>
      <c r="K29" s="3165"/>
      <c r="L29" s="3166"/>
      <c r="M29" s="3166"/>
      <c r="N29" s="3166"/>
      <c r="O29" s="3166"/>
      <c r="P29" s="3166"/>
      <c r="Q29" s="3164"/>
      <c r="R29" s="3167"/>
      <c r="S29" s="3168"/>
      <c r="T29" s="3169"/>
      <c r="U29" s="3167"/>
      <c r="V29" s="3170"/>
      <c r="W29" s="3167"/>
      <c r="X29" s="3164"/>
      <c r="Y29" s="3171"/>
      <c r="Z29" s="3172"/>
      <c r="AA29" s="3173"/>
      <c r="AB29" s="3171"/>
      <c r="AC29" s="3174"/>
      <c r="AD29" s="3171"/>
    </row>
    <row r="30" spans="1:30" s="3184" customFormat="1" ht="12.75">
      <c r="A30" s="2204" t="s">
        <v>3378</v>
      </c>
      <c r="B30" s="3176">
        <v>2025</v>
      </c>
      <c r="C30" s="3177">
        <v>1</v>
      </c>
      <c r="D30" s="3178"/>
      <c r="E30" s="3178">
        <v>0</v>
      </c>
      <c r="F30" s="3178">
        <v>0</v>
      </c>
      <c r="G30" s="3178">
        <v>0</v>
      </c>
      <c r="H30" s="3178"/>
      <c r="I30" s="3179">
        <f t="shared" ref="I30" si="69">F30</f>
        <v>0</v>
      </c>
      <c r="J30" s="3180"/>
      <c r="K30" s="3181"/>
      <c r="L30" s="3171">
        <f t="shared" ref="L30" si="70">E30/100</f>
        <v>0</v>
      </c>
      <c r="M30" s="3171">
        <f t="shared" ref="M30" si="71">F30/100</f>
        <v>0</v>
      </c>
      <c r="N30" s="3171">
        <f t="shared" ref="N30" si="72">G30/100</f>
        <v>0</v>
      </c>
      <c r="O30" s="3171"/>
      <c r="P30" s="3171">
        <f>M30</f>
        <v>0</v>
      </c>
      <c r="Q30" s="3180"/>
      <c r="R30" s="3182"/>
      <c r="S30" s="3182">
        <f>ROUND(IF(项目基本情况!$B$8="出让",SUMPRODUCT(PRODUCT(1+L30:L$46)),SUMPRODUCT(PRODUCT(1+L30:L$45))),4)</f>
        <v>1.0364</v>
      </c>
      <c r="T30" s="3182">
        <f>ROUND(IF(项目基本情况!$B$8="出让",SUMPRODUCT(PRODUCT(1+M30:M$46)),SUMPRODUCT(PRODUCT(1+M30:M$45))),4)</f>
        <v>1.0244</v>
      </c>
      <c r="U30" s="3182">
        <f>ROUND(IF(项目基本情况!$B$8="出让",SUMPRODUCT(PRODUCT(1+N30:N$46)),SUMPRODUCT(PRODUCT(1+N30:N$45))),4)</f>
        <v>1.048</v>
      </c>
      <c r="V30" s="3182"/>
      <c r="W30" s="3182">
        <f>T30</f>
        <v>1.0244</v>
      </c>
      <c r="X30" s="3180"/>
      <c r="Y30" s="3183"/>
      <c r="Z30" s="3211">
        <f t="shared" ref="Z30" si="73">IF(E30=0,0,ROUND(AVERAGE(E30:E43)/100,4))</f>
        <v>0</v>
      </c>
      <c r="AA30" s="3211">
        <f t="shared" ref="AA30" si="74">IF(F30=0,0,ROUND(AVERAGE(F30:F43)/100,4))</f>
        <v>0</v>
      </c>
      <c r="AB30" s="3211">
        <f t="shared" ref="AB30" si="75">IF(G30=0,0,ROUND(AVERAGE(G30:G43)/100,4))</f>
        <v>0</v>
      </c>
      <c r="AC30" s="3212"/>
      <c r="AD30" s="3183">
        <f>IF(I30=0,0,ROUND(AVERAGE(I30:I43)/100,4))</f>
        <v>0</v>
      </c>
    </row>
    <row r="31" spans="1:30" s="3194" customFormat="1" ht="12.75">
      <c r="A31" s="3185" t="s">
        <v>3380</v>
      </c>
      <c r="B31" s="3186">
        <v>2024</v>
      </c>
      <c r="C31" s="3187">
        <v>4</v>
      </c>
      <c r="D31" s="3188"/>
      <c r="E31" s="3188">
        <v>0</v>
      </c>
      <c r="F31" s="3188">
        <v>0</v>
      </c>
      <c r="G31" s="3188">
        <v>0</v>
      </c>
      <c r="H31" s="3189"/>
      <c r="I31" s="3190">
        <f t="shared" ref="I31" si="76">F31</f>
        <v>0</v>
      </c>
      <c r="J31" s="3191"/>
      <c r="K31" s="3192"/>
      <c r="L31" s="3193">
        <f t="shared" ref="L31" si="77">E31/100</f>
        <v>0</v>
      </c>
      <c r="M31" s="3193">
        <f t="shared" ref="M31" si="78">F31/100</f>
        <v>0</v>
      </c>
      <c r="N31" s="3193">
        <f t="shared" ref="N31" si="79">G31/100</f>
        <v>0</v>
      </c>
      <c r="O31" s="3193"/>
      <c r="P31" s="3193">
        <f>M31</f>
        <v>0</v>
      </c>
      <c r="Q31" s="3191"/>
      <c r="R31" s="3191"/>
      <c r="S31" s="3191">
        <f>ROUND(IF(项目基本情况!$B$8="出让",SUMPRODUCT(PRODUCT(1+L31:L$46)),SUMPRODUCT(PRODUCT(1+L31:L$45))),4)</f>
        <v>1.0364</v>
      </c>
      <c r="T31" s="3191">
        <f>ROUND(IF(项目基本情况!$B$8="出让",SUMPRODUCT(PRODUCT(1+M31:M$46)),SUMPRODUCT(PRODUCT(1+M31:M$45))),4)</f>
        <v>1.0244</v>
      </c>
      <c r="U31" s="3191">
        <f>ROUND(IF(项目基本情况!$B$8="出让",SUMPRODUCT(PRODUCT(1+N31:N$46)),SUMPRODUCT(PRODUCT(1+N31:N$45))),4)</f>
        <v>1.048</v>
      </c>
      <c r="V31" s="3191"/>
      <c r="W31" s="3191">
        <f>T31</f>
        <v>1.0244</v>
      </c>
      <c r="X31" s="3191"/>
      <c r="Y31" s="3193"/>
      <c r="Z31" s="3214">
        <f t="shared" ref="Z31" si="80">IF(E31=0,0,ROUND(AVERAGE(E31:E44)/100,4))</f>
        <v>0</v>
      </c>
      <c r="AA31" s="3215">
        <f t="shared" ref="AA31" si="81">IF(F31=0,0,ROUND(AVERAGE(F31:F44)/100,4))</f>
        <v>0</v>
      </c>
      <c r="AB31" s="3193">
        <f t="shared" ref="AB31" si="82">IF(G31=0,0,ROUND(AVERAGE(G31:G44)/100,4))</f>
        <v>0</v>
      </c>
      <c r="AC31" s="3216"/>
      <c r="AD31" s="3193">
        <f>IF(I31=0,0,ROUND(AVERAGE(I31:I44)/100,4))</f>
        <v>0</v>
      </c>
    </row>
    <row r="32" spans="1:30" s="3184" customFormat="1" ht="12.75">
      <c r="A32" s="2204" t="s">
        <v>3373</v>
      </c>
      <c r="B32" s="3176">
        <v>2024</v>
      </c>
      <c r="C32" s="3177">
        <v>3</v>
      </c>
      <c r="D32" s="3178"/>
      <c r="E32" s="3178">
        <v>-0.66</v>
      </c>
      <c r="F32" s="3178">
        <v>-0.52</v>
      </c>
      <c r="G32" s="3178">
        <v>-2.87</v>
      </c>
      <c r="H32" s="3178"/>
      <c r="I32" s="3179">
        <f t="shared" ref="I32" si="83">F32</f>
        <v>-0.52</v>
      </c>
      <c r="J32" s="3180"/>
      <c r="K32" s="3181"/>
      <c r="L32" s="3171">
        <f t="shared" ref="L32" si="84">E32/100</f>
        <v>-6.6E-3</v>
      </c>
      <c r="M32" s="3171">
        <f t="shared" ref="M32" si="85">F32/100</f>
        <v>-5.1999999999999998E-3</v>
      </c>
      <c r="N32" s="3171">
        <f t="shared" ref="N32" si="86">G32/100</f>
        <v>-2.87E-2</v>
      </c>
      <c r="O32" s="3171"/>
      <c r="P32" s="3171">
        <f>M32</f>
        <v>-5.1999999999999998E-3</v>
      </c>
      <c r="Q32" s="3180"/>
      <c r="R32" s="3182"/>
      <c r="S32" s="3182">
        <f>ROUND(IF(项目基本情况!$B$8="出让",SUMPRODUCT(PRODUCT(1+L32:L$46)),SUMPRODUCT(PRODUCT(1+L32:L$45))),4)</f>
        <v>1.0364</v>
      </c>
      <c r="T32" s="3182">
        <f>ROUND(IF(项目基本情况!$B$8="出让",SUMPRODUCT(PRODUCT(1+M32:M$46)),SUMPRODUCT(PRODUCT(1+M32:M$45))),4)</f>
        <v>1.0244</v>
      </c>
      <c r="U32" s="3182">
        <f>ROUND(IF(项目基本情况!$B$8="出让",SUMPRODUCT(PRODUCT(1+N32:N$46)),SUMPRODUCT(PRODUCT(1+N32:N$45))),4)</f>
        <v>1.048</v>
      </c>
      <c r="V32" s="3182"/>
      <c r="W32" s="3182">
        <f>T32</f>
        <v>1.0244</v>
      </c>
      <c r="X32" s="3180"/>
      <c r="Y32" s="3183"/>
      <c r="Z32" s="3211">
        <f t="shared" ref="Z32:AB33" si="87">IF(E32=0,0,ROUND(AVERAGE(E32:E45)/100,4))</f>
        <v>2.5999999999999999E-3</v>
      </c>
      <c r="AA32" s="3211">
        <f t="shared" si="87"/>
        <v>1.6999999999999999E-3</v>
      </c>
      <c r="AB32" s="3211">
        <f t="shared" si="87"/>
        <v>3.3999999999999998E-3</v>
      </c>
      <c r="AC32" s="3212"/>
      <c r="AD32" s="3183">
        <f>IF(I32=0,0,ROUND(AVERAGE(I32:I45)/100,4))</f>
        <v>1.6999999999999999E-3</v>
      </c>
    </row>
    <row r="33" spans="1:30" s="3184" customFormat="1" ht="12.75">
      <c r="A33" s="3175" t="s">
        <v>3381</v>
      </c>
      <c r="B33" s="3176">
        <v>2024</v>
      </c>
      <c r="C33" s="3177">
        <v>2</v>
      </c>
      <c r="D33" s="3178"/>
      <c r="E33" s="3178">
        <v>-0.31</v>
      </c>
      <c r="F33" s="3178">
        <v>-0.39</v>
      </c>
      <c r="G33" s="3178">
        <v>1.23</v>
      </c>
      <c r="H33" s="3195"/>
      <c r="I33" s="3179">
        <f t="shared" ref="I33:I46" si="88">F33</f>
        <v>-0.39</v>
      </c>
      <c r="J33" s="3180"/>
      <c r="K33" s="3181"/>
      <c r="L33" s="3171">
        <f t="shared" ref="L33:N46" si="89">E33/100</f>
        <v>-3.0999999999999999E-3</v>
      </c>
      <c r="M33" s="3171">
        <f t="shared" si="89"/>
        <v>-3.9000000000000003E-3</v>
      </c>
      <c r="N33" s="3171">
        <f t="shared" si="89"/>
        <v>1.23E-2</v>
      </c>
      <c r="O33" s="3171"/>
      <c r="P33" s="3171">
        <f>M33</f>
        <v>-3.9000000000000003E-3</v>
      </c>
      <c r="Q33" s="3180"/>
      <c r="R33" s="3182"/>
      <c r="S33" s="3182">
        <f>ROUND(IF(项目基本情况!$B$8="出让",SUMPRODUCT(PRODUCT(1+L33:L$46)),SUMPRODUCT(PRODUCT(1+L33:L$45))),4)</f>
        <v>1.0432999999999999</v>
      </c>
      <c r="T33" s="3182">
        <f>ROUND(IF(项目基本情况!$B$8="出让",SUMPRODUCT(PRODUCT(1+M33:M$46)),SUMPRODUCT(PRODUCT(1+M33:M$45))),4)</f>
        <v>1.0298</v>
      </c>
      <c r="U33" s="3182">
        <f>ROUND(IF(项目基本情况!$B$8="出让",SUMPRODUCT(PRODUCT(1+N33:N$46)),SUMPRODUCT(PRODUCT(1+N33:N$45))),4)</f>
        <v>1.079</v>
      </c>
      <c r="V33" s="3182"/>
      <c r="W33" s="3182">
        <f>T33</f>
        <v>1.0298</v>
      </c>
      <c r="X33" s="3180"/>
      <c r="Y33" s="3183"/>
      <c r="Z33" s="3211">
        <f t="shared" si="87"/>
        <v>3.3E-3</v>
      </c>
      <c r="AA33" s="3213">
        <f t="shared" si="87"/>
        <v>2.3999999999999998E-3</v>
      </c>
      <c r="AB33" s="3183">
        <f t="shared" si="87"/>
        <v>6.1999999999999998E-3</v>
      </c>
      <c r="AC33" s="3212"/>
      <c r="AD33" s="3183">
        <f>IF(I33=0,0,ROUND(AVERAGE(I33:I46)/100,4))</f>
        <v>2.3999999999999998E-3</v>
      </c>
    </row>
    <row r="34" spans="1:30" s="3184" customFormat="1" ht="12.75">
      <c r="A34" s="3175" t="s">
        <v>3374</v>
      </c>
      <c r="B34" s="3176">
        <v>2024</v>
      </c>
      <c r="C34" s="3177">
        <v>1</v>
      </c>
      <c r="D34" s="3178"/>
      <c r="E34" s="3178">
        <v>0.25</v>
      </c>
      <c r="F34" s="3178">
        <v>0.4</v>
      </c>
      <c r="G34" s="3178">
        <v>-0.63</v>
      </c>
      <c r="H34" s="3195"/>
      <c r="I34" s="3179">
        <f t="shared" ref="I34:I35" si="90">F34</f>
        <v>0.4</v>
      </c>
      <c r="J34" s="3180"/>
      <c r="K34" s="3181"/>
      <c r="L34" s="3171">
        <f t="shared" ref="L34" si="91">E34/100</f>
        <v>2.5000000000000001E-3</v>
      </c>
      <c r="M34" s="3171">
        <f t="shared" ref="M34" si="92">F34/100</f>
        <v>4.0000000000000001E-3</v>
      </c>
      <c r="N34" s="3171">
        <f t="shared" ref="N34" si="93">G34/100</f>
        <v>-6.3E-3</v>
      </c>
      <c r="O34" s="3171"/>
      <c r="P34" s="3171">
        <f t="shared" ref="P34" si="94">M34</f>
        <v>4.0000000000000001E-3</v>
      </c>
      <c r="Q34" s="3180"/>
      <c r="R34" s="3182"/>
      <c r="S34" s="3182">
        <f>ROUND(IF(项目基本情况!$B$8="出让",SUMPRODUCT(PRODUCT(1+L34:L$46)),SUMPRODUCT(PRODUCT(1+L34:L$45))),4)</f>
        <v>1.0465</v>
      </c>
      <c r="T34" s="3182">
        <f>ROUND(IF(项目基本情况!$B$8="出让",SUMPRODUCT(PRODUCT(1+M34:M$46)),SUMPRODUCT(PRODUCT(1+M34:M$45))),4)</f>
        <v>1.0338000000000001</v>
      </c>
      <c r="U34" s="3182">
        <f>ROUND(IF(项目基本情况!$B$8="出让",SUMPRODUCT(PRODUCT(1+N34:N$46)),SUMPRODUCT(PRODUCT(1+N34:N$45))),4)</f>
        <v>1.0659000000000001</v>
      </c>
      <c r="V34" s="3182"/>
      <c r="W34" s="3182">
        <f t="shared" ref="W34" si="95">T34</f>
        <v>1.0338000000000001</v>
      </c>
      <c r="X34" s="3180"/>
      <c r="Y34" s="3183"/>
      <c r="Z34" s="3211"/>
      <c r="AA34" s="3213"/>
      <c r="AB34" s="3183"/>
      <c r="AC34" s="3212"/>
      <c r="AD34" s="3183"/>
    </row>
    <row r="35" spans="1:30" s="3184" customFormat="1" ht="12.75">
      <c r="A35" s="3175" t="s">
        <v>3372</v>
      </c>
      <c r="B35" s="3176">
        <v>2023</v>
      </c>
      <c r="C35" s="3177">
        <v>4</v>
      </c>
      <c r="D35" s="3178"/>
      <c r="E35" s="3178">
        <v>7.0000000000000007E-2</v>
      </c>
      <c r="F35" s="3178">
        <v>0.09</v>
      </c>
      <c r="G35" s="3178">
        <v>0.03</v>
      </c>
      <c r="H35" s="3195"/>
      <c r="I35" s="3179">
        <f t="shared" si="90"/>
        <v>0.09</v>
      </c>
      <c r="J35" s="3180"/>
      <c r="K35" s="3181"/>
      <c r="L35" s="3171">
        <f t="shared" si="89"/>
        <v>7.000000000000001E-4</v>
      </c>
      <c r="M35" s="3171">
        <f t="shared" si="89"/>
        <v>8.9999999999999998E-4</v>
      </c>
      <c r="N35" s="3171">
        <f t="shared" si="89"/>
        <v>2.9999999999999997E-4</v>
      </c>
      <c r="O35" s="3171"/>
      <c r="P35" s="3171">
        <f t="shared" ref="P35" si="96">M35</f>
        <v>8.9999999999999998E-4</v>
      </c>
      <c r="Q35" s="3180"/>
      <c r="R35" s="3182"/>
      <c r="S35" s="3182">
        <f>ROUND(IF(项目基本情况!$B$8="出让",SUMPRODUCT(PRODUCT(1+L35:L$46)),SUMPRODUCT(PRODUCT(1+L35:L$45))),4)</f>
        <v>1.0439000000000001</v>
      </c>
      <c r="T35" s="3182">
        <f>ROUND(IF(项目基本情况!$B$8="出让",SUMPRODUCT(PRODUCT(1+M35:M$46)),SUMPRODUCT(PRODUCT(1+M35:M$45))),4)</f>
        <v>1.0297000000000001</v>
      </c>
      <c r="U35" s="3182">
        <f>ROUND(IF(项目基本情况!$B$8="出让",SUMPRODUCT(PRODUCT(1+N35:N$46)),SUMPRODUCT(PRODUCT(1+N35:N$45))),4)</f>
        <v>1.0727</v>
      </c>
      <c r="V35" s="3182"/>
      <c r="W35" s="3182">
        <f t="shared" ref="W35" si="97">T35</f>
        <v>1.0297000000000001</v>
      </c>
      <c r="X35" s="3180"/>
      <c r="Y35" s="3183"/>
      <c r="Z35" s="3211"/>
      <c r="AA35" s="3213"/>
      <c r="AB35" s="3183"/>
      <c r="AC35" s="3212"/>
      <c r="AD35" s="3183"/>
    </row>
    <row r="36" spans="1:30" s="3184" customFormat="1" ht="12.75">
      <c r="A36" s="3175" t="s">
        <v>3370</v>
      </c>
      <c r="B36" s="3176">
        <v>2023</v>
      </c>
      <c r="C36" s="3177">
        <v>3</v>
      </c>
      <c r="D36" s="3178"/>
      <c r="E36" s="3178">
        <v>0.35</v>
      </c>
      <c r="F36" s="3178">
        <v>0.17</v>
      </c>
      <c r="G36" s="3178">
        <v>0.52</v>
      </c>
      <c r="H36" s="3195"/>
      <c r="I36" s="3179">
        <f t="shared" si="88"/>
        <v>0.17</v>
      </c>
      <c r="J36" s="3180"/>
      <c r="K36" s="3181"/>
      <c r="L36" s="3171">
        <f t="shared" ref="L36:L38" si="98">E36/100</f>
        <v>3.4999999999999996E-3</v>
      </c>
      <c r="M36" s="3171">
        <f t="shared" ref="M36:M38" si="99">F36/100</f>
        <v>1.7000000000000001E-3</v>
      </c>
      <c r="N36" s="3171">
        <f t="shared" ref="N36:N38" si="100">G36/100</f>
        <v>5.1999999999999998E-3</v>
      </c>
      <c r="O36" s="3171"/>
      <c r="P36" s="3171">
        <f t="shared" ref="P36:P38" si="101">M36</f>
        <v>1.7000000000000001E-3</v>
      </c>
      <c r="Q36" s="3180"/>
      <c r="R36" s="3182"/>
      <c r="S36" s="3182">
        <f>ROUND(IF(项目基本情况!$B$8="出让",SUMPRODUCT(PRODUCT(1+L36:L$46)),SUMPRODUCT(PRODUCT(1+L36:L$45))),4)</f>
        <v>1.0431999999999999</v>
      </c>
      <c r="T36" s="3182">
        <f>ROUND(IF(项目基本情况!$B$8="出让",SUMPRODUCT(PRODUCT(1+M36:M$46)),SUMPRODUCT(PRODUCT(1+M36:M$45))),4)</f>
        <v>1.0286999999999999</v>
      </c>
      <c r="U36" s="3182">
        <f>ROUND(IF(项目基本情况!$B$8="出让",SUMPRODUCT(PRODUCT(1+N36:N$46)),SUMPRODUCT(PRODUCT(1+N36:N$45))),4)</f>
        <v>1.0723</v>
      </c>
      <c r="V36" s="3182"/>
      <c r="W36" s="3182">
        <f t="shared" ref="W36:W38" si="102">T36</f>
        <v>1.0286999999999999</v>
      </c>
      <c r="X36" s="3180"/>
      <c r="Y36" s="3183"/>
      <c r="Z36" s="3211"/>
      <c r="AA36" s="3213"/>
      <c r="AB36" s="3183"/>
      <c r="AC36" s="3212"/>
      <c r="AD36" s="3183"/>
    </row>
    <row r="37" spans="1:30" s="3184" customFormat="1" ht="12.75">
      <c r="A37" s="3175" t="s">
        <v>3369</v>
      </c>
      <c r="B37" s="3176">
        <v>2023</v>
      </c>
      <c r="C37" s="3177">
        <v>2</v>
      </c>
      <c r="D37" s="3178"/>
      <c r="E37" s="3178">
        <v>0.5</v>
      </c>
      <c r="F37" s="3178">
        <v>0.45</v>
      </c>
      <c r="G37" s="3178">
        <v>0.89</v>
      </c>
      <c r="H37" s="3195"/>
      <c r="I37" s="3179">
        <f t="shared" si="88"/>
        <v>0.45</v>
      </c>
      <c r="J37" s="3180"/>
      <c r="K37" s="3181"/>
      <c r="L37" s="3171">
        <f t="shared" si="98"/>
        <v>5.0000000000000001E-3</v>
      </c>
      <c r="M37" s="3171">
        <f t="shared" si="99"/>
        <v>4.5000000000000005E-3</v>
      </c>
      <c r="N37" s="3171">
        <f t="shared" si="100"/>
        <v>8.8999999999999999E-3</v>
      </c>
      <c r="O37" s="3171"/>
      <c r="P37" s="3171">
        <f t="shared" si="101"/>
        <v>4.5000000000000005E-3</v>
      </c>
      <c r="Q37" s="3180"/>
      <c r="R37" s="3182"/>
      <c r="S37" s="3182">
        <f>ROUND(IF(项目基本情况!$B$8="出让",SUMPRODUCT(PRODUCT(1+L37:L$46)),SUMPRODUCT(PRODUCT(1+L37:L$45))),4)</f>
        <v>1.0396000000000001</v>
      </c>
      <c r="T37" s="3182">
        <f>ROUND(IF(项目基本情况!$B$8="出让",SUMPRODUCT(PRODUCT(1+M37:M$46)),SUMPRODUCT(PRODUCT(1+M37:M$45))),4)</f>
        <v>1.0269999999999999</v>
      </c>
      <c r="U37" s="3182">
        <f>ROUND(IF(项目基本情况!$B$8="出让",SUMPRODUCT(PRODUCT(1+N37:N$46)),SUMPRODUCT(PRODUCT(1+N37:N$45))),4)</f>
        <v>1.0668</v>
      </c>
      <c r="V37" s="3182"/>
      <c r="W37" s="3182">
        <f t="shared" si="102"/>
        <v>1.0269999999999999</v>
      </c>
      <c r="X37" s="3180"/>
      <c r="Y37" s="3183"/>
      <c r="Z37" s="3211"/>
      <c r="AA37" s="3213"/>
      <c r="AB37" s="3183"/>
      <c r="AC37" s="3212"/>
      <c r="AD37" s="3183"/>
    </row>
    <row r="38" spans="1:30" s="3184" customFormat="1" ht="12.75">
      <c r="A38" s="3175" t="s">
        <v>3367</v>
      </c>
      <c r="B38" s="3176">
        <v>2023</v>
      </c>
      <c r="C38" s="3177">
        <v>1</v>
      </c>
      <c r="D38" s="3178"/>
      <c r="E38" s="3178">
        <v>0.55000000000000004</v>
      </c>
      <c r="F38" s="3178">
        <v>0.59</v>
      </c>
      <c r="G38" s="3178">
        <v>0.64</v>
      </c>
      <c r="H38" s="3195"/>
      <c r="I38" s="3179">
        <f t="shared" si="88"/>
        <v>0.59</v>
      </c>
      <c r="J38" s="3180"/>
      <c r="K38" s="3181"/>
      <c r="L38" s="3171">
        <f t="shared" si="98"/>
        <v>5.5000000000000005E-3</v>
      </c>
      <c r="M38" s="3171">
        <f t="shared" si="99"/>
        <v>5.8999999999999999E-3</v>
      </c>
      <c r="N38" s="3171">
        <f t="shared" si="100"/>
        <v>6.4000000000000003E-3</v>
      </c>
      <c r="O38" s="3171"/>
      <c r="P38" s="3171">
        <f t="shared" si="101"/>
        <v>5.8999999999999999E-3</v>
      </c>
      <c r="Q38" s="3180"/>
      <c r="R38" s="3182"/>
      <c r="S38" s="3182">
        <f>ROUND(IF(项目基本情况!$B$8="出让",SUMPRODUCT(PRODUCT(1+L38:L$46)),SUMPRODUCT(PRODUCT(1+L38:L$45))),4)</f>
        <v>1.0344</v>
      </c>
      <c r="T38" s="3182">
        <f>ROUND(IF(项目基本情况!$B$8="出让",SUMPRODUCT(PRODUCT(1+M38:M$46)),SUMPRODUCT(PRODUCT(1+M38:M$45))),4)</f>
        <v>1.0224</v>
      </c>
      <c r="U38" s="3182">
        <f>ROUND(IF(项目基本情况!$B$8="出让",SUMPRODUCT(PRODUCT(1+N38:N$46)),SUMPRODUCT(PRODUCT(1+N38:N$45))),4)</f>
        <v>1.0573999999999999</v>
      </c>
      <c r="V38" s="3182"/>
      <c r="W38" s="3182">
        <f t="shared" si="102"/>
        <v>1.0224</v>
      </c>
      <c r="X38" s="3180"/>
      <c r="Y38" s="3183"/>
      <c r="Z38" s="3211"/>
      <c r="AA38" s="3213"/>
      <c r="AB38" s="3183"/>
      <c r="AC38" s="3212"/>
      <c r="AD38" s="3183"/>
    </row>
    <row r="39" spans="1:30" s="3184" customFormat="1" ht="12.75">
      <c r="A39" s="3175" t="s">
        <v>3366</v>
      </c>
      <c r="B39" s="3176">
        <v>2022</v>
      </c>
      <c r="C39" s="3177">
        <v>4</v>
      </c>
      <c r="D39" s="3178"/>
      <c r="E39" s="3178">
        <v>0.45</v>
      </c>
      <c r="F39" s="3178">
        <v>0.2</v>
      </c>
      <c r="G39" s="3178">
        <v>0.38</v>
      </c>
      <c r="H39" s="3195"/>
      <c r="I39" s="3179">
        <f t="shared" si="88"/>
        <v>0.2</v>
      </c>
      <c r="J39" s="3180"/>
      <c r="K39" s="3181"/>
      <c r="L39" s="3171">
        <f t="shared" si="89"/>
        <v>4.5000000000000005E-3</v>
      </c>
      <c r="M39" s="3171">
        <f t="shared" si="89"/>
        <v>2E-3</v>
      </c>
      <c r="N39" s="3171">
        <f t="shared" si="89"/>
        <v>3.8E-3</v>
      </c>
      <c r="O39" s="3171"/>
      <c r="P39" s="3171">
        <f t="shared" ref="P39:P46" si="103">M39</f>
        <v>2E-3</v>
      </c>
      <c r="Q39" s="3180"/>
      <c r="R39" s="3182"/>
      <c r="S39" s="3182">
        <f>ROUND(IF(项目基本情况!$B$8="出让",SUMPRODUCT(PRODUCT(1+L39:L$46)),SUMPRODUCT(PRODUCT(1+L39:L$45))),4)</f>
        <v>1.0286999999999999</v>
      </c>
      <c r="T39" s="3182">
        <f>ROUND(IF(项目基本情况!$B$8="出让",SUMPRODUCT(PRODUCT(1+M39:M$46)),SUMPRODUCT(PRODUCT(1+M39:M$45))),4)</f>
        <v>1.0164</v>
      </c>
      <c r="U39" s="3182">
        <f>ROUND(IF(项目基本情况!$B$8="出让",SUMPRODUCT(PRODUCT(1+N39:N$46)),SUMPRODUCT(PRODUCT(1+N39:N$45))),4)</f>
        <v>1.0506</v>
      </c>
      <c r="V39" s="3182"/>
      <c r="W39" s="3182">
        <f t="shared" ref="W39:W46" si="104">T39</f>
        <v>1.0164</v>
      </c>
      <c r="X39" s="3180"/>
      <c r="Y39" s="3183"/>
      <c r="Z39" s="3211">
        <f t="shared" ref="Z39:AD46" si="105">IF(E39=0,0,ROUND(AVERAGE(E39:E47)/100,4))</f>
        <v>4.0000000000000001E-3</v>
      </c>
      <c r="AA39" s="3213">
        <f t="shared" si="105"/>
        <v>2.5999999999999999E-3</v>
      </c>
      <c r="AB39" s="3183">
        <f t="shared" si="105"/>
        <v>7.4000000000000003E-3</v>
      </c>
      <c r="AC39" s="3212"/>
      <c r="AD39" s="3183">
        <f t="shared" si="105"/>
        <v>2.5999999999999999E-3</v>
      </c>
    </row>
    <row r="40" spans="1:30" s="3184" customFormat="1" ht="12.75">
      <c r="A40" s="3175" t="s">
        <v>3365</v>
      </c>
      <c r="B40" s="3176">
        <v>2022</v>
      </c>
      <c r="C40" s="3177">
        <v>3</v>
      </c>
      <c r="D40" s="3178"/>
      <c r="E40" s="3178">
        <v>0.3</v>
      </c>
      <c r="F40" s="3178">
        <v>0.28999999999999998</v>
      </c>
      <c r="G40" s="3178">
        <v>0.83</v>
      </c>
      <c r="H40" s="3195"/>
      <c r="I40" s="3179">
        <f t="shared" si="88"/>
        <v>0.28999999999999998</v>
      </c>
      <c r="J40" s="3180"/>
      <c r="K40" s="3181"/>
      <c r="L40" s="3171">
        <f t="shared" si="89"/>
        <v>3.0000000000000001E-3</v>
      </c>
      <c r="M40" s="3171">
        <f t="shared" si="89"/>
        <v>2.8999999999999998E-3</v>
      </c>
      <c r="N40" s="3171">
        <f t="shared" si="89"/>
        <v>8.3000000000000001E-3</v>
      </c>
      <c r="O40" s="3171"/>
      <c r="P40" s="3171">
        <f t="shared" si="103"/>
        <v>2.8999999999999998E-3</v>
      </c>
      <c r="Q40" s="3180"/>
      <c r="R40" s="3182"/>
      <c r="S40" s="3182">
        <f>ROUND(IF(项目基本情况!$B$8="出让",SUMPRODUCT(PRODUCT(1+L40:L$46)),SUMPRODUCT(PRODUCT(1+L40:L$45))),4)</f>
        <v>1.0241</v>
      </c>
      <c r="T40" s="3182">
        <f>ROUND(IF(项目基本情况!$B$8="出让",SUMPRODUCT(PRODUCT(1+M40:M$46)),SUMPRODUCT(PRODUCT(1+M40:M$45))),4)</f>
        <v>1.0144</v>
      </c>
      <c r="U40" s="3182">
        <f>ROUND(IF(项目基本情况!$B$8="出让",SUMPRODUCT(PRODUCT(1+N40:N$46)),SUMPRODUCT(PRODUCT(1+N40:N$45))),4)</f>
        <v>1.0467</v>
      </c>
      <c r="V40" s="3182"/>
      <c r="W40" s="3182">
        <f t="shared" si="104"/>
        <v>1.0144</v>
      </c>
      <c r="X40" s="3180"/>
      <c r="Y40" s="3183"/>
      <c r="Z40" s="3211">
        <f t="shared" si="105"/>
        <v>3.8999999999999998E-3</v>
      </c>
      <c r="AA40" s="3213">
        <f t="shared" si="105"/>
        <v>2.7000000000000001E-3</v>
      </c>
      <c r="AB40" s="3183">
        <f t="shared" si="105"/>
        <v>7.9000000000000008E-3</v>
      </c>
      <c r="AC40" s="3212"/>
      <c r="AD40" s="3183">
        <f t="shared" si="105"/>
        <v>2.7000000000000001E-3</v>
      </c>
    </row>
    <row r="41" spans="1:30" s="3184" customFormat="1" ht="12.75">
      <c r="A41" s="3175" t="s">
        <v>3355</v>
      </c>
      <c r="B41" s="3176">
        <v>2022</v>
      </c>
      <c r="C41" s="3177">
        <v>2</v>
      </c>
      <c r="D41" s="3178"/>
      <c r="E41" s="3178">
        <v>-0.11</v>
      </c>
      <c r="F41" s="3178">
        <v>-0.13</v>
      </c>
      <c r="G41" s="3178">
        <v>0.53</v>
      </c>
      <c r="H41" s="3195"/>
      <c r="I41" s="3179">
        <f t="shared" si="88"/>
        <v>-0.13</v>
      </c>
      <c r="J41" s="3180"/>
      <c r="K41" s="3181"/>
      <c r="L41" s="3171">
        <f t="shared" si="89"/>
        <v>-1.1000000000000001E-3</v>
      </c>
      <c r="M41" s="3171">
        <f t="shared" si="89"/>
        <v>-1.2999999999999999E-3</v>
      </c>
      <c r="N41" s="3171">
        <f t="shared" si="89"/>
        <v>5.3E-3</v>
      </c>
      <c r="O41" s="3171"/>
      <c r="P41" s="3171">
        <f t="shared" si="103"/>
        <v>-1.2999999999999999E-3</v>
      </c>
      <c r="Q41" s="3180"/>
      <c r="R41" s="3182"/>
      <c r="S41" s="3182">
        <f>ROUND(IF(项目基本情况!$B$8="出让",SUMPRODUCT(PRODUCT(1+L41:L$46)),SUMPRODUCT(PRODUCT(1+L41:L$45))),4)</f>
        <v>1.0210999999999999</v>
      </c>
      <c r="T41" s="3182">
        <f>ROUND(IF(项目基本情况!$B$8="出让",SUMPRODUCT(PRODUCT(1+M41:M$46)),SUMPRODUCT(PRODUCT(1+M41:M$45))),4)</f>
        <v>1.0114000000000001</v>
      </c>
      <c r="U41" s="3182">
        <f>ROUND(IF(项目基本情况!$B$8="出让",SUMPRODUCT(PRODUCT(1+N41:N$46)),SUMPRODUCT(PRODUCT(1+N41:N$45))),4)</f>
        <v>1.0381</v>
      </c>
      <c r="V41" s="3182"/>
      <c r="W41" s="3182">
        <f t="shared" si="104"/>
        <v>1.0114000000000001</v>
      </c>
      <c r="X41" s="3180"/>
      <c r="Y41" s="3183"/>
      <c r="Z41" s="3211">
        <f t="shared" si="105"/>
        <v>4.1000000000000003E-3</v>
      </c>
      <c r="AA41" s="3213">
        <f t="shared" si="105"/>
        <v>2.7000000000000001E-3</v>
      </c>
      <c r="AB41" s="3183">
        <f t="shared" si="105"/>
        <v>7.9000000000000008E-3</v>
      </c>
      <c r="AC41" s="3212"/>
      <c r="AD41" s="3183">
        <f t="shared" si="105"/>
        <v>2.7000000000000001E-3</v>
      </c>
    </row>
    <row r="42" spans="1:30" s="3184" customFormat="1" ht="12.75">
      <c r="A42" s="3175" t="s">
        <v>2837</v>
      </c>
      <c r="B42" s="3176">
        <v>2022</v>
      </c>
      <c r="C42" s="3177">
        <v>1</v>
      </c>
      <c r="D42" s="3178"/>
      <c r="E42" s="3178">
        <v>0.6</v>
      </c>
      <c r="F42" s="3178">
        <v>0.45</v>
      </c>
      <c r="G42" s="3178">
        <v>0.53</v>
      </c>
      <c r="H42" s="3195"/>
      <c r="I42" s="3179">
        <f t="shared" si="88"/>
        <v>0.45</v>
      </c>
      <c r="J42" s="3180"/>
      <c r="K42" s="3181"/>
      <c r="L42" s="3171">
        <f t="shared" si="89"/>
        <v>6.0000000000000001E-3</v>
      </c>
      <c r="M42" s="3171">
        <f t="shared" si="89"/>
        <v>4.5000000000000005E-3</v>
      </c>
      <c r="N42" s="3171">
        <f t="shared" si="89"/>
        <v>5.3E-3</v>
      </c>
      <c r="O42" s="3171"/>
      <c r="P42" s="3171">
        <f t="shared" si="103"/>
        <v>4.5000000000000005E-3</v>
      </c>
      <c r="Q42" s="3180"/>
      <c r="R42" s="3182"/>
      <c r="S42" s="3182">
        <f>ROUND(IF(项目基本情况!$B$8="出让",SUMPRODUCT(PRODUCT(1+L42:L$46)),SUMPRODUCT(PRODUCT(1+L42:L$45))),4)</f>
        <v>1.0222</v>
      </c>
      <c r="T42" s="3182">
        <f>ROUND(IF(项目基本情况!$B$8="出让",SUMPRODUCT(PRODUCT(1+M42:M$46)),SUMPRODUCT(PRODUCT(1+M42:M$45))),4)</f>
        <v>1.0127999999999999</v>
      </c>
      <c r="U42" s="3182">
        <f>ROUND(IF(项目基本情况!$B$8="出让",SUMPRODUCT(PRODUCT(1+N42:N$46)),SUMPRODUCT(PRODUCT(1+N42:N$45))),4)</f>
        <v>1.0326</v>
      </c>
      <c r="V42" s="3182"/>
      <c r="W42" s="3182">
        <f t="shared" si="104"/>
        <v>1.0127999999999999</v>
      </c>
      <c r="X42" s="3180"/>
      <c r="Y42" s="3183"/>
      <c r="Z42" s="3211">
        <f t="shared" si="105"/>
        <v>5.1000000000000004E-3</v>
      </c>
      <c r="AA42" s="3213">
        <f t="shared" si="105"/>
        <v>3.5000000000000001E-3</v>
      </c>
      <c r="AB42" s="3183">
        <f t="shared" si="105"/>
        <v>8.3999999999999995E-3</v>
      </c>
      <c r="AC42" s="3212"/>
      <c r="AD42" s="3183">
        <f t="shared" si="105"/>
        <v>3.5000000000000001E-3</v>
      </c>
    </row>
    <row r="43" spans="1:30" s="3184" customFormat="1" ht="12.75">
      <c r="A43" s="3175" t="s">
        <v>2838</v>
      </c>
      <c r="B43" s="3176">
        <v>2021</v>
      </c>
      <c r="C43" s="3177">
        <v>4</v>
      </c>
      <c r="D43" s="3178"/>
      <c r="E43" s="3178">
        <v>0.57999999999999996</v>
      </c>
      <c r="F43" s="3178">
        <v>0.08</v>
      </c>
      <c r="G43" s="3178">
        <v>0.68</v>
      </c>
      <c r="H43" s="3195"/>
      <c r="I43" s="3179">
        <f t="shared" si="88"/>
        <v>0.08</v>
      </c>
      <c r="J43" s="3180"/>
      <c r="K43" s="3181"/>
      <c r="L43" s="3171">
        <f t="shared" si="89"/>
        <v>5.7999999999999996E-3</v>
      </c>
      <c r="M43" s="3171">
        <f t="shared" si="89"/>
        <v>8.0000000000000004E-4</v>
      </c>
      <c r="N43" s="3171">
        <f t="shared" si="89"/>
        <v>6.8000000000000005E-3</v>
      </c>
      <c r="O43" s="3171"/>
      <c r="P43" s="3171">
        <f t="shared" si="103"/>
        <v>8.0000000000000004E-4</v>
      </c>
      <c r="Q43" s="3180"/>
      <c r="R43" s="3182"/>
      <c r="S43" s="3182">
        <f>ROUND(IF(项目基本情况!$B$8="出让",SUMPRODUCT(PRODUCT(1+L43:L$46)),SUMPRODUCT(PRODUCT(1+L43:L$45))),4)</f>
        <v>1.0161</v>
      </c>
      <c r="T43" s="3182">
        <f>ROUND(IF(项目基本情况!$B$8="出让",SUMPRODUCT(PRODUCT(1+M43:M$46)),SUMPRODUCT(PRODUCT(1+M43:M$45))),4)</f>
        <v>1.0082</v>
      </c>
      <c r="U43" s="3182">
        <f>ROUND(IF(项目基本情况!$B$8="出让",SUMPRODUCT(PRODUCT(1+N43:N$46)),SUMPRODUCT(PRODUCT(1+N43:N$45))),4)</f>
        <v>1.0270999999999999</v>
      </c>
      <c r="V43" s="3182"/>
      <c r="W43" s="3182">
        <f t="shared" si="104"/>
        <v>1.0082</v>
      </c>
      <c r="X43" s="3180"/>
      <c r="Y43" s="3183"/>
      <c r="Z43" s="3211">
        <f t="shared" si="105"/>
        <v>4.8999999999999998E-3</v>
      </c>
      <c r="AA43" s="3213">
        <f t="shared" si="105"/>
        <v>3.3E-3</v>
      </c>
      <c r="AB43" s="3183">
        <f t="shared" si="105"/>
        <v>9.1999999999999998E-3</v>
      </c>
      <c r="AC43" s="3212"/>
      <c r="AD43" s="3183">
        <f t="shared" si="105"/>
        <v>3.3E-3</v>
      </c>
    </row>
    <row r="44" spans="1:30" s="3184" customFormat="1" ht="12.75">
      <c r="A44" s="3175" t="s">
        <v>2839</v>
      </c>
      <c r="B44" s="3176">
        <v>2021</v>
      </c>
      <c r="C44" s="3177">
        <v>3</v>
      </c>
      <c r="D44" s="3178"/>
      <c r="E44" s="3178">
        <v>0.47</v>
      </c>
      <c r="F44" s="3178">
        <v>0.28000000000000003</v>
      </c>
      <c r="G44" s="3178">
        <v>0.91</v>
      </c>
      <c r="H44" s="3195"/>
      <c r="I44" s="3179">
        <f t="shared" si="88"/>
        <v>0.28000000000000003</v>
      </c>
      <c r="J44" s="3180"/>
      <c r="K44" s="3181"/>
      <c r="L44" s="3171">
        <f t="shared" si="89"/>
        <v>4.6999999999999993E-3</v>
      </c>
      <c r="M44" s="3171">
        <f t="shared" si="89"/>
        <v>2.8000000000000004E-3</v>
      </c>
      <c r="N44" s="3171">
        <f t="shared" si="89"/>
        <v>9.1000000000000004E-3</v>
      </c>
      <c r="O44" s="3171"/>
      <c r="P44" s="3171">
        <f t="shared" si="103"/>
        <v>2.8000000000000004E-3</v>
      </c>
      <c r="Q44" s="3180"/>
      <c r="R44" s="3182"/>
      <c r="S44" s="3182">
        <f>ROUND(IF(项目基本情况!$B$8="出让",SUMPRODUCT(PRODUCT(1+L44:L$46)),SUMPRODUCT(PRODUCT(1+L44:L$45))),4)</f>
        <v>1.0102</v>
      </c>
      <c r="T44" s="3182">
        <f>ROUND(IF(项目基本情况!$B$8="出让",SUMPRODUCT(PRODUCT(1+M44:M$46)),SUMPRODUCT(PRODUCT(1+M44:M$45))),4)</f>
        <v>1.0074000000000001</v>
      </c>
      <c r="U44" s="3182">
        <f>ROUND(IF(项目基本情况!$B$8="出让",SUMPRODUCT(PRODUCT(1+N44:N$46)),SUMPRODUCT(PRODUCT(1+N44:N$45))),4)</f>
        <v>1.0202</v>
      </c>
      <c r="V44" s="3182"/>
      <c r="W44" s="3182">
        <f t="shared" si="104"/>
        <v>1.0074000000000001</v>
      </c>
      <c r="X44" s="3180"/>
      <c r="Y44" s="3183"/>
      <c r="Z44" s="3211">
        <f t="shared" si="105"/>
        <v>4.5999999999999999E-3</v>
      </c>
      <c r="AA44" s="3213">
        <f t="shared" si="105"/>
        <v>4.1000000000000003E-3</v>
      </c>
      <c r="AB44" s="3183">
        <f t="shared" si="105"/>
        <v>0.01</v>
      </c>
      <c r="AC44" s="3212"/>
      <c r="AD44" s="3183">
        <f t="shared" si="105"/>
        <v>4.1000000000000003E-3</v>
      </c>
    </row>
    <row r="45" spans="1:30" s="3184" customFormat="1" ht="12.75">
      <c r="A45" s="3175" t="s">
        <v>2840</v>
      </c>
      <c r="B45" s="3176">
        <v>2021</v>
      </c>
      <c r="C45" s="3177">
        <v>2</v>
      </c>
      <c r="D45" s="3178"/>
      <c r="E45" s="3178">
        <v>0.55000000000000004</v>
      </c>
      <c r="F45" s="3178">
        <v>0.46</v>
      </c>
      <c r="G45" s="3178">
        <v>1.1000000000000001</v>
      </c>
      <c r="H45" s="3195"/>
      <c r="I45" s="3179">
        <f t="shared" si="88"/>
        <v>0.46</v>
      </c>
      <c r="J45" s="3180"/>
      <c r="K45" s="3181"/>
      <c r="L45" s="3171">
        <f t="shared" si="89"/>
        <v>5.5000000000000005E-3</v>
      </c>
      <c r="M45" s="3171">
        <f t="shared" si="89"/>
        <v>4.5999999999999999E-3</v>
      </c>
      <c r="N45" s="3171">
        <f t="shared" si="89"/>
        <v>1.1000000000000001E-2</v>
      </c>
      <c r="O45" s="3171"/>
      <c r="P45" s="3171">
        <f t="shared" si="103"/>
        <v>4.5999999999999999E-3</v>
      </c>
      <c r="Q45" s="3180"/>
      <c r="R45" s="3182"/>
      <c r="S45" s="3182">
        <f>ROUND(IF(项目基本情况!$B$8="出让",SUMPRODUCT(PRODUCT(1+L45:L$46)),SUMPRODUCT(PRODUCT(1+L45:L$45))),4)</f>
        <v>1.0055000000000001</v>
      </c>
      <c r="T45" s="3182">
        <f>ROUND(IF(项目基本情况!$B$8="出让",SUMPRODUCT(PRODUCT(1+M45:M$46)),SUMPRODUCT(PRODUCT(1+M45:M$45))),4)</f>
        <v>1.0045999999999999</v>
      </c>
      <c r="U45" s="3182">
        <f>ROUND(IF(项目基本情况!$B$8="出让",SUMPRODUCT(PRODUCT(1+N45:N$46)),SUMPRODUCT(PRODUCT(1+N45:N$45))),4)</f>
        <v>1.0109999999999999</v>
      </c>
      <c r="V45" s="3182"/>
      <c r="W45" s="3182">
        <f t="shared" si="104"/>
        <v>1.0045999999999999</v>
      </c>
      <c r="X45" s="3180"/>
      <c r="Y45" s="3183"/>
      <c r="Z45" s="3211">
        <f t="shared" si="105"/>
        <v>4.4999999999999997E-3</v>
      </c>
      <c r="AA45" s="3213">
        <f t="shared" si="105"/>
        <v>4.7000000000000002E-3</v>
      </c>
      <c r="AB45" s="3183">
        <f t="shared" si="105"/>
        <v>1.04E-2</v>
      </c>
      <c r="AC45" s="3212"/>
      <c r="AD45" s="3183">
        <f t="shared" si="105"/>
        <v>4.7000000000000002E-3</v>
      </c>
    </row>
    <row r="46" spans="1:30" s="3206" customFormat="1" thickBot="1">
      <c r="A46" s="3196" t="s">
        <v>2826</v>
      </c>
      <c r="B46" s="3197">
        <v>2021</v>
      </c>
      <c r="C46" s="3198">
        <v>1</v>
      </c>
      <c r="D46" s="3199"/>
      <c r="E46" s="3199">
        <v>0.35</v>
      </c>
      <c r="F46" s="3199">
        <v>0.48</v>
      </c>
      <c r="G46" s="3199">
        <v>0.98</v>
      </c>
      <c r="H46" s="3200"/>
      <c r="I46" s="3201">
        <f t="shared" si="88"/>
        <v>0.48</v>
      </c>
      <c r="J46" s="3202"/>
      <c r="K46" s="3203"/>
      <c r="L46" s="3204">
        <f t="shared" si="89"/>
        <v>3.4999999999999996E-3</v>
      </c>
      <c r="M46" s="3204">
        <f>F46/100</f>
        <v>4.7999999999999996E-3</v>
      </c>
      <c r="N46" s="3204">
        <f t="shared" si="89"/>
        <v>9.7999999999999997E-3</v>
      </c>
      <c r="O46" s="3204"/>
      <c r="P46" s="3204">
        <f t="shared" si="103"/>
        <v>4.7999999999999996E-3</v>
      </c>
      <c r="Q46" s="3202"/>
      <c r="R46" s="3205"/>
      <c r="S46" s="3205">
        <v>1</v>
      </c>
      <c r="T46" s="3205">
        <v>1</v>
      </c>
      <c r="U46" s="3205">
        <v>1</v>
      </c>
      <c r="V46" s="3205"/>
      <c r="W46" s="3205">
        <f t="shared" si="104"/>
        <v>1</v>
      </c>
      <c r="X46" s="3202"/>
      <c r="Y46" s="3204"/>
      <c r="Z46" s="3217">
        <f t="shared" si="105"/>
        <v>3.5000000000000001E-3</v>
      </c>
      <c r="AA46" s="3218">
        <f t="shared" si="105"/>
        <v>4.7999999999999996E-3</v>
      </c>
      <c r="AB46" s="3204">
        <f t="shared" si="105"/>
        <v>9.7999999999999997E-3</v>
      </c>
      <c r="AC46" s="3219"/>
      <c r="AD46" s="3204">
        <f t="shared" si="105"/>
        <v>4.7999999999999996E-3</v>
      </c>
    </row>
    <row r="47" spans="1:30" ht="14.25" thickTop="1"/>
    <row r="48" spans="1:30">
      <c r="A48" s="3447"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2310</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2309</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45609</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45586</v>
      </c>
      <c r="D13" s="2821">
        <v>3.1</v>
      </c>
      <c r="E13" s="2821">
        <f>D13</f>
        <v>3.1</v>
      </c>
      <c r="F13" s="2821">
        <f>D13</f>
        <v>3.1</v>
      </c>
      <c r="G13" s="2821">
        <f>D13</f>
        <v>3.1</v>
      </c>
      <c r="H13" s="2821">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45495</v>
      </c>
      <c r="D14" s="2816">
        <v>3.35</v>
      </c>
      <c r="E14" s="2816">
        <f>D14</f>
        <v>3.35</v>
      </c>
      <c r="F14" s="2816">
        <f>D14</f>
        <v>3.35</v>
      </c>
      <c r="G14" s="2816">
        <f>D14</f>
        <v>3.35</v>
      </c>
      <c r="H14" s="2816">
        <v>3.85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45342</v>
      </c>
      <c r="D15" s="2816">
        <v>3.45</v>
      </c>
      <c r="E15" s="2816">
        <f>D15</f>
        <v>3.45</v>
      </c>
      <c r="F15" s="2816">
        <f>D15</f>
        <v>3.45</v>
      </c>
      <c r="G15" s="2816">
        <f>D15</f>
        <v>3.45</v>
      </c>
      <c r="H15" s="2816">
        <v>3.95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45159</v>
      </c>
      <c r="D16" s="2816">
        <v>3.45</v>
      </c>
      <c r="E16" s="2816">
        <f>D16</f>
        <v>3.45</v>
      </c>
      <c r="F16" s="2816">
        <f>D16</f>
        <v>3.45</v>
      </c>
      <c r="G16" s="2816">
        <f>D16</f>
        <v>3.45</v>
      </c>
      <c r="H16" s="2816">
        <v>4.2</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45097</v>
      </c>
      <c r="D17" s="2816">
        <v>3.55</v>
      </c>
      <c r="E17" s="2816">
        <f>D17</f>
        <v>3.55</v>
      </c>
      <c r="F17" s="2816">
        <f>D17</f>
        <v>3.55</v>
      </c>
      <c r="G17" s="2816">
        <f>D17</f>
        <v>3.55</v>
      </c>
      <c r="H17" s="2816">
        <v>4.2</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7">
        <v>44795</v>
      </c>
      <c r="D18" s="2816">
        <v>3.65</v>
      </c>
      <c r="E18" s="2816">
        <v>3.65</v>
      </c>
      <c r="F18" s="2816">
        <v>3.65</v>
      </c>
      <c r="G18" s="2816">
        <v>3.65</v>
      </c>
      <c r="H18" s="2816">
        <v>4.3</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5"/>
      <c r="C19" s="2817">
        <v>44701</v>
      </c>
      <c r="D19" s="2816">
        <v>3.7</v>
      </c>
      <c r="E19" s="2816">
        <f>D19</f>
        <v>3.7</v>
      </c>
      <c r="F19" s="2816">
        <f>D19</f>
        <v>3.7</v>
      </c>
      <c r="G19" s="2816">
        <f>D19</f>
        <v>3.7</v>
      </c>
      <c r="H19" s="2816">
        <v>4.45</v>
      </c>
      <c r="I19" s="2821"/>
      <c r="J19" s="2821"/>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7">
        <v>44581</v>
      </c>
      <c r="D20" s="2816">
        <v>3.7</v>
      </c>
      <c r="E20" s="2816">
        <f>D20</f>
        <v>3.7</v>
      </c>
      <c r="F20" s="2816">
        <f>D20</f>
        <v>3.7</v>
      </c>
      <c r="G20" s="2816">
        <f>D20</f>
        <v>3.7</v>
      </c>
      <c r="H20" s="2816">
        <v>4.5999999999999996</v>
      </c>
      <c r="I20" s="2821"/>
      <c r="J20" s="2821"/>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44550</v>
      </c>
      <c r="D21" s="2816">
        <v>3.8</v>
      </c>
      <c r="E21" s="2816">
        <f>D21</f>
        <v>3.8</v>
      </c>
      <c r="F21" s="2816">
        <f>D21</f>
        <v>3.8</v>
      </c>
      <c r="G21" s="2816">
        <f>D21</f>
        <v>3.8</v>
      </c>
      <c r="H21" s="2816">
        <v>4.6500000000000004</v>
      </c>
      <c r="I21" s="2816"/>
      <c r="J21" s="2821"/>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43941</v>
      </c>
      <c r="D22" s="2816">
        <v>3.85</v>
      </c>
      <c r="E22" s="2816">
        <v>3.85</v>
      </c>
      <c r="F22" s="2816">
        <v>3.85</v>
      </c>
      <c r="G22" s="2816">
        <v>3.85</v>
      </c>
      <c r="H22" s="2816">
        <v>4.6500000000000004</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6"/>
      <c r="C23" s="2817">
        <v>43881</v>
      </c>
      <c r="D23" s="2816">
        <v>4.05</v>
      </c>
      <c r="E23" s="2816">
        <v>4.05</v>
      </c>
      <c r="F23" s="2816">
        <v>4.05</v>
      </c>
      <c r="G23" s="2816">
        <v>4.05</v>
      </c>
      <c r="H23" s="2816">
        <v>4.75</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6"/>
      <c r="C24" s="2817">
        <v>43789</v>
      </c>
      <c r="D24" s="2816">
        <v>4.1500000000000004</v>
      </c>
      <c r="E24" s="2816">
        <v>4.1500000000000004</v>
      </c>
      <c r="F24" s="2816">
        <v>4.1500000000000004</v>
      </c>
      <c r="G24" s="2816">
        <v>4.1500000000000004</v>
      </c>
      <c r="H24" s="2816">
        <v>4.8</v>
      </c>
      <c r="I24" s="2816"/>
      <c r="J24" s="2816"/>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6"/>
      <c r="C25" s="2817">
        <v>43728</v>
      </c>
      <c r="D25" s="2816">
        <v>4.2</v>
      </c>
      <c r="E25" s="2816">
        <v>4.2</v>
      </c>
      <c r="F25" s="2816">
        <v>4.2</v>
      </c>
      <c r="G25" s="2816">
        <v>4.2</v>
      </c>
      <c r="H25" s="2816">
        <v>4.8499999999999996</v>
      </c>
      <c r="I25" s="2816"/>
      <c r="J25" s="2816"/>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4.25">
      <c r="B26" s="2815" t="s">
        <v>2311</v>
      </c>
      <c r="C26" s="2818">
        <v>43697</v>
      </c>
      <c r="D26" s="2819">
        <v>4.25</v>
      </c>
      <c r="E26" s="2819">
        <v>4.25</v>
      </c>
      <c r="F26" s="2819">
        <v>4.25</v>
      </c>
      <c r="G26" s="2819">
        <v>4.25</v>
      </c>
      <c r="H26" s="2819">
        <v>4.8499999999999996</v>
      </c>
      <c r="I26" s="2819"/>
      <c r="J26" s="281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4.25">
      <c r="B27" s="2823"/>
      <c r="C27" s="2824">
        <v>42301</v>
      </c>
      <c r="D27" s="2825">
        <v>4.3499999999999996</v>
      </c>
      <c r="E27" s="2825">
        <v>4.3499999999999996</v>
      </c>
      <c r="F27" s="2825">
        <v>4.75</v>
      </c>
      <c r="G27" s="2825">
        <v>4.75</v>
      </c>
      <c r="H27" s="2825">
        <v>4.9000000000000004</v>
      </c>
      <c r="I27" s="2825"/>
      <c r="J27" s="2825"/>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3" t="s">
        <v>925</v>
      </c>
      <c r="E3" s="853" t="s">
        <v>931</v>
      </c>
      <c r="F3" s="853" t="s">
        <v>925</v>
      </c>
      <c r="G3" s="853" t="s">
        <v>926</v>
      </c>
      <c r="H3" s="853" t="s">
        <v>925</v>
      </c>
      <c r="I3" s="853" t="s">
        <v>926</v>
      </c>
    </row>
    <row r="4" spans="1:9" ht="15">
      <c r="A4" s="1504" t="str">
        <f>项目基本情况!S2</f>
        <v>北京市房地产</v>
      </c>
      <c r="B4" s="853">
        <f>项目基本情况!C17</f>
        <v>942.8</v>
      </c>
      <c r="C4" s="853">
        <f>项目基本情况!C18</f>
        <v>0</v>
      </c>
      <c r="D4" s="853">
        <f ca="1">结果表!D118</f>
        <v>78</v>
      </c>
      <c r="E4" s="853">
        <f ca="1">结果表!E118</f>
        <v>823</v>
      </c>
      <c r="F4" s="853">
        <f ca="1">结果表!F118</f>
        <v>943</v>
      </c>
      <c r="G4" s="853">
        <f ca="1">结果表!G118</f>
        <v>10007</v>
      </c>
      <c r="H4" s="853">
        <f ca="1">结果表!H118</f>
        <v>1021</v>
      </c>
      <c r="I4" s="853">
        <f ca="1">结果表!I118</f>
        <v>10830</v>
      </c>
    </row>
    <row r="5" spans="1:9" ht="30" customHeight="1">
      <c r="A5" s="3472" t="s">
        <v>927</v>
      </c>
      <c r="B5" s="3472"/>
      <c r="C5" s="3472"/>
      <c r="D5" s="3472" t="str">
        <f ca="1">结果表!D119</f>
        <v>柒拾捌万元整</v>
      </c>
      <c r="E5" s="3472"/>
      <c r="F5" s="3472" t="str">
        <f ca="1">结果表!F119</f>
        <v>玖佰肆拾叁万元整</v>
      </c>
      <c r="G5" s="3472"/>
      <c r="H5" s="3472" t="str">
        <f ca="1">结果表!H119</f>
        <v>壹仟零贰拾壹万元整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1021</v>
      </c>
      <c r="E8" s="3473"/>
      <c r="F8" s="3473"/>
      <c r="G8" s="3473"/>
      <c r="H8" s="3473"/>
      <c r="I8" s="3473"/>
    </row>
    <row r="9" spans="1:9" ht="15">
      <c r="A9" s="3472" t="s">
        <v>927</v>
      </c>
      <c r="B9" s="3472"/>
      <c r="C9" s="3472"/>
      <c r="D9" s="3472" t="str">
        <f ca="1">结果表!D123</f>
        <v>壹仟零贰拾壹万元整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9" t="s">
        <v>949</v>
      </c>
      <c r="B1" s="3479"/>
      <c r="C1" s="3479"/>
      <c r="D1" s="3479"/>
    </row>
    <row r="2" spans="1:4" ht="18">
      <c r="A2" s="3480" t="s">
        <v>933</v>
      </c>
      <c r="B2" s="3480"/>
      <c r="C2" s="3480"/>
      <c r="D2" s="3480"/>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0" t="s">
        <v>939</v>
      </c>
      <c r="B6" s="3480"/>
      <c r="C6" s="3480"/>
      <c r="D6" s="3480"/>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3" t="s">
        <v>956</v>
      </c>
      <c r="B15" s="3488" t="s">
        <v>109</v>
      </c>
      <c r="C15" s="3489"/>
    </row>
    <row r="16" spans="1:7" ht="13.5">
      <c r="A16" s="3494"/>
      <c r="B16" s="3488" t="s">
        <v>42</v>
      </c>
      <c r="C16" s="3489"/>
    </row>
    <row r="17" spans="1:3" ht="13.5">
      <c r="A17" s="3494"/>
      <c r="B17" s="3491" t="s">
        <v>957</v>
      </c>
      <c r="C17" s="1531" t="s">
        <v>956</v>
      </c>
    </row>
    <row r="18" spans="1:3" ht="13.5">
      <c r="A18" s="3494"/>
      <c r="B18" s="3491"/>
      <c r="C18" s="1531" t="s">
        <v>958</v>
      </c>
    </row>
    <row r="19" spans="1:3" ht="13.5">
      <c r="A19" s="3494"/>
      <c r="B19" s="3491"/>
      <c r="C19" s="1531" t="s">
        <v>959</v>
      </c>
    </row>
    <row r="20" spans="1:3" ht="13.5">
      <c r="A20" s="3495"/>
      <c r="B20" s="3490" t="s">
        <v>960</v>
      </c>
      <c r="C20" s="3489"/>
    </row>
    <row r="21" spans="1:3" ht="13.5">
      <c r="A21" s="1532" t="s">
        <v>961</v>
      </c>
      <c r="B21" s="1533"/>
      <c r="C21" s="1534"/>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1" t="s">
        <v>967</v>
      </c>
    </row>
    <row r="26" spans="1:3" ht="13.5">
      <c r="A26" s="3492"/>
      <c r="B26" s="3491"/>
      <c r="C26" s="1531" t="s">
        <v>968</v>
      </c>
    </row>
    <row r="27" spans="1:3" ht="13.5">
      <c r="A27" s="3492"/>
      <c r="B27" s="3491"/>
      <c r="C27" s="1531" t="s">
        <v>969</v>
      </c>
    </row>
    <row r="28" spans="1:3" ht="13.5">
      <c r="A28" s="3492"/>
      <c r="B28" s="3491"/>
      <c r="C28" s="1531" t="s">
        <v>970</v>
      </c>
    </row>
    <row r="29" spans="1:3" ht="13.5">
      <c r="A29" s="3492"/>
      <c r="B29" s="3491"/>
      <c r="C29" s="1531" t="s">
        <v>971</v>
      </c>
    </row>
    <row r="30" spans="1:3" ht="13.5">
      <c r="A30" s="3492"/>
      <c r="B30" s="3491"/>
      <c r="C30" s="1531" t="s">
        <v>972</v>
      </c>
    </row>
    <row r="31" spans="1:3" ht="13.5">
      <c r="A31" s="3492"/>
      <c r="B31" s="3491"/>
      <c r="C31" s="1531" t="s">
        <v>973</v>
      </c>
    </row>
    <row r="32" spans="1:3" ht="13.5">
      <c r="A32" s="3492"/>
      <c r="B32" s="3491"/>
      <c r="C32" s="1531" t="s">
        <v>974</v>
      </c>
    </row>
    <row r="33" spans="1:3" ht="13.5">
      <c r="A33" s="3492"/>
      <c r="B33" s="3491"/>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45610</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t="str">
        <f ca="1">IF(C9&lt;B2,"已过期",1120060040)</f>
        <v>已过期</v>
      </c>
      <c r="C9" s="2349">
        <v>45592</v>
      </c>
      <c r="D9" s="2345" t="str">
        <f t="shared" ca="1" si="0"/>
        <v>陈颖（注册号：已过期）</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2"/>
      <c r="E18" s="3498" t="s">
        <v>2162</v>
      </c>
      <c r="F18" s="3497"/>
      <c r="G18" s="3497"/>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比较法-工业</vt:lpstr>
      <vt:lpstr>Sheet1</vt:lpstr>
      <vt:lpstr>比较法-商业</vt:lpstr>
      <vt:lpstr>成本法 (元)</vt:lpstr>
      <vt:lpstr>收益法 (元)</vt:lpstr>
      <vt:lpstr>收益法-酒店模型</vt:lpstr>
      <vt:lpstr>收益法（汇总）</vt:lpstr>
      <vt:lpstr>比较法-住宅</vt:lpstr>
      <vt:lpstr>比较法-办公</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2024-11-14T07:40:42Z</dcterms:modified>
</cp:coreProperties>
</file>