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2)" sheetId="84" state="hidden" r:id="rId18"/>
    <sheet name="结果表" sheetId="9" r:id="rId19"/>
    <sheet name="成本法" sheetId="68" r:id="rId20"/>
    <sheet name="成本法 (元)" sheetId="69" state="hidden" r:id="rId21"/>
    <sheet name="假设开发法" sheetId="12" state="hidden" r:id="rId22"/>
    <sheet name="收益法（汇总）" sheetId="70" r:id="rId23"/>
    <sheet name="收益法" sheetId="15" r:id="rId24"/>
    <sheet name="收益法(车库)" sheetId="81" r:id="rId25"/>
    <sheet name="收益法(仓储)" sheetId="80" r:id="rId26"/>
    <sheet name="结果表(车库)" sheetId="83" r:id="rId27"/>
    <sheet name="成本法(车库)" sheetId="82" r:id="rId28"/>
    <sheet name="收益法 (元)" sheetId="67" state="hidden" r:id="rId29"/>
    <sheet name="收益法-酒店模型" sheetId="77" state="hidden" r:id="rId30"/>
    <sheet name="比较法-住宅" sheetId="21" state="hidden" r:id="rId31"/>
    <sheet name="结果表(商业)" sheetId="85" r:id="rId32"/>
    <sheet name="比较法-商业" sheetId="33"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r:id="rId40"/>
    <sheet name="基准地价（汇总）" sheetId="76" state="hidden" r:id="rId41"/>
    <sheet name="结果表(仓储)" sheetId="86" r:id="rId42"/>
    <sheet name="成本法(仓储)" sheetId="87" r:id="rId43"/>
    <sheet name="基准地价修正" sheetId="43"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42">'成本法(仓储)'!$A$1:$G$57</definedName>
    <definedName name="_xlnm.Print_Area" localSheetId="27">'成本法(车库)'!$A$1:$G$57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3">基准地价修正!$A$1:$J$44,基准地价修正!$A$47:$H$101,基准地价修正!$R$1:$V$16</definedName>
    <definedName name="_xlnm.Print_Area" localSheetId="21">假设开发法!$A$1:$K$32</definedName>
    <definedName name="_xlnm.Print_Area" localSheetId="18">结果表!$A$1:$I$127</definedName>
    <definedName name="_xlnm.Print_Area" localSheetId="41">'结果表(仓储)'!$A$1:$I$127</definedName>
    <definedName name="_xlnm.Print_Area" localSheetId="26">'结果表(车库)'!$A$1:$I$127</definedName>
    <definedName name="_xlnm.Print_Area" localSheetId="31">'结果表(商业)'!$A$1:$I$127</definedName>
    <definedName name="_xlnm.Print_Area" localSheetId="23">收益法!$A$1:$F$43,收益法!$H$3:$M$29,收益法!$A$46:$F$71,收益法!$I$46:$N$65</definedName>
    <definedName name="_xlnm.Print_Area" localSheetId="28">'收益法 (元)'!$A$1:$F$43,'收益法 (元)'!$H$3:$M$29,'收益法 (元)'!$A$45:$F$71,'收益法 (元)'!$I$46:$N$65</definedName>
    <definedName name="_xlnm.Print_Area" localSheetId="25">'收益法(仓储)'!$A$1:$F$43,'收益法(仓储)'!$H$3:$M$29,'收益法(仓储)'!$A$46:$F$71,'收益法(仓储)'!$I$46:$N$65</definedName>
    <definedName name="_xlnm.Print_Area" localSheetId="24">'收益法(车库)'!$A$1:$F$43,'收益法(车库)'!$H$3:$M$29,'收益法(车库)'!$A$46:$F$71,'收益法(车库)'!$I$46:$N$65</definedName>
    <definedName name="_xlnm.Print_Area" localSheetId="22">'收益法（汇总）'!$A$1:$F$13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 localSheetId="17">'典型户型修正 (2)'!$5:$5</definedName>
    <definedName name="一修多修正项2">典型户型修正!$5:$5</definedName>
    <definedName name="一修多修正项3" localSheetId="17">'典型户型修正 (2)'!$7:$7</definedName>
    <definedName name="一修多修正项3">典型户型修正!$7:$7</definedName>
    <definedName name="一修多修正项4" localSheetId="17">'典型户型修正 (2)'!$9:$9</definedName>
    <definedName name="一修多修正项4">典型户型修正!$9:$9</definedName>
    <definedName name="一修多修正项5" localSheetId="17">'典型户型修正 (2)'!$11:$11</definedName>
    <definedName name="一修多修正项5">典型户型修正!$11:$11</definedName>
    <definedName name="一修多修正项6" localSheetId="17">'典型户型修正 (2)'!$13:$13</definedName>
    <definedName name="一修多修正项6">典型户型修正!$13:$13</definedName>
    <definedName name="一修多修正项7" localSheetId="17">'典型户型修正 (2)'!$15:$15</definedName>
    <definedName name="一修多修正项7">典型户型修正!$15:$15</definedName>
    <definedName name="一修多修正项8" localSheetId="17">'典型户型修正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3" i="31" l="1"/>
  <c r="C6" i="87"/>
  <c r="F50" i="87"/>
  <c r="G41" i="87"/>
  <c r="C40" i="87"/>
  <c r="F38" i="87"/>
  <c r="E37" i="87"/>
  <c r="F36" i="87"/>
  <c r="F35" i="87"/>
  <c r="F34" i="87"/>
  <c r="F30" i="87"/>
  <c r="F48" i="87" s="1"/>
  <c r="G22" i="87"/>
  <c r="F21" i="87"/>
  <c r="F40" i="87" s="1"/>
  <c r="C21" i="87"/>
  <c r="F20" i="87"/>
  <c r="F39" i="87" s="1"/>
  <c r="E19" i="87"/>
  <c r="C19" i="87"/>
  <c r="E10" i="87"/>
  <c r="E9" i="87"/>
  <c r="F7" i="87"/>
  <c r="G1" i="87"/>
  <c r="A126" i="86"/>
  <c r="A120" i="86"/>
  <c r="A118" i="86"/>
  <c r="H112" i="86"/>
  <c r="H111" i="86"/>
  <c r="D126" i="86" s="1"/>
  <c r="D127" i="86" s="1"/>
  <c r="E111" i="86"/>
  <c r="E109" i="86"/>
  <c r="A124" i="86" s="1"/>
  <c r="E107" i="86"/>
  <c r="A122" i="86" s="1"/>
  <c r="H106" i="86"/>
  <c r="H103" i="86" s="1"/>
  <c r="D120" i="86" s="1"/>
  <c r="H105" i="86"/>
  <c r="H104" i="86"/>
  <c r="D101" i="86"/>
  <c r="C101" i="86"/>
  <c r="D93" i="86"/>
  <c r="C91" i="86"/>
  <c r="E90" i="86"/>
  <c r="D89" i="86"/>
  <c r="C89" i="86" s="1"/>
  <c r="C87" i="86" s="1"/>
  <c r="D78" i="86"/>
  <c r="H77" i="86"/>
  <c r="D77" i="86"/>
  <c r="C77" i="86" s="1"/>
  <c r="C76" i="86"/>
  <c r="C74" i="86" s="1"/>
  <c r="D68" i="86"/>
  <c r="F59" i="86"/>
  <c r="E59" i="86"/>
  <c r="N56" i="86"/>
  <c r="M56" i="86"/>
  <c r="K56" i="86"/>
  <c r="J56" i="86"/>
  <c r="F56" i="86"/>
  <c r="O55" i="86"/>
  <c r="N55" i="86"/>
  <c r="K55" i="86"/>
  <c r="J55" i="86"/>
  <c r="J57" i="86" s="1"/>
  <c r="J59" i="86" s="1"/>
  <c r="J61" i="86" s="1"/>
  <c r="I55" i="86"/>
  <c r="F55" i="86"/>
  <c r="O53" i="86" s="1"/>
  <c r="O54" i="86"/>
  <c r="N54" i="86"/>
  <c r="F54" i="86"/>
  <c r="N53" i="86"/>
  <c r="F53" i="86"/>
  <c r="F52" i="86"/>
  <c r="K49" i="86"/>
  <c r="F48" i="86"/>
  <c r="O52" i="86" s="1"/>
  <c r="E48" i="86"/>
  <c r="N52" i="86" s="1"/>
  <c r="D48" i="86"/>
  <c r="M52" i="86" s="1"/>
  <c r="M47" i="86"/>
  <c r="F33" i="86"/>
  <c r="L27" i="86"/>
  <c r="K27" i="86"/>
  <c r="N27" i="86" s="1"/>
  <c r="D27" i="86"/>
  <c r="L26" i="86"/>
  <c r="K26" i="86"/>
  <c r="N26" i="86" s="1"/>
  <c r="N25" i="86"/>
  <c r="L25" i="86"/>
  <c r="K25" i="86"/>
  <c r="C25" i="86"/>
  <c r="N24" i="86"/>
  <c r="N28" i="86" s="1"/>
  <c r="L28" i="86" s="1"/>
  <c r="K24" i="86"/>
  <c r="K28" i="86" s="1"/>
  <c r="C24" i="86"/>
  <c r="M19" i="86"/>
  <c r="C118" i="86" s="1"/>
  <c r="L19" i="86"/>
  <c r="M18" i="86"/>
  <c r="B118" i="86" s="1"/>
  <c r="B16" i="74" s="1"/>
  <c r="L18" i="86"/>
  <c r="D17" i="86"/>
  <c r="C17" i="86"/>
  <c r="L4" i="86"/>
  <c r="K4" i="86"/>
  <c r="A2" i="86"/>
  <c r="H1" i="86"/>
  <c r="A124" i="85"/>
  <c r="A120" i="85"/>
  <c r="A118" i="85"/>
  <c r="H112" i="85"/>
  <c r="E111" i="85"/>
  <c r="A126" i="85" s="1"/>
  <c r="H109" i="85"/>
  <c r="D124" i="85" s="1"/>
  <c r="D125" i="85" s="1"/>
  <c r="E109" i="85"/>
  <c r="E107" i="85"/>
  <c r="A122" i="85" s="1"/>
  <c r="H106" i="85"/>
  <c r="H105" i="85"/>
  <c r="H104" i="85"/>
  <c r="H103" i="85"/>
  <c r="D120" i="85" s="1"/>
  <c r="D101" i="85"/>
  <c r="C101" i="85"/>
  <c r="D93" i="85"/>
  <c r="C91" i="85"/>
  <c r="E90" i="85"/>
  <c r="D89" i="85"/>
  <c r="C89" i="85" s="1"/>
  <c r="C87" i="85" s="1"/>
  <c r="D78" i="85"/>
  <c r="H77" i="85"/>
  <c r="D77" i="85"/>
  <c r="C77" i="85"/>
  <c r="C74" i="85" s="1"/>
  <c r="C76" i="85"/>
  <c r="D68" i="85"/>
  <c r="F59" i="85"/>
  <c r="E59" i="85"/>
  <c r="N56" i="85"/>
  <c r="M56" i="85"/>
  <c r="K56" i="85"/>
  <c r="J56" i="85"/>
  <c r="J57" i="85" s="1"/>
  <c r="J59" i="85" s="1"/>
  <c r="J61" i="85" s="1"/>
  <c r="F56" i="85"/>
  <c r="O55" i="85"/>
  <c r="N55" i="85"/>
  <c r="K55" i="85"/>
  <c r="J55" i="85"/>
  <c r="I55" i="85"/>
  <c r="F55" i="85"/>
  <c r="O54" i="85"/>
  <c r="N54" i="85"/>
  <c r="F54" i="85"/>
  <c r="O53" i="85"/>
  <c r="N53" i="85"/>
  <c r="F53" i="85"/>
  <c r="F52" i="85"/>
  <c r="K49" i="85"/>
  <c r="F48" i="85"/>
  <c r="O52" i="85" s="1"/>
  <c r="E48" i="85"/>
  <c r="N52" i="85" s="1"/>
  <c r="D48" i="85"/>
  <c r="M52" i="85" s="1"/>
  <c r="M47" i="85"/>
  <c r="F33" i="85"/>
  <c r="N27" i="85"/>
  <c r="L27" i="85"/>
  <c r="K27" i="85"/>
  <c r="D27" i="85"/>
  <c r="N26" i="85"/>
  <c r="L26" i="85"/>
  <c r="K26" i="85"/>
  <c r="L25" i="85"/>
  <c r="N25" i="85" s="1"/>
  <c r="K25" i="85"/>
  <c r="C25" i="85"/>
  <c r="K24" i="85"/>
  <c r="N24" i="85" s="1"/>
  <c r="C24" i="85"/>
  <c r="M19" i="85"/>
  <c r="C118" i="85" s="1"/>
  <c r="L19" i="85"/>
  <c r="M18" i="85"/>
  <c r="B118" i="85" s="1"/>
  <c r="B14" i="74" s="1"/>
  <c r="L18" i="85"/>
  <c r="D17" i="85"/>
  <c r="C17" i="85"/>
  <c r="L4" i="85"/>
  <c r="K4" i="85"/>
  <c r="A2" i="85"/>
  <c r="H1" i="85"/>
  <c r="R524" i="84"/>
  <c r="S524" i="84" s="1"/>
  <c r="Q524" i="84"/>
  <c r="O524" i="84"/>
  <c r="M524" i="84"/>
  <c r="K524" i="84"/>
  <c r="I524" i="84"/>
  <c r="G524" i="84"/>
  <c r="E524" i="84"/>
  <c r="C524" i="84"/>
  <c r="S523" i="84"/>
  <c r="R523" i="84"/>
  <c r="Q523" i="84"/>
  <c r="O523" i="84"/>
  <c r="M523" i="84"/>
  <c r="K523" i="84"/>
  <c r="I523" i="84"/>
  <c r="G523" i="84"/>
  <c r="E523" i="84"/>
  <c r="C523" i="84"/>
  <c r="S522" i="84"/>
  <c r="R522" i="84"/>
  <c r="Q522" i="84"/>
  <c r="O522" i="84"/>
  <c r="M522" i="84"/>
  <c r="K522" i="84"/>
  <c r="I522" i="84"/>
  <c r="G522" i="84"/>
  <c r="E522" i="84"/>
  <c r="C522" i="84"/>
  <c r="S521" i="84"/>
  <c r="R521" i="84"/>
  <c r="Q521" i="84"/>
  <c r="O521" i="84"/>
  <c r="M521" i="84"/>
  <c r="K521" i="84"/>
  <c r="I521" i="84"/>
  <c r="G521" i="84"/>
  <c r="E521" i="84"/>
  <c r="C521" i="84"/>
  <c r="S520" i="84"/>
  <c r="R520" i="84"/>
  <c r="Q520" i="84"/>
  <c r="O520" i="84"/>
  <c r="M520" i="84"/>
  <c r="K520" i="84"/>
  <c r="I520" i="84"/>
  <c r="G520" i="84"/>
  <c r="E520" i="84"/>
  <c r="C520" i="84"/>
  <c r="S519" i="84"/>
  <c r="R519" i="84"/>
  <c r="Q519" i="84"/>
  <c r="O519" i="84"/>
  <c r="M519" i="84"/>
  <c r="K519" i="84"/>
  <c r="I519" i="84"/>
  <c r="G519" i="84"/>
  <c r="E519" i="84"/>
  <c r="C519" i="84"/>
  <c r="S518" i="84"/>
  <c r="R518" i="84"/>
  <c r="Q518" i="84"/>
  <c r="O518" i="84"/>
  <c r="M518" i="84"/>
  <c r="K518" i="84"/>
  <c r="I518" i="84"/>
  <c r="G518" i="84"/>
  <c r="E518" i="84"/>
  <c r="C518" i="84"/>
  <c r="S517" i="84"/>
  <c r="R517" i="84"/>
  <c r="Q517" i="84"/>
  <c r="O517" i="84"/>
  <c r="M517" i="84"/>
  <c r="K517" i="84"/>
  <c r="I517" i="84"/>
  <c r="G517" i="84"/>
  <c r="E517" i="84"/>
  <c r="C517" i="84"/>
  <c r="S516" i="84"/>
  <c r="R516" i="84"/>
  <c r="Q516" i="84"/>
  <c r="O516" i="84"/>
  <c r="M516" i="84"/>
  <c r="K516" i="84"/>
  <c r="I516" i="84"/>
  <c r="G516" i="84"/>
  <c r="E516" i="84"/>
  <c r="C516" i="84"/>
  <c r="S515" i="84"/>
  <c r="R515" i="84"/>
  <c r="Q515" i="84"/>
  <c r="O515" i="84"/>
  <c r="M515" i="84"/>
  <c r="K515" i="84"/>
  <c r="I515" i="84"/>
  <c r="G515" i="84"/>
  <c r="E515" i="84"/>
  <c r="C515" i="84"/>
  <c r="S514" i="84"/>
  <c r="R514" i="84"/>
  <c r="Q514" i="84"/>
  <c r="O514" i="84"/>
  <c r="M514" i="84"/>
  <c r="K514" i="84"/>
  <c r="I514" i="84"/>
  <c r="G514" i="84"/>
  <c r="E514" i="84"/>
  <c r="C514" i="84"/>
  <c r="S513" i="84"/>
  <c r="R513" i="84"/>
  <c r="Q513" i="84"/>
  <c r="O513" i="84"/>
  <c r="M513" i="84"/>
  <c r="K513" i="84"/>
  <c r="I513" i="84"/>
  <c r="G513" i="84"/>
  <c r="E513" i="84"/>
  <c r="C513" i="84"/>
  <c r="S512" i="84"/>
  <c r="R512" i="84"/>
  <c r="Q512" i="84"/>
  <c r="O512" i="84"/>
  <c r="M512" i="84"/>
  <c r="K512" i="84"/>
  <c r="I512" i="84"/>
  <c r="G512" i="84"/>
  <c r="E512" i="84"/>
  <c r="C512" i="84"/>
  <c r="S511" i="84"/>
  <c r="R511" i="84"/>
  <c r="Q511" i="84"/>
  <c r="O511" i="84"/>
  <c r="M511" i="84"/>
  <c r="K511" i="84"/>
  <c r="I511" i="84"/>
  <c r="G511" i="84"/>
  <c r="E511" i="84"/>
  <c r="C511" i="84"/>
  <c r="S510" i="84"/>
  <c r="R510" i="84"/>
  <c r="Q510" i="84"/>
  <c r="O510" i="84"/>
  <c r="M510" i="84"/>
  <c r="K510" i="84"/>
  <c r="I510" i="84"/>
  <c r="G510" i="84"/>
  <c r="E510" i="84"/>
  <c r="C510" i="84"/>
  <c r="S509" i="84"/>
  <c r="R509" i="84"/>
  <c r="Q509" i="84"/>
  <c r="O509" i="84"/>
  <c r="M509" i="84"/>
  <c r="K509" i="84"/>
  <c r="I509" i="84"/>
  <c r="G509" i="84"/>
  <c r="E509" i="84"/>
  <c r="C509" i="84"/>
  <c r="S508" i="84"/>
  <c r="R508" i="84"/>
  <c r="Q508" i="84"/>
  <c r="O508" i="84"/>
  <c r="M508" i="84"/>
  <c r="K508" i="84"/>
  <c r="I508" i="84"/>
  <c r="G508" i="84"/>
  <c r="E508" i="84"/>
  <c r="C508" i="84"/>
  <c r="S507" i="84"/>
  <c r="R507" i="84"/>
  <c r="Q507" i="84"/>
  <c r="O507" i="84"/>
  <c r="M507" i="84"/>
  <c r="K507" i="84"/>
  <c r="I507" i="84"/>
  <c r="G507" i="84"/>
  <c r="E507" i="84"/>
  <c r="C507" i="84"/>
  <c r="S506" i="84"/>
  <c r="R506" i="84"/>
  <c r="Q506" i="84"/>
  <c r="O506" i="84"/>
  <c r="M506" i="84"/>
  <c r="K506" i="84"/>
  <c r="I506" i="84"/>
  <c r="G506" i="84"/>
  <c r="E506" i="84"/>
  <c r="C506" i="84"/>
  <c r="S505" i="84"/>
  <c r="R505" i="84"/>
  <c r="Q505" i="84"/>
  <c r="O505" i="84"/>
  <c r="M505" i="84"/>
  <c r="K505" i="84"/>
  <c r="I505" i="84"/>
  <c r="G505" i="84"/>
  <c r="E505" i="84"/>
  <c r="C505" i="84"/>
  <c r="S504" i="84"/>
  <c r="R504" i="84"/>
  <c r="Q504" i="84"/>
  <c r="O504" i="84"/>
  <c r="M504" i="84"/>
  <c r="K504" i="84"/>
  <c r="I504" i="84"/>
  <c r="G504" i="84"/>
  <c r="E504" i="84"/>
  <c r="C504" i="84"/>
  <c r="S503" i="84"/>
  <c r="R503" i="84"/>
  <c r="Q503" i="84"/>
  <c r="O503" i="84"/>
  <c r="M503" i="84"/>
  <c r="K503" i="84"/>
  <c r="I503" i="84"/>
  <c r="G503" i="84"/>
  <c r="E503" i="84"/>
  <c r="C503" i="84"/>
  <c r="S502" i="84"/>
  <c r="R502" i="84"/>
  <c r="Q502" i="84"/>
  <c r="O502" i="84"/>
  <c r="M502" i="84"/>
  <c r="K502" i="84"/>
  <c r="I502" i="84"/>
  <c r="G502" i="84"/>
  <c r="E502" i="84"/>
  <c r="C502" i="84"/>
  <c r="S501" i="84"/>
  <c r="R501" i="84"/>
  <c r="Q501" i="84"/>
  <c r="O501" i="84"/>
  <c r="M501" i="84"/>
  <c r="K501" i="84"/>
  <c r="I501" i="84"/>
  <c r="G501" i="84"/>
  <c r="E501" i="84"/>
  <c r="C501" i="84"/>
  <c r="S500" i="84"/>
  <c r="R500" i="84"/>
  <c r="Q500" i="84"/>
  <c r="O500" i="84"/>
  <c r="M500" i="84"/>
  <c r="K500" i="84"/>
  <c r="I500" i="84"/>
  <c r="G500" i="84"/>
  <c r="E500" i="84"/>
  <c r="C500" i="84"/>
  <c r="S499" i="84"/>
  <c r="R499" i="84"/>
  <c r="Q499" i="84"/>
  <c r="O499" i="84"/>
  <c r="M499" i="84"/>
  <c r="K499" i="84"/>
  <c r="I499" i="84"/>
  <c r="G499" i="84"/>
  <c r="E499" i="84"/>
  <c r="C499" i="84"/>
  <c r="S498" i="84"/>
  <c r="R498" i="84"/>
  <c r="Q498" i="84"/>
  <c r="O498" i="84"/>
  <c r="M498" i="84"/>
  <c r="K498" i="84"/>
  <c r="I498" i="84"/>
  <c r="G498" i="84"/>
  <c r="E498" i="84"/>
  <c r="C498" i="84"/>
  <c r="S497" i="84"/>
  <c r="R497" i="84"/>
  <c r="Q497" i="84"/>
  <c r="O497" i="84"/>
  <c r="M497" i="84"/>
  <c r="K497" i="84"/>
  <c r="I497" i="84"/>
  <c r="G497" i="84"/>
  <c r="E497" i="84"/>
  <c r="C497" i="84"/>
  <c r="S496" i="84"/>
  <c r="R496" i="84"/>
  <c r="Q496" i="84"/>
  <c r="O496" i="84"/>
  <c r="M496" i="84"/>
  <c r="K496" i="84"/>
  <c r="I496" i="84"/>
  <c r="G496" i="84"/>
  <c r="E496" i="84"/>
  <c r="C496" i="84"/>
  <c r="S495" i="84"/>
  <c r="R495" i="84"/>
  <c r="Q495" i="84"/>
  <c r="O495" i="84"/>
  <c r="M495" i="84"/>
  <c r="K495" i="84"/>
  <c r="I495" i="84"/>
  <c r="G495" i="84"/>
  <c r="E495" i="84"/>
  <c r="C495" i="84"/>
  <c r="S494" i="84"/>
  <c r="R494" i="84"/>
  <c r="Q494" i="84"/>
  <c r="O494" i="84"/>
  <c r="M494" i="84"/>
  <c r="K494" i="84"/>
  <c r="I494" i="84"/>
  <c r="G494" i="84"/>
  <c r="E494" i="84"/>
  <c r="C494" i="84"/>
  <c r="S493" i="84"/>
  <c r="R493" i="84"/>
  <c r="Q493" i="84"/>
  <c r="O493" i="84"/>
  <c r="M493" i="84"/>
  <c r="K493" i="84"/>
  <c r="I493" i="84"/>
  <c r="G493" i="84"/>
  <c r="E493" i="84"/>
  <c r="C493" i="84"/>
  <c r="S492" i="84"/>
  <c r="R492" i="84"/>
  <c r="Q492" i="84"/>
  <c r="O492" i="84"/>
  <c r="M492" i="84"/>
  <c r="K492" i="84"/>
  <c r="I492" i="84"/>
  <c r="G492" i="84"/>
  <c r="E492" i="84"/>
  <c r="C492" i="84"/>
  <c r="S491" i="84"/>
  <c r="R491" i="84"/>
  <c r="Q491" i="84"/>
  <c r="O491" i="84"/>
  <c r="M491" i="84"/>
  <c r="K491" i="84"/>
  <c r="I491" i="84"/>
  <c r="G491" i="84"/>
  <c r="E491" i="84"/>
  <c r="C491" i="84"/>
  <c r="S490" i="84"/>
  <c r="R490" i="84"/>
  <c r="Q490" i="84"/>
  <c r="O490" i="84"/>
  <c r="M490" i="84"/>
  <c r="K490" i="84"/>
  <c r="I490" i="84"/>
  <c r="G490" i="84"/>
  <c r="E490" i="84"/>
  <c r="C490" i="84"/>
  <c r="S489" i="84"/>
  <c r="R489" i="84"/>
  <c r="Q489" i="84"/>
  <c r="O489" i="84"/>
  <c r="M489" i="84"/>
  <c r="K489" i="84"/>
  <c r="I489" i="84"/>
  <c r="G489" i="84"/>
  <c r="E489" i="84"/>
  <c r="C489" i="84"/>
  <c r="S488" i="84"/>
  <c r="R488" i="84"/>
  <c r="Q488" i="84"/>
  <c r="O488" i="84"/>
  <c r="M488" i="84"/>
  <c r="K488" i="84"/>
  <c r="I488" i="84"/>
  <c r="G488" i="84"/>
  <c r="E488" i="84"/>
  <c r="C488" i="84"/>
  <c r="S487" i="84"/>
  <c r="R487" i="84"/>
  <c r="Q487" i="84"/>
  <c r="O487" i="84"/>
  <c r="M487" i="84"/>
  <c r="K487" i="84"/>
  <c r="I487" i="84"/>
  <c r="G487" i="84"/>
  <c r="E487" i="84"/>
  <c r="C487" i="84"/>
  <c r="S486" i="84"/>
  <c r="R486" i="84"/>
  <c r="Q486" i="84"/>
  <c r="O486" i="84"/>
  <c r="M486" i="84"/>
  <c r="K486" i="84"/>
  <c r="I486" i="84"/>
  <c r="G486" i="84"/>
  <c r="E486" i="84"/>
  <c r="C486" i="84"/>
  <c r="S485" i="84"/>
  <c r="R485" i="84"/>
  <c r="Q485" i="84"/>
  <c r="O485" i="84"/>
  <c r="M485" i="84"/>
  <c r="K485" i="84"/>
  <c r="I485" i="84"/>
  <c r="G485" i="84"/>
  <c r="E485" i="84"/>
  <c r="C485" i="84"/>
  <c r="S484" i="84"/>
  <c r="R484" i="84"/>
  <c r="Q484" i="84"/>
  <c r="O484" i="84"/>
  <c r="M484" i="84"/>
  <c r="K484" i="84"/>
  <c r="I484" i="84"/>
  <c r="G484" i="84"/>
  <c r="E484" i="84"/>
  <c r="C484" i="84"/>
  <c r="S483" i="84"/>
  <c r="R483" i="84"/>
  <c r="Q483" i="84"/>
  <c r="O483" i="84"/>
  <c r="M483" i="84"/>
  <c r="K483" i="84"/>
  <c r="I483" i="84"/>
  <c r="G483" i="84"/>
  <c r="E483" i="84"/>
  <c r="C483" i="84"/>
  <c r="S482" i="84"/>
  <c r="R482" i="84"/>
  <c r="Q482" i="84"/>
  <c r="O482" i="84"/>
  <c r="M482" i="84"/>
  <c r="K482" i="84"/>
  <c r="I482" i="84"/>
  <c r="G482" i="84"/>
  <c r="E482" i="84"/>
  <c r="C482" i="84"/>
  <c r="S481" i="84"/>
  <c r="R481" i="84"/>
  <c r="Q481" i="84"/>
  <c r="O481" i="84"/>
  <c r="M481" i="84"/>
  <c r="K481" i="84"/>
  <c r="I481" i="84"/>
  <c r="G481" i="84"/>
  <c r="E481" i="84"/>
  <c r="C481" i="84"/>
  <c r="S480" i="84"/>
  <c r="R480" i="84"/>
  <c r="Q480" i="84"/>
  <c r="O480" i="84"/>
  <c r="M480" i="84"/>
  <c r="K480" i="84"/>
  <c r="I480" i="84"/>
  <c r="G480" i="84"/>
  <c r="E480" i="84"/>
  <c r="C480" i="84"/>
  <c r="S479" i="84"/>
  <c r="R479" i="84"/>
  <c r="Q479" i="84"/>
  <c r="O479" i="84"/>
  <c r="M479" i="84"/>
  <c r="K479" i="84"/>
  <c r="I479" i="84"/>
  <c r="G479" i="84"/>
  <c r="E479" i="84"/>
  <c r="C479" i="84"/>
  <c r="S478" i="84"/>
  <c r="R478" i="84"/>
  <c r="Q478" i="84"/>
  <c r="O478" i="84"/>
  <c r="M478" i="84"/>
  <c r="K478" i="84"/>
  <c r="I478" i="84"/>
  <c r="G478" i="84"/>
  <c r="E478" i="84"/>
  <c r="C478" i="84"/>
  <c r="S477" i="84"/>
  <c r="R477" i="84"/>
  <c r="Q477" i="84"/>
  <c r="O477" i="84"/>
  <c r="M477" i="84"/>
  <c r="K477" i="84"/>
  <c r="I477" i="84"/>
  <c r="G477" i="84"/>
  <c r="E477" i="84"/>
  <c r="C477" i="84"/>
  <c r="S476" i="84"/>
  <c r="R476" i="84"/>
  <c r="Q476" i="84"/>
  <c r="O476" i="84"/>
  <c r="M476" i="84"/>
  <c r="K476" i="84"/>
  <c r="I476" i="84"/>
  <c r="G476" i="84"/>
  <c r="E476" i="84"/>
  <c r="C476" i="84"/>
  <c r="S475" i="84"/>
  <c r="R475" i="84"/>
  <c r="Q475" i="84"/>
  <c r="O475" i="84"/>
  <c r="M475" i="84"/>
  <c r="K475" i="84"/>
  <c r="I475" i="84"/>
  <c r="G475" i="84"/>
  <c r="E475" i="84"/>
  <c r="C475" i="84"/>
  <c r="S474" i="84"/>
  <c r="R474" i="84"/>
  <c r="Q474" i="84"/>
  <c r="O474" i="84"/>
  <c r="M474" i="84"/>
  <c r="K474" i="84"/>
  <c r="I474" i="84"/>
  <c r="G474" i="84"/>
  <c r="E474" i="84"/>
  <c r="C474" i="84"/>
  <c r="S473" i="84"/>
  <c r="R473" i="84"/>
  <c r="Q473" i="84"/>
  <c r="O473" i="84"/>
  <c r="M473" i="84"/>
  <c r="K473" i="84"/>
  <c r="I473" i="84"/>
  <c r="G473" i="84"/>
  <c r="E473" i="84"/>
  <c r="C473" i="84"/>
  <c r="S472" i="84"/>
  <c r="R472" i="84"/>
  <c r="Q472" i="84"/>
  <c r="O472" i="84"/>
  <c r="M472" i="84"/>
  <c r="K472" i="84"/>
  <c r="I472" i="84"/>
  <c r="G472" i="84"/>
  <c r="E472" i="84"/>
  <c r="C472" i="84"/>
  <c r="S471" i="84"/>
  <c r="R471" i="84"/>
  <c r="Q471" i="84"/>
  <c r="O471" i="84"/>
  <c r="M471" i="84"/>
  <c r="K471" i="84"/>
  <c r="I471" i="84"/>
  <c r="G471" i="84"/>
  <c r="E471" i="84"/>
  <c r="C471" i="84"/>
  <c r="S470" i="84"/>
  <c r="R470" i="84"/>
  <c r="Q470" i="84"/>
  <c r="O470" i="84"/>
  <c r="M470" i="84"/>
  <c r="K470" i="84"/>
  <c r="I470" i="84"/>
  <c r="G470" i="84"/>
  <c r="E470" i="84"/>
  <c r="C470" i="84"/>
  <c r="S469" i="84"/>
  <c r="R469" i="84"/>
  <c r="Q469" i="84"/>
  <c r="O469" i="84"/>
  <c r="M469" i="84"/>
  <c r="K469" i="84"/>
  <c r="I469" i="84"/>
  <c r="G469" i="84"/>
  <c r="E469" i="84"/>
  <c r="C469" i="84"/>
  <c r="S468" i="84"/>
  <c r="R468" i="84"/>
  <c r="Q468" i="84"/>
  <c r="O468" i="84"/>
  <c r="M468" i="84"/>
  <c r="K468" i="84"/>
  <c r="I468" i="84"/>
  <c r="G468" i="84"/>
  <c r="E468" i="84"/>
  <c r="C468" i="84"/>
  <c r="S467" i="84"/>
  <c r="R467" i="84"/>
  <c r="Q467" i="84"/>
  <c r="O467" i="84"/>
  <c r="M467" i="84"/>
  <c r="K467" i="84"/>
  <c r="I467" i="84"/>
  <c r="G467" i="84"/>
  <c r="E467" i="84"/>
  <c r="C467" i="84"/>
  <c r="S466" i="84"/>
  <c r="R466" i="84"/>
  <c r="Q466" i="84"/>
  <c r="O466" i="84"/>
  <c r="M466" i="84"/>
  <c r="K466" i="84"/>
  <c r="I466" i="84"/>
  <c r="G466" i="84"/>
  <c r="E466" i="84"/>
  <c r="C466" i="84"/>
  <c r="S465" i="84"/>
  <c r="R465" i="84"/>
  <c r="Q465" i="84"/>
  <c r="O465" i="84"/>
  <c r="M465" i="84"/>
  <c r="K465" i="84"/>
  <c r="I465" i="84"/>
  <c r="G465" i="84"/>
  <c r="E465" i="84"/>
  <c r="C465" i="84"/>
  <c r="S464" i="84"/>
  <c r="R464" i="84"/>
  <c r="Q464" i="84"/>
  <c r="O464" i="84"/>
  <c r="M464" i="84"/>
  <c r="K464" i="84"/>
  <c r="I464" i="84"/>
  <c r="G464" i="84"/>
  <c r="E464" i="84"/>
  <c r="C464" i="84"/>
  <c r="S463" i="84"/>
  <c r="R463" i="84"/>
  <c r="Q463" i="84"/>
  <c r="O463" i="84"/>
  <c r="M463" i="84"/>
  <c r="K463" i="84"/>
  <c r="I463" i="84"/>
  <c r="G463" i="84"/>
  <c r="E463" i="84"/>
  <c r="C463" i="84"/>
  <c r="S462" i="84"/>
  <c r="R462" i="84"/>
  <c r="Q462" i="84"/>
  <c r="O462" i="84"/>
  <c r="M462" i="84"/>
  <c r="K462" i="84"/>
  <c r="I462" i="84"/>
  <c r="G462" i="84"/>
  <c r="E462" i="84"/>
  <c r="C462" i="84"/>
  <c r="S461" i="84"/>
  <c r="R461" i="84"/>
  <c r="Q461" i="84"/>
  <c r="O461" i="84"/>
  <c r="M461" i="84"/>
  <c r="K461" i="84"/>
  <c r="I461" i="84"/>
  <c r="G461" i="84"/>
  <c r="E461" i="84"/>
  <c r="C461" i="84"/>
  <c r="S460" i="84"/>
  <c r="R460" i="84"/>
  <c r="Q460" i="84"/>
  <c r="O460" i="84"/>
  <c r="M460" i="84"/>
  <c r="K460" i="84"/>
  <c r="I460" i="84"/>
  <c r="G460" i="84"/>
  <c r="E460" i="84"/>
  <c r="C460" i="84"/>
  <c r="S459" i="84"/>
  <c r="R459" i="84"/>
  <c r="Q459" i="84"/>
  <c r="O459" i="84"/>
  <c r="M459" i="84"/>
  <c r="K459" i="84"/>
  <c r="I459" i="84"/>
  <c r="G459" i="84"/>
  <c r="E459" i="84"/>
  <c r="C459" i="84"/>
  <c r="S458" i="84"/>
  <c r="R458" i="84"/>
  <c r="Q458" i="84"/>
  <c r="O458" i="84"/>
  <c r="M458" i="84"/>
  <c r="K458" i="84"/>
  <c r="I458" i="84"/>
  <c r="G458" i="84"/>
  <c r="E458" i="84"/>
  <c r="C458" i="84"/>
  <c r="S457" i="84"/>
  <c r="R457" i="84"/>
  <c r="Q457" i="84"/>
  <c r="O457" i="84"/>
  <c r="M457" i="84"/>
  <c r="K457" i="84"/>
  <c r="I457" i="84"/>
  <c r="G457" i="84"/>
  <c r="E457" i="84"/>
  <c r="C457" i="84"/>
  <c r="S456" i="84"/>
  <c r="R456" i="84"/>
  <c r="Q456" i="84"/>
  <c r="O456" i="84"/>
  <c r="M456" i="84"/>
  <c r="K456" i="84"/>
  <c r="I456" i="84"/>
  <c r="G456" i="84"/>
  <c r="E456" i="84"/>
  <c r="C456" i="84"/>
  <c r="S455" i="84"/>
  <c r="R455" i="84"/>
  <c r="Q455" i="84"/>
  <c r="O455" i="84"/>
  <c r="M455" i="84"/>
  <c r="K455" i="84"/>
  <c r="I455" i="84"/>
  <c r="G455" i="84"/>
  <c r="E455" i="84"/>
  <c r="C455" i="84"/>
  <c r="S454" i="84"/>
  <c r="R454" i="84"/>
  <c r="Q454" i="84"/>
  <c r="O454" i="84"/>
  <c r="M454" i="84"/>
  <c r="K454" i="84"/>
  <c r="I454" i="84"/>
  <c r="G454" i="84"/>
  <c r="E454" i="84"/>
  <c r="C454" i="84"/>
  <c r="S453" i="84"/>
  <c r="R453" i="84"/>
  <c r="Q453" i="84"/>
  <c r="O453" i="84"/>
  <c r="M453" i="84"/>
  <c r="K453" i="84"/>
  <c r="I453" i="84"/>
  <c r="G453" i="84"/>
  <c r="E453" i="84"/>
  <c r="C453" i="84"/>
  <c r="S452" i="84"/>
  <c r="R452" i="84"/>
  <c r="Q452" i="84"/>
  <c r="O452" i="84"/>
  <c r="M452" i="84"/>
  <c r="K452" i="84"/>
  <c r="I452" i="84"/>
  <c r="G452" i="84"/>
  <c r="E452" i="84"/>
  <c r="C452" i="84"/>
  <c r="S451" i="84"/>
  <c r="R451" i="84"/>
  <c r="Q451" i="84"/>
  <c r="O451" i="84"/>
  <c r="M451" i="84"/>
  <c r="K451" i="84"/>
  <c r="I451" i="84"/>
  <c r="G451" i="84"/>
  <c r="E451" i="84"/>
  <c r="C451" i="84"/>
  <c r="S450" i="84"/>
  <c r="R450" i="84"/>
  <c r="Q450" i="84"/>
  <c r="O450" i="84"/>
  <c r="M450" i="84"/>
  <c r="K450" i="84"/>
  <c r="I450" i="84"/>
  <c r="G450" i="84"/>
  <c r="E450" i="84"/>
  <c r="C450" i="84"/>
  <c r="S449" i="84"/>
  <c r="R449" i="84"/>
  <c r="Q449" i="84"/>
  <c r="O449" i="84"/>
  <c r="M449" i="84"/>
  <c r="K449" i="84"/>
  <c r="I449" i="84"/>
  <c r="G449" i="84"/>
  <c r="E449" i="84"/>
  <c r="C449" i="84"/>
  <c r="S448" i="84"/>
  <c r="R448" i="84"/>
  <c r="Q448" i="84"/>
  <c r="O448" i="84"/>
  <c r="M448" i="84"/>
  <c r="K448" i="84"/>
  <c r="I448" i="84"/>
  <c r="G448" i="84"/>
  <c r="E448" i="84"/>
  <c r="C448" i="84"/>
  <c r="S447" i="84"/>
  <c r="R447" i="84"/>
  <c r="Q447" i="84"/>
  <c r="O447" i="84"/>
  <c r="M447" i="84"/>
  <c r="K447" i="84"/>
  <c r="I447" i="84"/>
  <c r="G447" i="84"/>
  <c r="E447" i="84"/>
  <c r="C447" i="84"/>
  <c r="S446" i="84"/>
  <c r="R446" i="84"/>
  <c r="Q446" i="84"/>
  <c r="O446" i="84"/>
  <c r="M446" i="84"/>
  <c r="K446" i="84"/>
  <c r="I446" i="84"/>
  <c r="G446" i="84"/>
  <c r="E446" i="84"/>
  <c r="C446" i="84"/>
  <c r="S445" i="84"/>
  <c r="R445" i="84"/>
  <c r="Q445" i="84"/>
  <c r="O445" i="84"/>
  <c r="M445" i="84"/>
  <c r="K445" i="84"/>
  <c r="I445" i="84"/>
  <c r="G445" i="84"/>
  <c r="E445" i="84"/>
  <c r="C445" i="84"/>
  <c r="S444" i="84"/>
  <c r="R444" i="84"/>
  <c r="Q444" i="84"/>
  <c r="O444" i="84"/>
  <c r="M444" i="84"/>
  <c r="K444" i="84"/>
  <c r="I444" i="84"/>
  <c r="G444" i="84"/>
  <c r="E444" i="84"/>
  <c r="C444" i="84"/>
  <c r="S443" i="84"/>
  <c r="R443" i="84"/>
  <c r="Q443" i="84"/>
  <c r="O443" i="84"/>
  <c r="M443" i="84"/>
  <c r="K443" i="84"/>
  <c r="I443" i="84"/>
  <c r="G443" i="84"/>
  <c r="E443" i="84"/>
  <c r="C443" i="84"/>
  <c r="S442" i="84"/>
  <c r="R442" i="84"/>
  <c r="Q442" i="84"/>
  <c r="O442" i="84"/>
  <c r="M442" i="84"/>
  <c r="K442" i="84"/>
  <c r="I442" i="84"/>
  <c r="G442" i="84"/>
  <c r="E442" i="84"/>
  <c r="C442" i="84"/>
  <c r="S441" i="84"/>
  <c r="R441" i="84"/>
  <c r="Q441" i="84"/>
  <c r="O441" i="84"/>
  <c r="M441" i="84"/>
  <c r="K441" i="84"/>
  <c r="I441" i="84"/>
  <c r="G441" i="84"/>
  <c r="E441" i="84"/>
  <c r="C441" i="84"/>
  <c r="S440" i="84"/>
  <c r="R440" i="84"/>
  <c r="Q440" i="84"/>
  <c r="O440" i="84"/>
  <c r="M440" i="84"/>
  <c r="K440" i="84"/>
  <c r="I440" i="84"/>
  <c r="G440" i="84"/>
  <c r="E440" i="84"/>
  <c r="C440" i="84"/>
  <c r="S439" i="84"/>
  <c r="R439" i="84"/>
  <c r="Q439" i="84"/>
  <c r="O439" i="84"/>
  <c r="M439" i="84"/>
  <c r="K439" i="84"/>
  <c r="I439" i="84"/>
  <c r="G439" i="84"/>
  <c r="E439" i="84"/>
  <c r="C439" i="84"/>
  <c r="S438" i="84"/>
  <c r="R438" i="84"/>
  <c r="Q438" i="84"/>
  <c r="O438" i="84"/>
  <c r="M438" i="84"/>
  <c r="K438" i="84"/>
  <c r="I438" i="84"/>
  <c r="G438" i="84"/>
  <c r="E438" i="84"/>
  <c r="C438" i="84"/>
  <c r="S437" i="84"/>
  <c r="R437" i="84"/>
  <c r="Q437" i="84"/>
  <c r="O437" i="84"/>
  <c r="M437" i="84"/>
  <c r="K437" i="84"/>
  <c r="I437" i="84"/>
  <c r="G437" i="84"/>
  <c r="E437" i="84"/>
  <c r="C437" i="84"/>
  <c r="S436" i="84"/>
  <c r="R436" i="84"/>
  <c r="Q436" i="84"/>
  <c r="O436" i="84"/>
  <c r="M436" i="84"/>
  <c r="K436" i="84"/>
  <c r="I436" i="84"/>
  <c r="G436" i="84"/>
  <c r="E436" i="84"/>
  <c r="C436" i="84"/>
  <c r="S435" i="84"/>
  <c r="R435" i="84"/>
  <c r="Q435" i="84"/>
  <c r="O435" i="84"/>
  <c r="M435" i="84"/>
  <c r="K435" i="84"/>
  <c r="I435" i="84"/>
  <c r="G435" i="84"/>
  <c r="E435" i="84"/>
  <c r="C435" i="84"/>
  <c r="S434" i="84"/>
  <c r="R434" i="84"/>
  <c r="Q434" i="84"/>
  <c r="O434" i="84"/>
  <c r="M434" i="84"/>
  <c r="K434" i="84"/>
  <c r="I434" i="84"/>
  <c r="G434" i="84"/>
  <c r="E434" i="84"/>
  <c r="C434" i="84"/>
  <c r="S433" i="84"/>
  <c r="R433" i="84"/>
  <c r="Q433" i="84"/>
  <c r="O433" i="84"/>
  <c r="M433" i="84"/>
  <c r="K433" i="84"/>
  <c r="I433" i="84"/>
  <c r="G433" i="84"/>
  <c r="E433" i="84"/>
  <c r="C433" i="84"/>
  <c r="S432" i="84"/>
  <c r="R432" i="84"/>
  <c r="Q432" i="84"/>
  <c r="O432" i="84"/>
  <c r="M432" i="84"/>
  <c r="K432" i="84"/>
  <c r="I432" i="84"/>
  <c r="G432" i="84"/>
  <c r="E432" i="84"/>
  <c r="C432" i="84"/>
  <c r="S431" i="84"/>
  <c r="R431" i="84"/>
  <c r="Q431" i="84"/>
  <c r="O431" i="84"/>
  <c r="M431" i="84"/>
  <c r="K431" i="84"/>
  <c r="I431" i="84"/>
  <c r="G431" i="84"/>
  <c r="E431" i="84"/>
  <c r="C431" i="84"/>
  <c r="S430" i="84"/>
  <c r="R430" i="84"/>
  <c r="Q430" i="84"/>
  <c r="O430" i="84"/>
  <c r="M430" i="84"/>
  <c r="K430" i="84"/>
  <c r="I430" i="84"/>
  <c r="G430" i="84"/>
  <c r="E430" i="84"/>
  <c r="C430" i="84"/>
  <c r="S429" i="84"/>
  <c r="R429" i="84"/>
  <c r="Q429" i="84"/>
  <c r="O429" i="84"/>
  <c r="M429" i="84"/>
  <c r="K429" i="84"/>
  <c r="I429" i="84"/>
  <c r="G429" i="84"/>
  <c r="E429" i="84"/>
  <c r="C429" i="84"/>
  <c r="S428" i="84"/>
  <c r="R428" i="84"/>
  <c r="Q428" i="84"/>
  <c r="O428" i="84"/>
  <c r="M428" i="84"/>
  <c r="K428" i="84"/>
  <c r="I428" i="84"/>
  <c r="G428" i="84"/>
  <c r="E428" i="84"/>
  <c r="C428" i="84"/>
  <c r="S427" i="84"/>
  <c r="R427" i="84"/>
  <c r="Q427" i="84"/>
  <c r="O427" i="84"/>
  <c r="M427" i="84"/>
  <c r="K427" i="84"/>
  <c r="I427" i="84"/>
  <c r="G427" i="84"/>
  <c r="E427" i="84"/>
  <c r="C427" i="84"/>
  <c r="S426" i="84"/>
  <c r="R426" i="84"/>
  <c r="Q426" i="84"/>
  <c r="O426" i="84"/>
  <c r="M426" i="84"/>
  <c r="K426" i="84"/>
  <c r="I426" i="84"/>
  <c r="G426" i="84"/>
  <c r="E426" i="84"/>
  <c r="C426" i="84"/>
  <c r="S425" i="84"/>
  <c r="R425" i="84"/>
  <c r="Q425" i="84"/>
  <c r="O425" i="84"/>
  <c r="M425" i="84"/>
  <c r="K425" i="84"/>
  <c r="I425" i="84"/>
  <c r="G425" i="84"/>
  <c r="E425" i="84"/>
  <c r="C425" i="84"/>
  <c r="S424" i="84"/>
  <c r="R424" i="84"/>
  <c r="Q424" i="84"/>
  <c r="O424" i="84"/>
  <c r="M424" i="84"/>
  <c r="K424" i="84"/>
  <c r="I424" i="84"/>
  <c r="G424" i="84"/>
  <c r="E424" i="84"/>
  <c r="C424" i="84"/>
  <c r="S423" i="84"/>
  <c r="R423" i="84"/>
  <c r="Q423" i="84"/>
  <c r="O423" i="84"/>
  <c r="M423" i="84"/>
  <c r="K423" i="84"/>
  <c r="I423" i="84"/>
  <c r="G423" i="84"/>
  <c r="E423" i="84"/>
  <c r="C423" i="84"/>
  <c r="S422" i="84"/>
  <c r="R422" i="84"/>
  <c r="Q422" i="84"/>
  <c r="O422" i="84"/>
  <c r="M422" i="84"/>
  <c r="K422" i="84"/>
  <c r="I422" i="84"/>
  <c r="G422" i="84"/>
  <c r="E422" i="84"/>
  <c r="C422" i="84"/>
  <c r="S421" i="84"/>
  <c r="R421" i="84"/>
  <c r="Q421" i="84"/>
  <c r="O421" i="84"/>
  <c r="M421" i="84"/>
  <c r="K421" i="84"/>
  <c r="I421" i="84"/>
  <c r="G421" i="84"/>
  <c r="E421" i="84"/>
  <c r="C421" i="84"/>
  <c r="S420" i="84"/>
  <c r="R420" i="84"/>
  <c r="Q420" i="84"/>
  <c r="O420" i="84"/>
  <c r="M420" i="84"/>
  <c r="K420" i="84"/>
  <c r="I420" i="84"/>
  <c r="G420" i="84"/>
  <c r="E420" i="84"/>
  <c r="C420" i="84"/>
  <c r="S419" i="84"/>
  <c r="R419" i="84"/>
  <c r="Q419" i="84"/>
  <c r="O419" i="84"/>
  <c r="M419" i="84"/>
  <c r="K419" i="84"/>
  <c r="I419" i="84"/>
  <c r="G419" i="84"/>
  <c r="E419" i="84"/>
  <c r="C419" i="84"/>
  <c r="S418" i="84"/>
  <c r="R418" i="84"/>
  <c r="Q418" i="84"/>
  <c r="O418" i="84"/>
  <c r="M418" i="84"/>
  <c r="K418" i="84"/>
  <c r="I418" i="84"/>
  <c r="G418" i="84"/>
  <c r="E418" i="84"/>
  <c r="C418" i="84"/>
  <c r="S417" i="84"/>
  <c r="R417" i="84"/>
  <c r="Q417" i="84"/>
  <c r="O417" i="84"/>
  <c r="M417" i="84"/>
  <c r="K417" i="84"/>
  <c r="I417" i="84"/>
  <c r="G417" i="84"/>
  <c r="E417" i="84"/>
  <c r="C417" i="84"/>
  <c r="S416" i="84"/>
  <c r="R416" i="84"/>
  <c r="Q416" i="84"/>
  <c r="O416" i="84"/>
  <c r="M416" i="84"/>
  <c r="K416" i="84"/>
  <c r="I416" i="84"/>
  <c r="G416" i="84"/>
  <c r="E416" i="84"/>
  <c r="C416" i="84"/>
  <c r="S415" i="84"/>
  <c r="R415" i="84"/>
  <c r="Q415" i="84"/>
  <c r="O415" i="84"/>
  <c r="M415" i="84"/>
  <c r="K415" i="84"/>
  <c r="I415" i="84"/>
  <c r="G415" i="84"/>
  <c r="E415" i="84"/>
  <c r="C415" i="84"/>
  <c r="S414" i="84"/>
  <c r="R414" i="84"/>
  <c r="Q414" i="84"/>
  <c r="O414" i="84"/>
  <c r="M414" i="84"/>
  <c r="K414" i="84"/>
  <c r="I414" i="84"/>
  <c r="G414" i="84"/>
  <c r="E414" i="84"/>
  <c r="C414" i="84"/>
  <c r="S413" i="84"/>
  <c r="R413" i="84"/>
  <c r="Q413" i="84"/>
  <c r="O413" i="84"/>
  <c r="M413" i="84"/>
  <c r="K413" i="84"/>
  <c r="I413" i="84"/>
  <c r="G413" i="84"/>
  <c r="E413" i="84"/>
  <c r="C413" i="84"/>
  <c r="S412" i="84"/>
  <c r="R412" i="84"/>
  <c r="Q412" i="84"/>
  <c r="O412" i="84"/>
  <c r="M412" i="84"/>
  <c r="K412" i="84"/>
  <c r="I412" i="84"/>
  <c r="G412" i="84"/>
  <c r="E412" i="84"/>
  <c r="C412" i="84"/>
  <c r="S411" i="84"/>
  <c r="R411" i="84"/>
  <c r="Q411" i="84"/>
  <c r="O411" i="84"/>
  <c r="M411" i="84"/>
  <c r="K411" i="84"/>
  <c r="I411" i="84"/>
  <c r="G411" i="84"/>
  <c r="E411" i="84"/>
  <c r="C411" i="84"/>
  <c r="S410" i="84"/>
  <c r="R410" i="84"/>
  <c r="Q410" i="84"/>
  <c r="O410" i="84"/>
  <c r="M410" i="84"/>
  <c r="K410" i="84"/>
  <c r="I410" i="84"/>
  <c r="G410" i="84"/>
  <c r="E410" i="84"/>
  <c r="C410" i="84"/>
  <c r="S409" i="84"/>
  <c r="R409" i="84"/>
  <c r="Q409" i="84"/>
  <c r="O409" i="84"/>
  <c r="M409" i="84"/>
  <c r="K409" i="84"/>
  <c r="I409" i="84"/>
  <c r="G409" i="84"/>
  <c r="E409" i="84"/>
  <c r="C409" i="84"/>
  <c r="S408" i="84"/>
  <c r="R408" i="84"/>
  <c r="Q408" i="84"/>
  <c r="O408" i="84"/>
  <c r="M408" i="84"/>
  <c r="K408" i="84"/>
  <c r="I408" i="84"/>
  <c r="G408" i="84"/>
  <c r="E408" i="84"/>
  <c r="C408" i="84"/>
  <c r="S407" i="84"/>
  <c r="R407" i="84"/>
  <c r="Q407" i="84"/>
  <c r="O407" i="84"/>
  <c r="M407" i="84"/>
  <c r="K407" i="84"/>
  <c r="I407" i="84"/>
  <c r="G407" i="84"/>
  <c r="E407" i="84"/>
  <c r="C407" i="84"/>
  <c r="S406" i="84"/>
  <c r="R406" i="84"/>
  <c r="Q406" i="84"/>
  <c r="O406" i="84"/>
  <c r="M406" i="84"/>
  <c r="K406" i="84"/>
  <c r="I406" i="84"/>
  <c r="G406" i="84"/>
  <c r="E406" i="84"/>
  <c r="C406" i="84"/>
  <c r="S405" i="84"/>
  <c r="R405" i="84"/>
  <c r="Q405" i="84"/>
  <c r="O405" i="84"/>
  <c r="M405" i="84"/>
  <c r="K405" i="84"/>
  <c r="I405" i="84"/>
  <c r="G405" i="84"/>
  <c r="E405" i="84"/>
  <c r="C405" i="84"/>
  <c r="S404" i="84"/>
  <c r="R404" i="84"/>
  <c r="Q404" i="84"/>
  <c r="O404" i="84"/>
  <c r="M404" i="84"/>
  <c r="K404" i="84"/>
  <c r="I404" i="84"/>
  <c r="G404" i="84"/>
  <c r="E404" i="84"/>
  <c r="C404" i="84"/>
  <c r="S403" i="84"/>
  <c r="R403" i="84"/>
  <c r="Q403" i="84"/>
  <c r="O403" i="84"/>
  <c r="M403" i="84"/>
  <c r="K403" i="84"/>
  <c r="I403" i="84"/>
  <c r="G403" i="84"/>
  <c r="E403" i="84"/>
  <c r="C403" i="84"/>
  <c r="S402" i="84"/>
  <c r="R402" i="84"/>
  <c r="Q402" i="84"/>
  <c r="O402" i="84"/>
  <c r="M402" i="84"/>
  <c r="K402" i="84"/>
  <c r="I402" i="84"/>
  <c r="G402" i="84"/>
  <c r="E402" i="84"/>
  <c r="C402" i="84"/>
  <c r="S401" i="84"/>
  <c r="R401" i="84"/>
  <c r="Q401" i="84"/>
  <c r="O401" i="84"/>
  <c r="M401" i="84"/>
  <c r="K401" i="84"/>
  <c r="I401" i="84"/>
  <c r="G401" i="84"/>
  <c r="E401" i="84"/>
  <c r="C401" i="84"/>
  <c r="S400" i="84"/>
  <c r="R400" i="84"/>
  <c r="Q400" i="84"/>
  <c r="O400" i="84"/>
  <c r="M400" i="84"/>
  <c r="K400" i="84"/>
  <c r="I400" i="84"/>
  <c r="G400" i="84"/>
  <c r="E400" i="84"/>
  <c r="C400" i="84"/>
  <c r="S399" i="84"/>
  <c r="R399" i="84"/>
  <c r="Q399" i="84"/>
  <c r="O399" i="84"/>
  <c r="M399" i="84"/>
  <c r="K399" i="84"/>
  <c r="I399" i="84"/>
  <c r="G399" i="84"/>
  <c r="E399" i="84"/>
  <c r="C399" i="84"/>
  <c r="S398" i="84"/>
  <c r="R398" i="84"/>
  <c r="Q398" i="84"/>
  <c r="O398" i="84"/>
  <c r="M398" i="84"/>
  <c r="K398" i="84"/>
  <c r="I398" i="84"/>
  <c r="G398" i="84"/>
  <c r="E398" i="84"/>
  <c r="C398" i="84"/>
  <c r="S397" i="84"/>
  <c r="R397" i="84"/>
  <c r="Q397" i="84"/>
  <c r="O397" i="84"/>
  <c r="M397" i="84"/>
  <c r="K397" i="84"/>
  <c r="I397" i="84"/>
  <c r="G397" i="84"/>
  <c r="E397" i="84"/>
  <c r="C397" i="84"/>
  <c r="S396" i="84"/>
  <c r="R396" i="84"/>
  <c r="Q396" i="84"/>
  <c r="O396" i="84"/>
  <c r="M396" i="84"/>
  <c r="K396" i="84"/>
  <c r="I396" i="84"/>
  <c r="G396" i="84"/>
  <c r="E396" i="84"/>
  <c r="C396" i="84"/>
  <c r="S395" i="84"/>
  <c r="R395" i="84"/>
  <c r="Q395" i="84"/>
  <c r="O395" i="84"/>
  <c r="M395" i="84"/>
  <c r="K395" i="84"/>
  <c r="I395" i="84"/>
  <c r="G395" i="84"/>
  <c r="E395" i="84"/>
  <c r="C395" i="84"/>
  <c r="S394" i="84"/>
  <c r="R394" i="84"/>
  <c r="Q394" i="84"/>
  <c r="O394" i="84"/>
  <c r="M394" i="84"/>
  <c r="K394" i="84"/>
  <c r="I394" i="84"/>
  <c r="G394" i="84"/>
  <c r="E394" i="84"/>
  <c r="C394" i="84"/>
  <c r="S393" i="84"/>
  <c r="R393" i="84"/>
  <c r="Q393" i="84"/>
  <c r="O393" i="84"/>
  <c r="M393" i="84"/>
  <c r="K393" i="84"/>
  <c r="I393" i="84"/>
  <c r="G393" i="84"/>
  <c r="E393" i="84"/>
  <c r="C393" i="84"/>
  <c r="S392" i="84"/>
  <c r="R392" i="84"/>
  <c r="Q392" i="84"/>
  <c r="O392" i="84"/>
  <c r="M392" i="84"/>
  <c r="K392" i="84"/>
  <c r="I392" i="84"/>
  <c r="G392" i="84"/>
  <c r="E392" i="84"/>
  <c r="C392" i="84"/>
  <c r="S391" i="84"/>
  <c r="R391" i="84"/>
  <c r="Q391" i="84"/>
  <c r="O391" i="84"/>
  <c r="M391" i="84"/>
  <c r="K391" i="84"/>
  <c r="I391" i="84"/>
  <c r="G391" i="84"/>
  <c r="E391" i="84"/>
  <c r="C391" i="84"/>
  <c r="S390" i="84"/>
  <c r="R390" i="84"/>
  <c r="Q390" i="84"/>
  <c r="O390" i="84"/>
  <c r="M390" i="84"/>
  <c r="K390" i="84"/>
  <c r="I390" i="84"/>
  <c r="G390" i="84"/>
  <c r="E390" i="84"/>
  <c r="C390" i="84"/>
  <c r="S389" i="84"/>
  <c r="R389" i="84"/>
  <c r="Q389" i="84"/>
  <c r="O389" i="84"/>
  <c r="M389" i="84"/>
  <c r="K389" i="84"/>
  <c r="I389" i="84"/>
  <c r="G389" i="84"/>
  <c r="E389" i="84"/>
  <c r="C389" i="84"/>
  <c r="S388" i="84"/>
  <c r="R388" i="84"/>
  <c r="Q388" i="84"/>
  <c r="O388" i="84"/>
  <c r="M388" i="84"/>
  <c r="K388" i="84"/>
  <c r="I388" i="84"/>
  <c r="G388" i="84"/>
  <c r="E388" i="84"/>
  <c r="C388" i="84"/>
  <c r="S387" i="84"/>
  <c r="R387" i="84"/>
  <c r="Q387" i="84"/>
  <c r="O387" i="84"/>
  <c r="M387" i="84"/>
  <c r="K387" i="84"/>
  <c r="I387" i="84"/>
  <c r="G387" i="84"/>
  <c r="E387" i="84"/>
  <c r="C387" i="84"/>
  <c r="S386" i="84"/>
  <c r="R386" i="84"/>
  <c r="Q386" i="84"/>
  <c r="O386" i="84"/>
  <c r="M386" i="84"/>
  <c r="K386" i="84"/>
  <c r="I386" i="84"/>
  <c r="G386" i="84"/>
  <c r="E386" i="84"/>
  <c r="C386" i="84"/>
  <c r="S385" i="84"/>
  <c r="R385" i="84"/>
  <c r="Q385" i="84"/>
  <c r="O385" i="84"/>
  <c r="M385" i="84"/>
  <c r="K385" i="84"/>
  <c r="I385" i="84"/>
  <c r="G385" i="84"/>
  <c r="E385" i="84"/>
  <c r="C385" i="84"/>
  <c r="S384" i="84"/>
  <c r="R384" i="84"/>
  <c r="Q384" i="84"/>
  <c r="O384" i="84"/>
  <c r="M384" i="84"/>
  <c r="K384" i="84"/>
  <c r="I384" i="84"/>
  <c r="G384" i="84"/>
  <c r="E384" i="84"/>
  <c r="C384" i="84"/>
  <c r="S383" i="84"/>
  <c r="R383" i="84"/>
  <c r="Q383" i="84"/>
  <c r="O383" i="84"/>
  <c r="M383" i="84"/>
  <c r="K383" i="84"/>
  <c r="I383" i="84"/>
  <c r="G383" i="84"/>
  <c r="E383" i="84"/>
  <c r="C383" i="84"/>
  <c r="S382" i="84"/>
  <c r="R382" i="84"/>
  <c r="Q382" i="84"/>
  <c r="O382" i="84"/>
  <c r="M382" i="84"/>
  <c r="K382" i="84"/>
  <c r="I382" i="84"/>
  <c r="G382" i="84"/>
  <c r="E382" i="84"/>
  <c r="C382" i="84"/>
  <c r="S381" i="84"/>
  <c r="R381" i="84"/>
  <c r="Q381" i="84"/>
  <c r="O381" i="84"/>
  <c r="M381" i="84"/>
  <c r="K381" i="84"/>
  <c r="I381" i="84"/>
  <c r="G381" i="84"/>
  <c r="E381" i="84"/>
  <c r="C381" i="84"/>
  <c r="S380" i="84"/>
  <c r="R380" i="84"/>
  <c r="Q380" i="84"/>
  <c r="O380" i="84"/>
  <c r="M380" i="84"/>
  <c r="K380" i="84"/>
  <c r="I380" i="84"/>
  <c r="G380" i="84"/>
  <c r="E380" i="84"/>
  <c r="C380" i="84"/>
  <c r="S379" i="84"/>
  <c r="R379" i="84"/>
  <c r="Q379" i="84"/>
  <c r="O379" i="84"/>
  <c r="M379" i="84"/>
  <c r="K379" i="84"/>
  <c r="I379" i="84"/>
  <c r="G379" i="84"/>
  <c r="E379" i="84"/>
  <c r="C379" i="84"/>
  <c r="S378" i="84"/>
  <c r="R378" i="84"/>
  <c r="Q378" i="84"/>
  <c r="O378" i="84"/>
  <c r="M378" i="84"/>
  <c r="K378" i="84"/>
  <c r="I378" i="84"/>
  <c r="G378" i="84"/>
  <c r="E378" i="84"/>
  <c r="C378" i="84"/>
  <c r="S377" i="84"/>
  <c r="R377" i="84"/>
  <c r="Q377" i="84"/>
  <c r="O377" i="84"/>
  <c r="M377" i="84"/>
  <c r="K377" i="84"/>
  <c r="I377" i="84"/>
  <c r="G377" i="84"/>
  <c r="E377" i="84"/>
  <c r="C377" i="84"/>
  <c r="S376" i="84"/>
  <c r="R376" i="84"/>
  <c r="Q376" i="84"/>
  <c r="O376" i="84"/>
  <c r="M376" i="84"/>
  <c r="K376" i="84"/>
  <c r="I376" i="84"/>
  <c r="G376" i="84"/>
  <c r="E376" i="84"/>
  <c r="C376" i="84"/>
  <c r="S375" i="84"/>
  <c r="R375" i="84"/>
  <c r="Q375" i="84"/>
  <c r="O375" i="84"/>
  <c r="M375" i="84"/>
  <c r="K375" i="84"/>
  <c r="I375" i="84"/>
  <c r="G375" i="84"/>
  <c r="E375" i="84"/>
  <c r="C375" i="84"/>
  <c r="S374" i="84"/>
  <c r="R374" i="84"/>
  <c r="Q374" i="84"/>
  <c r="O374" i="84"/>
  <c r="M374" i="84"/>
  <c r="K374" i="84"/>
  <c r="I374" i="84"/>
  <c r="G374" i="84"/>
  <c r="E374" i="84"/>
  <c r="C374" i="84"/>
  <c r="S373" i="84"/>
  <c r="R373" i="84"/>
  <c r="Q373" i="84"/>
  <c r="O373" i="84"/>
  <c r="M373" i="84"/>
  <c r="K373" i="84"/>
  <c r="I373" i="84"/>
  <c r="G373" i="84"/>
  <c r="E373" i="84"/>
  <c r="C373" i="84"/>
  <c r="S372" i="84"/>
  <c r="R372" i="84"/>
  <c r="Q372" i="84"/>
  <c r="O372" i="84"/>
  <c r="M372" i="84"/>
  <c r="K372" i="84"/>
  <c r="I372" i="84"/>
  <c r="G372" i="84"/>
  <c r="E372" i="84"/>
  <c r="C372" i="84"/>
  <c r="S371" i="84"/>
  <c r="R371" i="84"/>
  <c r="Q371" i="84"/>
  <c r="O371" i="84"/>
  <c r="M371" i="84"/>
  <c r="K371" i="84"/>
  <c r="I371" i="84"/>
  <c r="G371" i="84"/>
  <c r="E371" i="84"/>
  <c r="C371" i="84"/>
  <c r="S370" i="84"/>
  <c r="R370" i="84"/>
  <c r="Q370" i="84"/>
  <c r="O370" i="84"/>
  <c r="M370" i="84"/>
  <c r="K370" i="84"/>
  <c r="I370" i="84"/>
  <c r="G370" i="84"/>
  <c r="E370" i="84"/>
  <c r="C370" i="84"/>
  <c r="S369" i="84"/>
  <c r="R369" i="84"/>
  <c r="Q369" i="84"/>
  <c r="O369" i="84"/>
  <c r="M369" i="84"/>
  <c r="K369" i="84"/>
  <c r="I369" i="84"/>
  <c r="G369" i="84"/>
  <c r="E369" i="84"/>
  <c r="C369" i="84"/>
  <c r="S368" i="84"/>
  <c r="R368" i="84"/>
  <c r="Q368" i="84"/>
  <c r="O368" i="84"/>
  <c r="M368" i="84"/>
  <c r="K368" i="84"/>
  <c r="I368" i="84"/>
  <c r="G368" i="84"/>
  <c r="E368" i="84"/>
  <c r="C368" i="84"/>
  <c r="S367" i="84"/>
  <c r="R367" i="84"/>
  <c r="Q367" i="84"/>
  <c r="O367" i="84"/>
  <c r="M367" i="84"/>
  <c r="K367" i="84"/>
  <c r="I367" i="84"/>
  <c r="G367" i="84"/>
  <c r="E367" i="84"/>
  <c r="C367" i="84"/>
  <c r="S366" i="84"/>
  <c r="R366" i="84"/>
  <c r="Q366" i="84"/>
  <c r="O366" i="84"/>
  <c r="M366" i="84"/>
  <c r="K366" i="84"/>
  <c r="I366" i="84"/>
  <c r="G366" i="84"/>
  <c r="E366" i="84"/>
  <c r="C366" i="84"/>
  <c r="S365" i="84"/>
  <c r="R365" i="84"/>
  <c r="Q365" i="84"/>
  <c r="O365" i="84"/>
  <c r="M365" i="84"/>
  <c r="K365" i="84"/>
  <c r="I365" i="84"/>
  <c r="G365" i="84"/>
  <c r="E365" i="84"/>
  <c r="C365" i="84"/>
  <c r="S364" i="84"/>
  <c r="R364" i="84"/>
  <c r="Q364" i="84"/>
  <c r="O364" i="84"/>
  <c r="M364" i="84"/>
  <c r="K364" i="84"/>
  <c r="I364" i="84"/>
  <c r="G364" i="84"/>
  <c r="E364" i="84"/>
  <c r="C364" i="84"/>
  <c r="S363" i="84"/>
  <c r="R363" i="84"/>
  <c r="Q363" i="84"/>
  <c r="O363" i="84"/>
  <c r="M363" i="84"/>
  <c r="K363" i="84"/>
  <c r="I363" i="84"/>
  <c r="G363" i="84"/>
  <c r="E363" i="84"/>
  <c r="C363" i="84"/>
  <c r="S362" i="84"/>
  <c r="R362" i="84"/>
  <c r="Q362" i="84"/>
  <c r="O362" i="84"/>
  <c r="M362" i="84"/>
  <c r="K362" i="84"/>
  <c r="I362" i="84"/>
  <c r="G362" i="84"/>
  <c r="E362" i="84"/>
  <c r="C362" i="84"/>
  <c r="S361" i="84"/>
  <c r="R361" i="84"/>
  <c r="Q361" i="84"/>
  <c r="O361" i="84"/>
  <c r="M361" i="84"/>
  <c r="K361" i="84"/>
  <c r="I361" i="84"/>
  <c r="G361" i="84"/>
  <c r="E361" i="84"/>
  <c r="C361" i="84"/>
  <c r="S360" i="84"/>
  <c r="R360" i="84"/>
  <c r="Q360" i="84"/>
  <c r="O360" i="84"/>
  <c r="M360" i="84"/>
  <c r="K360" i="84"/>
  <c r="I360" i="84"/>
  <c r="G360" i="84"/>
  <c r="E360" i="84"/>
  <c r="C360" i="84"/>
  <c r="S359" i="84"/>
  <c r="R359" i="84"/>
  <c r="Q359" i="84"/>
  <c r="O359" i="84"/>
  <c r="M359" i="84"/>
  <c r="K359" i="84"/>
  <c r="I359" i="84"/>
  <c r="G359" i="84"/>
  <c r="E359" i="84"/>
  <c r="C359" i="84"/>
  <c r="S358" i="84"/>
  <c r="R358" i="84"/>
  <c r="Q358" i="84"/>
  <c r="O358" i="84"/>
  <c r="M358" i="84"/>
  <c r="K358" i="84"/>
  <c r="I358" i="84"/>
  <c r="G358" i="84"/>
  <c r="E358" i="84"/>
  <c r="C358" i="84"/>
  <c r="S357" i="84"/>
  <c r="R357" i="84"/>
  <c r="Q357" i="84"/>
  <c r="O357" i="84"/>
  <c r="M357" i="84"/>
  <c r="K357" i="84"/>
  <c r="I357" i="84"/>
  <c r="G357" i="84"/>
  <c r="E357" i="84"/>
  <c r="C357" i="84"/>
  <c r="S356" i="84"/>
  <c r="R356" i="84"/>
  <c r="Q356" i="84"/>
  <c r="O356" i="84"/>
  <c r="M356" i="84"/>
  <c r="K356" i="84"/>
  <c r="I356" i="84"/>
  <c r="G356" i="84"/>
  <c r="E356" i="84"/>
  <c r="C356" i="84"/>
  <c r="S355" i="84"/>
  <c r="R355" i="84"/>
  <c r="Q355" i="84"/>
  <c r="O355" i="84"/>
  <c r="M355" i="84"/>
  <c r="K355" i="84"/>
  <c r="I355" i="84"/>
  <c r="G355" i="84"/>
  <c r="E355" i="84"/>
  <c r="C355" i="84"/>
  <c r="S354" i="84"/>
  <c r="R354" i="84"/>
  <c r="Q354" i="84"/>
  <c r="O354" i="84"/>
  <c r="M354" i="84"/>
  <c r="K354" i="84"/>
  <c r="I354" i="84"/>
  <c r="G354" i="84"/>
  <c r="E354" i="84"/>
  <c r="C354" i="84"/>
  <c r="S353" i="84"/>
  <c r="R353" i="84"/>
  <c r="Q353" i="84"/>
  <c r="O353" i="84"/>
  <c r="M353" i="84"/>
  <c r="K353" i="84"/>
  <c r="I353" i="84"/>
  <c r="G353" i="84"/>
  <c r="E353" i="84"/>
  <c r="C353" i="84"/>
  <c r="S352" i="84"/>
  <c r="R352" i="84"/>
  <c r="Q352" i="84"/>
  <c r="O352" i="84"/>
  <c r="M352" i="84"/>
  <c r="K352" i="84"/>
  <c r="I352" i="84"/>
  <c r="G352" i="84"/>
  <c r="E352" i="84"/>
  <c r="C352" i="84"/>
  <c r="S351" i="84"/>
  <c r="R351" i="84"/>
  <c r="Q351" i="84"/>
  <c r="O351" i="84"/>
  <c r="M351" i="84"/>
  <c r="K351" i="84"/>
  <c r="I351" i="84"/>
  <c r="G351" i="84"/>
  <c r="E351" i="84"/>
  <c r="C351" i="84"/>
  <c r="S350" i="84"/>
  <c r="R350" i="84"/>
  <c r="Q350" i="84"/>
  <c r="O350" i="84"/>
  <c r="M350" i="84"/>
  <c r="K350" i="84"/>
  <c r="I350" i="84"/>
  <c r="G350" i="84"/>
  <c r="E350" i="84"/>
  <c r="C350" i="84"/>
  <c r="S349" i="84"/>
  <c r="R349" i="84"/>
  <c r="Q349" i="84"/>
  <c r="O349" i="84"/>
  <c r="M349" i="84"/>
  <c r="K349" i="84"/>
  <c r="I349" i="84"/>
  <c r="G349" i="84"/>
  <c r="E349" i="84"/>
  <c r="C349" i="84"/>
  <c r="S348" i="84"/>
  <c r="R348" i="84"/>
  <c r="Q348" i="84"/>
  <c r="O348" i="84"/>
  <c r="M348" i="84"/>
  <c r="K348" i="84"/>
  <c r="I348" i="84"/>
  <c r="G348" i="84"/>
  <c r="E348" i="84"/>
  <c r="C348" i="84"/>
  <c r="S347" i="84"/>
  <c r="R347" i="84"/>
  <c r="Q347" i="84"/>
  <c r="O347" i="84"/>
  <c r="M347" i="84"/>
  <c r="K347" i="84"/>
  <c r="I347" i="84"/>
  <c r="G347" i="84"/>
  <c r="E347" i="84"/>
  <c r="C347" i="84"/>
  <c r="S346" i="84"/>
  <c r="R346" i="84"/>
  <c r="Q346" i="84"/>
  <c r="O346" i="84"/>
  <c r="M346" i="84"/>
  <c r="K346" i="84"/>
  <c r="I346" i="84"/>
  <c r="G346" i="84"/>
  <c r="E346" i="84"/>
  <c r="C346" i="84"/>
  <c r="S345" i="84"/>
  <c r="R345" i="84"/>
  <c r="Q345" i="84"/>
  <c r="O345" i="84"/>
  <c r="M345" i="84"/>
  <c r="K345" i="84"/>
  <c r="I345" i="84"/>
  <c r="G345" i="84"/>
  <c r="E345" i="84"/>
  <c r="C345" i="84"/>
  <c r="S344" i="84"/>
  <c r="R344" i="84"/>
  <c r="Q344" i="84"/>
  <c r="O344" i="84"/>
  <c r="M344" i="84"/>
  <c r="K344" i="84"/>
  <c r="I344" i="84"/>
  <c r="G344" i="84"/>
  <c r="E344" i="84"/>
  <c r="C344" i="84"/>
  <c r="S343" i="84"/>
  <c r="R343" i="84"/>
  <c r="Q343" i="84"/>
  <c r="O343" i="84"/>
  <c r="M343" i="84"/>
  <c r="K343" i="84"/>
  <c r="I343" i="84"/>
  <c r="G343" i="84"/>
  <c r="E343" i="84"/>
  <c r="C343" i="84"/>
  <c r="S342" i="84"/>
  <c r="R342" i="84"/>
  <c r="Q342" i="84"/>
  <c r="O342" i="84"/>
  <c r="M342" i="84"/>
  <c r="K342" i="84"/>
  <c r="I342" i="84"/>
  <c r="G342" i="84"/>
  <c r="E342" i="84"/>
  <c r="C342" i="84"/>
  <c r="S341" i="84"/>
  <c r="R341" i="84"/>
  <c r="Q341" i="84"/>
  <c r="O341" i="84"/>
  <c r="M341" i="84"/>
  <c r="K341" i="84"/>
  <c r="I341" i="84"/>
  <c r="G341" i="84"/>
  <c r="E341" i="84"/>
  <c r="C341" i="84"/>
  <c r="S340" i="84"/>
  <c r="R340" i="84"/>
  <c r="Q340" i="84"/>
  <c r="O340" i="84"/>
  <c r="M340" i="84"/>
  <c r="K340" i="84"/>
  <c r="I340" i="84"/>
  <c r="G340" i="84"/>
  <c r="E340" i="84"/>
  <c r="C340" i="84"/>
  <c r="S339" i="84"/>
  <c r="R339" i="84"/>
  <c r="Q339" i="84"/>
  <c r="O339" i="84"/>
  <c r="M339" i="84"/>
  <c r="K339" i="84"/>
  <c r="I339" i="84"/>
  <c r="G339" i="84"/>
  <c r="E339" i="84"/>
  <c r="C339" i="84"/>
  <c r="S338" i="84"/>
  <c r="R338" i="84"/>
  <c r="Q338" i="84"/>
  <c r="O338" i="84"/>
  <c r="M338" i="84"/>
  <c r="K338" i="84"/>
  <c r="I338" i="84"/>
  <c r="G338" i="84"/>
  <c r="E338" i="84"/>
  <c r="C338" i="84"/>
  <c r="S337" i="84"/>
  <c r="R337" i="84"/>
  <c r="Q337" i="84"/>
  <c r="O337" i="84"/>
  <c r="M337" i="84"/>
  <c r="K337" i="84"/>
  <c r="I337" i="84"/>
  <c r="G337" i="84"/>
  <c r="E337" i="84"/>
  <c r="C337" i="84"/>
  <c r="S336" i="84"/>
  <c r="R336" i="84"/>
  <c r="Q336" i="84"/>
  <c r="O336" i="84"/>
  <c r="M336" i="84"/>
  <c r="K336" i="84"/>
  <c r="I336" i="84"/>
  <c r="G336" i="84"/>
  <c r="E336" i="84"/>
  <c r="C336" i="84"/>
  <c r="S335" i="84"/>
  <c r="R335" i="84"/>
  <c r="Q335" i="84"/>
  <c r="O335" i="84"/>
  <c r="M335" i="84"/>
  <c r="K335" i="84"/>
  <c r="I335" i="84"/>
  <c r="G335" i="84"/>
  <c r="E335" i="84"/>
  <c r="C335" i="84"/>
  <c r="S334" i="84"/>
  <c r="R334" i="84"/>
  <c r="Q334" i="84"/>
  <c r="O334" i="84"/>
  <c r="M334" i="84"/>
  <c r="K334" i="84"/>
  <c r="I334" i="84"/>
  <c r="G334" i="84"/>
  <c r="E334" i="84"/>
  <c r="C334" i="84"/>
  <c r="S333" i="84"/>
  <c r="R333" i="84"/>
  <c r="Q333" i="84"/>
  <c r="O333" i="84"/>
  <c r="M333" i="84"/>
  <c r="K333" i="84"/>
  <c r="I333" i="84"/>
  <c r="G333" i="84"/>
  <c r="E333" i="84"/>
  <c r="C333" i="84"/>
  <c r="S332" i="84"/>
  <c r="R332" i="84"/>
  <c r="Q332" i="84"/>
  <c r="O332" i="84"/>
  <c r="M332" i="84"/>
  <c r="K332" i="84"/>
  <c r="I332" i="84"/>
  <c r="G332" i="84"/>
  <c r="E332" i="84"/>
  <c r="C332" i="84"/>
  <c r="S331" i="84"/>
  <c r="R331" i="84"/>
  <c r="Q331" i="84"/>
  <c r="O331" i="84"/>
  <c r="M331" i="84"/>
  <c r="K331" i="84"/>
  <c r="I331" i="84"/>
  <c r="G331" i="84"/>
  <c r="E331" i="84"/>
  <c r="C331" i="84"/>
  <c r="S330" i="84"/>
  <c r="R330" i="84"/>
  <c r="Q330" i="84"/>
  <c r="O330" i="84"/>
  <c r="M330" i="84"/>
  <c r="K330" i="84"/>
  <c r="I330" i="84"/>
  <c r="G330" i="84"/>
  <c r="E330" i="84"/>
  <c r="C330" i="84"/>
  <c r="S329" i="84"/>
  <c r="R329" i="84"/>
  <c r="Q329" i="84"/>
  <c r="O329" i="84"/>
  <c r="M329" i="84"/>
  <c r="K329" i="84"/>
  <c r="I329" i="84"/>
  <c r="G329" i="84"/>
  <c r="E329" i="84"/>
  <c r="C329" i="84"/>
  <c r="S328" i="84"/>
  <c r="R328" i="84"/>
  <c r="Q328" i="84"/>
  <c r="O328" i="84"/>
  <c r="M328" i="84"/>
  <c r="K328" i="84"/>
  <c r="I328" i="84"/>
  <c r="G328" i="84"/>
  <c r="E328" i="84"/>
  <c r="C328" i="84"/>
  <c r="S327" i="84"/>
  <c r="R327" i="84"/>
  <c r="Q327" i="84"/>
  <c r="O327" i="84"/>
  <c r="M327" i="84"/>
  <c r="K327" i="84"/>
  <c r="I327" i="84"/>
  <c r="G327" i="84"/>
  <c r="E327" i="84"/>
  <c r="C327" i="84"/>
  <c r="S326" i="84"/>
  <c r="R326" i="84"/>
  <c r="Q326" i="84"/>
  <c r="O326" i="84"/>
  <c r="M326" i="84"/>
  <c r="K326" i="84"/>
  <c r="I326" i="84"/>
  <c r="G326" i="84"/>
  <c r="E326" i="84"/>
  <c r="C326" i="84"/>
  <c r="S325" i="84"/>
  <c r="R325" i="84"/>
  <c r="Q325" i="84"/>
  <c r="O325" i="84"/>
  <c r="M325" i="84"/>
  <c r="K325" i="84"/>
  <c r="I325" i="84"/>
  <c r="G325" i="84"/>
  <c r="E325" i="84"/>
  <c r="C325" i="84"/>
  <c r="S324" i="84"/>
  <c r="R324" i="84"/>
  <c r="Q324" i="84"/>
  <c r="O324" i="84"/>
  <c r="M324" i="84"/>
  <c r="K324" i="84"/>
  <c r="I324" i="84"/>
  <c r="G324" i="84"/>
  <c r="E324" i="84"/>
  <c r="C324" i="84"/>
  <c r="S323" i="84"/>
  <c r="R323" i="84"/>
  <c r="Q323" i="84"/>
  <c r="O323" i="84"/>
  <c r="M323" i="84"/>
  <c r="K323" i="84"/>
  <c r="I323" i="84"/>
  <c r="G323" i="84"/>
  <c r="E323" i="84"/>
  <c r="C323" i="84"/>
  <c r="S322" i="84"/>
  <c r="R322" i="84"/>
  <c r="Q322" i="84"/>
  <c r="O322" i="84"/>
  <c r="M322" i="84"/>
  <c r="K322" i="84"/>
  <c r="I322" i="84"/>
  <c r="G322" i="84"/>
  <c r="E322" i="84"/>
  <c r="C322" i="84"/>
  <c r="S321" i="84"/>
  <c r="R321" i="84"/>
  <c r="Q321" i="84"/>
  <c r="O321" i="84"/>
  <c r="M321" i="84"/>
  <c r="K321" i="84"/>
  <c r="I321" i="84"/>
  <c r="G321" i="84"/>
  <c r="E321" i="84"/>
  <c r="C321" i="84"/>
  <c r="S320" i="84"/>
  <c r="R320" i="84"/>
  <c r="Q320" i="84"/>
  <c r="O320" i="84"/>
  <c r="M320" i="84"/>
  <c r="K320" i="84"/>
  <c r="I320" i="84"/>
  <c r="G320" i="84"/>
  <c r="E320" i="84"/>
  <c r="C320" i="84"/>
  <c r="S319" i="84"/>
  <c r="R319" i="84"/>
  <c r="Q319" i="84"/>
  <c r="O319" i="84"/>
  <c r="M319" i="84"/>
  <c r="K319" i="84"/>
  <c r="I319" i="84"/>
  <c r="G319" i="84"/>
  <c r="E319" i="84"/>
  <c r="C319" i="84"/>
  <c r="S318" i="84"/>
  <c r="R318" i="84"/>
  <c r="Q318" i="84"/>
  <c r="O318" i="84"/>
  <c r="M318" i="84"/>
  <c r="K318" i="84"/>
  <c r="I318" i="84"/>
  <c r="G318" i="84"/>
  <c r="E318" i="84"/>
  <c r="C318" i="84"/>
  <c r="S317" i="84"/>
  <c r="R317" i="84"/>
  <c r="Q317" i="84"/>
  <c r="O317" i="84"/>
  <c r="M317" i="84"/>
  <c r="K317" i="84"/>
  <c r="I317" i="84"/>
  <c r="G317" i="84"/>
  <c r="E317" i="84"/>
  <c r="C317" i="84"/>
  <c r="S316" i="84"/>
  <c r="R316" i="84"/>
  <c r="Q316" i="84"/>
  <c r="O316" i="84"/>
  <c r="M316" i="84"/>
  <c r="K316" i="84"/>
  <c r="I316" i="84"/>
  <c r="G316" i="84"/>
  <c r="E316" i="84"/>
  <c r="C316" i="84"/>
  <c r="S315" i="84"/>
  <c r="R315" i="84"/>
  <c r="Q315" i="84"/>
  <c r="O315" i="84"/>
  <c r="M315" i="84"/>
  <c r="K315" i="84"/>
  <c r="I315" i="84"/>
  <c r="G315" i="84"/>
  <c r="E315" i="84"/>
  <c r="C315" i="84"/>
  <c r="S314" i="84"/>
  <c r="R314" i="84"/>
  <c r="Q314" i="84"/>
  <c r="O314" i="84"/>
  <c r="M314" i="84"/>
  <c r="K314" i="84"/>
  <c r="I314" i="84"/>
  <c r="G314" i="84"/>
  <c r="E314" i="84"/>
  <c r="C314" i="84"/>
  <c r="S313" i="84"/>
  <c r="R313" i="84"/>
  <c r="Q313" i="84"/>
  <c r="O313" i="84"/>
  <c r="M313" i="84"/>
  <c r="K313" i="84"/>
  <c r="I313" i="84"/>
  <c r="G313" i="84"/>
  <c r="E313" i="84"/>
  <c r="C313" i="84"/>
  <c r="S312" i="84"/>
  <c r="R312" i="84"/>
  <c r="Q312" i="84"/>
  <c r="O312" i="84"/>
  <c r="M312" i="84"/>
  <c r="K312" i="84"/>
  <c r="I312" i="84"/>
  <c r="G312" i="84"/>
  <c r="E312" i="84"/>
  <c r="C312" i="84"/>
  <c r="S311" i="84"/>
  <c r="R311" i="84"/>
  <c r="Q311" i="84"/>
  <c r="O311" i="84"/>
  <c r="M311" i="84"/>
  <c r="K311" i="84"/>
  <c r="I311" i="84"/>
  <c r="G311" i="84"/>
  <c r="E311" i="84"/>
  <c r="C311" i="84"/>
  <c r="S310" i="84"/>
  <c r="R310" i="84"/>
  <c r="Q310" i="84"/>
  <c r="O310" i="84"/>
  <c r="M310" i="84"/>
  <c r="K310" i="84"/>
  <c r="I310" i="84"/>
  <c r="G310" i="84"/>
  <c r="E310" i="84"/>
  <c r="C310" i="84"/>
  <c r="S309" i="84"/>
  <c r="R309" i="84"/>
  <c r="Q309" i="84"/>
  <c r="O309" i="84"/>
  <c r="M309" i="84"/>
  <c r="K309" i="84"/>
  <c r="I309" i="84"/>
  <c r="G309" i="84"/>
  <c r="E309" i="84"/>
  <c r="C309" i="84"/>
  <c r="S308" i="84"/>
  <c r="R308" i="84"/>
  <c r="Q308" i="84"/>
  <c r="O308" i="84"/>
  <c r="M308" i="84"/>
  <c r="K308" i="84"/>
  <c r="I308" i="84"/>
  <c r="G308" i="84"/>
  <c r="E308" i="84"/>
  <c r="C308" i="84"/>
  <c r="S307" i="84"/>
  <c r="R307" i="84"/>
  <c r="Q307" i="84"/>
  <c r="O307" i="84"/>
  <c r="M307" i="84"/>
  <c r="K307" i="84"/>
  <c r="I307" i="84"/>
  <c r="G307" i="84"/>
  <c r="E307" i="84"/>
  <c r="C307" i="84"/>
  <c r="S306" i="84"/>
  <c r="R306" i="84"/>
  <c r="Q306" i="84"/>
  <c r="O306" i="84"/>
  <c r="M306" i="84"/>
  <c r="K306" i="84"/>
  <c r="I306" i="84"/>
  <c r="G306" i="84"/>
  <c r="E306" i="84"/>
  <c r="C306" i="84"/>
  <c r="S305" i="84"/>
  <c r="R305" i="84"/>
  <c r="Q305" i="84"/>
  <c r="O305" i="84"/>
  <c r="M305" i="84"/>
  <c r="K305" i="84"/>
  <c r="I305" i="84"/>
  <c r="G305" i="84"/>
  <c r="E305" i="84"/>
  <c r="C305" i="84"/>
  <c r="S304" i="84"/>
  <c r="R304" i="84"/>
  <c r="Q304" i="84"/>
  <c r="O304" i="84"/>
  <c r="M304" i="84"/>
  <c r="K304" i="84"/>
  <c r="I304" i="84"/>
  <c r="G304" i="84"/>
  <c r="E304" i="84"/>
  <c r="C304" i="84"/>
  <c r="S303" i="84"/>
  <c r="R303" i="84"/>
  <c r="Q303" i="84"/>
  <c r="O303" i="84"/>
  <c r="M303" i="84"/>
  <c r="K303" i="84"/>
  <c r="I303" i="84"/>
  <c r="G303" i="84"/>
  <c r="E303" i="84"/>
  <c r="C303" i="84"/>
  <c r="S302" i="84"/>
  <c r="R302" i="84"/>
  <c r="Q302" i="84"/>
  <c r="O302" i="84"/>
  <c r="M302" i="84"/>
  <c r="K302" i="84"/>
  <c r="I302" i="84"/>
  <c r="G302" i="84"/>
  <c r="E302" i="84"/>
  <c r="C302" i="84"/>
  <c r="S301" i="84"/>
  <c r="R301" i="84"/>
  <c r="Q301" i="84"/>
  <c r="O301" i="84"/>
  <c r="M301" i="84"/>
  <c r="K301" i="84"/>
  <c r="I301" i="84"/>
  <c r="G301" i="84"/>
  <c r="E301" i="84"/>
  <c r="C301" i="84"/>
  <c r="S300" i="84"/>
  <c r="R300" i="84"/>
  <c r="Q300" i="84"/>
  <c r="O300" i="84"/>
  <c r="M300" i="84"/>
  <c r="K300" i="84"/>
  <c r="I300" i="84"/>
  <c r="G300" i="84"/>
  <c r="E300" i="84"/>
  <c r="C300" i="84"/>
  <c r="S299" i="84"/>
  <c r="R299" i="84"/>
  <c r="Q299" i="84"/>
  <c r="O299" i="84"/>
  <c r="M299" i="84"/>
  <c r="K299" i="84"/>
  <c r="I299" i="84"/>
  <c r="G299" i="84"/>
  <c r="E299" i="84"/>
  <c r="C299" i="84"/>
  <c r="S298" i="84"/>
  <c r="R298" i="84"/>
  <c r="Q298" i="84"/>
  <c r="O298" i="84"/>
  <c r="M298" i="84"/>
  <c r="K298" i="84"/>
  <c r="I298" i="84"/>
  <c r="G298" i="84"/>
  <c r="E298" i="84"/>
  <c r="C298" i="84"/>
  <c r="S297" i="84"/>
  <c r="R297" i="84"/>
  <c r="Q297" i="84"/>
  <c r="O297" i="84"/>
  <c r="M297" i="84"/>
  <c r="K297" i="84"/>
  <c r="I297" i="84"/>
  <c r="G297" i="84"/>
  <c r="E297" i="84"/>
  <c r="C297" i="84"/>
  <c r="S296" i="84"/>
  <c r="R296" i="84"/>
  <c r="Q296" i="84"/>
  <c r="O296" i="84"/>
  <c r="M296" i="84"/>
  <c r="K296" i="84"/>
  <c r="I296" i="84"/>
  <c r="G296" i="84"/>
  <c r="E296" i="84"/>
  <c r="C296" i="84"/>
  <c r="S295" i="84"/>
  <c r="R295" i="84"/>
  <c r="Q295" i="84"/>
  <c r="O295" i="84"/>
  <c r="M295" i="84"/>
  <c r="K295" i="84"/>
  <c r="I295" i="84"/>
  <c r="G295" i="84"/>
  <c r="E295" i="84"/>
  <c r="C295" i="84"/>
  <c r="S294" i="84"/>
  <c r="R294" i="84"/>
  <c r="Q294" i="84"/>
  <c r="O294" i="84"/>
  <c r="M294" i="84"/>
  <c r="K294" i="84"/>
  <c r="I294" i="84"/>
  <c r="G294" i="84"/>
  <c r="E294" i="84"/>
  <c r="C294" i="84"/>
  <c r="S293" i="84"/>
  <c r="R293" i="84"/>
  <c r="Q293" i="84"/>
  <c r="O293" i="84"/>
  <c r="M293" i="84"/>
  <c r="K293" i="84"/>
  <c r="I293" i="84"/>
  <c r="G293" i="84"/>
  <c r="E293" i="84"/>
  <c r="C293" i="84"/>
  <c r="S292" i="84"/>
  <c r="R292" i="84"/>
  <c r="Q292" i="84"/>
  <c r="O292" i="84"/>
  <c r="M292" i="84"/>
  <c r="K292" i="84"/>
  <c r="I292" i="84"/>
  <c r="G292" i="84"/>
  <c r="E292" i="84"/>
  <c r="C292" i="84"/>
  <c r="S291" i="84"/>
  <c r="R291" i="84"/>
  <c r="Q291" i="84"/>
  <c r="O291" i="84"/>
  <c r="M291" i="84"/>
  <c r="K291" i="84"/>
  <c r="I291" i="84"/>
  <c r="G291" i="84"/>
  <c r="E291" i="84"/>
  <c r="C291" i="84"/>
  <c r="S290" i="84"/>
  <c r="R290" i="84"/>
  <c r="Q290" i="84"/>
  <c r="O290" i="84"/>
  <c r="M290" i="84"/>
  <c r="K290" i="84"/>
  <c r="I290" i="84"/>
  <c r="G290" i="84"/>
  <c r="E290" i="84"/>
  <c r="C290" i="84"/>
  <c r="S289" i="84"/>
  <c r="R289" i="84"/>
  <c r="Q289" i="84"/>
  <c r="O289" i="84"/>
  <c r="M289" i="84"/>
  <c r="K289" i="84"/>
  <c r="I289" i="84"/>
  <c r="G289" i="84"/>
  <c r="E289" i="84"/>
  <c r="C289" i="84"/>
  <c r="S288" i="84"/>
  <c r="R288" i="84"/>
  <c r="Q288" i="84"/>
  <c r="O288" i="84"/>
  <c r="M288" i="84"/>
  <c r="K288" i="84"/>
  <c r="I288" i="84"/>
  <c r="G288" i="84"/>
  <c r="E288" i="84"/>
  <c r="C288" i="84"/>
  <c r="S287" i="84"/>
  <c r="R287" i="84"/>
  <c r="Q287" i="84"/>
  <c r="O287" i="84"/>
  <c r="M287" i="84"/>
  <c r="K287" i="84"/>
  <c r="I287" i="84"/>
  <c r="G287" i="84"/>
  <c r="E287" i="84"/>
  <c r="C287" i="84"/>
  <c r="S286" i="84"/>
  <c r="R286" i="84"/>
  <c r="Q286" i="84"/>
  <c r="O286" i="84"/>
  <c r="M286" i="84"/>
  <c r="K286" i="84"/>
  <c r="I286" i="84"/>
  <c r="G286" i="84"/>
  <c r="E286" i="84"/>
  <c r="C286" i="84"/>
  <c r="S285" i="84"/>
  <c r="R285" i="84"/>
  <c r="Q285" i="84"/>
  <c r="O285" i="84"/>
  <c r="M285" i="84"/>
  <c r="K285" i="84"/>
  <c r="I285" i="84"/>
  <c r="G285" i="84"/>
  <c r="E285" i="84"/>
  <c r="C285" i="84"/>
  <c r="S284" i="84"/>
  <c r="R284" i="84"/>
  <c r="Q284" i="84"/>
  <c r="O284" i="84"/>
  <c r="M284" i="84"/>
  <c r="K284" i="84"/>
  <c r="I284" i="84"/>
  <c r="G284" i="84"/>
  <c r="E284" i="84"/>
  <c r="C284" i="84"/>
  <c r="S283" i="84"/>
  <c r="R283" i="84"/>
  <c r="Q283" i="84"/>
  <c r="O283" i="84"/>
  <c r="M283" i="84"/>
  <c r="K283" i="84"/>
  <c r="I283" i="84"/>
  <c r="G283" i="84"/>
  <c r="E283" i="84"/>
  <c r="C283" i="84"/>
  <c r="S282" i="84"/>
  <c r="R282" i="84"/>
  <c r="Q282" i="84"/>
  <c r="O282" i="84"/>
  <c r="M282" i="84"/>
  <c r="K282" i="84"/>
  <c r="I282" i="84"/>
  <c r="G282" i="84"/>
  <c r="E282" i="84"/>
  <c r="C282" i="84"/>
  <c r="S281" i="84"/>
  <c r="R281" i="84"/>
  <c r="Q281" i="84"/>
  <c r="O281" i="84"/>
  <c r="M281" i="84"/>
  <c r="K281" i="84"/>
  <c r="I281" i="84"/>
  <c r="G281" i="84"/>
  <c r="E281" i="84"/>
  <c r="C281" i="84"/>
  <c r="S280" i="84"/>
  <c r="R280" i="84"/>
  <c r="Q280" i="84"/>
  <c r="O280" i="84"/>
  <c r="M280" i="84"/>
  <c r="K280" i="84"/>
  <c r="I280" i="84"/>
  <c r="G280" i="84"/>
  <c r="E280" i="84"/>
  <c r="C280" i="84"/>
  <c r="S279" i="84"/>
  <c r="R279" i="84"/>
  <c r="Q279" i="84"/>
  <c r="O279" i="84"/>
  <c r="M279" i="84"/>
  <c r="K279" i="84"/>
  <c r="I279" i="84"/>
  <c r="G279" i="84"/>
  <c r="E279" i="84"/>
  <c r="C279" i="84"/>
  <c r="S278" i="84"/>
  <c r="R278" i="84"/>
  <c r="Q278" i="84"/>
  <c r="O278" i="84"/>
  <c r="M278" i="84"/>
  <c r="K278" i="84"/>
  <c r="I278" i="84"/>
  <c r="G278" i="84"/>
  <c r="E278" i="84"/>
  <c r="C278" i="84"/>
  <c r="S277" i="84"/>
  <c r="R277" i="84"/>
  <c r="Q277" i="84"/>
  <c r="O277" i="84"/>
  <c r="M277" i="84"/>
  <c r="K277" i="84"/>
  <c r="I277" i="84"/>
  <c r="G277" i="84"/>
  <c r="E277" i="84"/>
  <c r="C277" i="84"/>
  <c r="S276" i="84"/>
  <c r="R276" i="84"/>
  <c r="Q276" i="84"/>
  <c r="O276" i="84"/>
  <c r="M276" i="84"/>
  <c r="K276" i="84"/>
  <c r="I276" i="84"/>
  <c r="G276" i="84"/>
  <c r="E276" i="84"/>
  <c r="C276" i="84"/>
  <c r="S275" i="84"/>
  <c r="R275" i="84"/>
  <c r="Q275" i="84"/>
  <c r="O275" i="84"/>
  <c r="M275" i="84"/>
  <c r="K275" i="84"/>
  <c r="I275" i="84"/>
  <c r="G275" i="84"/>
  <c r="E275" i="84"/>
  <c r="C275" i="84"/>
  <c r="S274" i="84"/>
  <c r="R274" i="84"/>
  <c r="Q274" i="84"/>
  <c r="O274" i="84"/>
  <c r="M274" i="84"/>
  <c r="K274" i="84"/>
  <c r="I274" i="84"/>
  <c r="G274" i="84"/>
  <c r="E274" i="84"/>
  <c r="C274" i="84"/>
  <c r="S273" i="84"/>
  <c r="R273" i="84"/>
  <c r="Q273" i="84"/>
  <c r="O273" i="84"/>
  <c r="M273" i="84"/>
  <c r="K273" i="84"/>
  <c r="I273" i="84"/>
  <c r="G273" i="84"/>
  <c r="E273" i="84"/>
  <c r="C273" i="84"/>
  <c r="S272" i="84"/>
  <c r="R272" i="84"/>
  <c r="Q272" i="84"/>
  <c r="O272" i="84"/>
  <c r="M272" i="84"/>
  <c r="K272" i="84"/>
  <c r="I272" i="84"/>
  <c r="G272" i="84"/>
  <c r="E272" i="84"/>
  <c r="C272" i="84"/>
  <c r="S271" i="84"/>
  <c r="R271" i="84"/>
  <c r="Q271" i="84"/>
  <c r="O271" i="84"/>
  <c r="M271" i="84"/>
  <c r="K271" i="84"/>
  <c r="I271" i="84"/>
  <c r="G271" i="84"/>
  <c r="E271" i="84"/>
  <c r="C271" i="84"/>
  <c r="S270" i="84"/>
  <c r="R270" i="84"/>
  <c r="Q270" i="84"/>
  <c r="O270" i="84"/>
  <c r="M270" i="84"/>
  <c r="K270" i="84"/>
  <c r="I270" i="84"/>
  <c r="G270" i="84"/>
  <c r="E270" i="84"/>
  <c r="C270" i="84"/>
  <c r="S269" i="84"/>
  <c r="R269" i="84"/>
  <c r="Q269" i="84"/>
  <c r="O269" i="84"/>
  <c r="M269" i="84"/>
  <c r="K269" i="84"/>
  <c r="I269" i="84"/>
  <c r="G269" i="84"/>
  <c r="E269" i="84"/>
  <c r="C269" i="84"/>
  <c r="S268" i="84"/>
  <c r="R268" i="84"/>
  <c r="Q268" i="84"/>
  <c r="O268" i="84"/>
  <c r="M268" i="84"/>
  <c r="K268" i="84"/>
  <c r="I268" i="84"/>
  <c r="G268" i="84"/>
  <c r="E268" i="84"/>
  <c r="C268" i="84"/>
  <c r="S267" i="84"/>
  <c r="R267" i="84"/>
  <c r="Q267" i="84"/>
  <c r="O267" i="84"/>
  <c r="M267" i="84"/>
  <c r="K267" i="84"/>
  <c r="I267" i="84"/>
  <c r="G267" i="84"/>
  <c r="E267" i="84"/>
  <c r="C267" i="84"/>
  <c r="S266" i="84"/>
  <c r="R266" i="84"/>
  <c r="Q266" i="84"/>
  <c r="O266" i="84"/>
  <c r="M266" i="84"/>
  <c r="K266" i="84"/>
  <c r="I266" i="84"/>
  <c r="G266" i="84"/>
  <c r="E266" i="84"/>
  <c r="C266" i="84"/>
  <c r="S265" i="84"/>
  <c r="R265" i="84"/>
  <c r="Q265" i="84"/>
  <c r="O265" i="84"/>
  <c r="M265" i="84"/>
  <c r="K265" i="84"/>
  <c r="I265" i="84"/>
  <c r="G265" i="84"/>
  <c r="E265" i="84"/>
  <c r="C265" i="84"/>
  <c r="S264" i="84"/>
  <c r="R264" i="84"/>
  <c r="Q264" i="84"/>
  <c r="O264" i="84"/>
  <c r="M264" i="84"/>
  <c r="K264" i="84"/>
  <c r="I264" i="84"/>
  <c r="G264" i="84"/>
  <c r="E264" i="84"/>
  <c r="C264" i="84"/>
  <c r="S263" i="84"/>
  <c r="R263" i="84"/>
  <c r="Q263" i="84"/>
  <c r="O263" i="84"/>
  <c r="M263" i="84"/>
  <c r="K263" i="84"/>
  <c r="I263" i="84"/>
  <c r="G263" i="84"/>
  <c r="E263" i="84"/>
  <c r="C263" i="84"/>
  <c r="S262" i="84"/>
  <c r="R262" i="84"/>
  <c r="Q262" i="84"/>
  <c r="O262" i="84"/>
  <c r="M262" i="84"/>
  <c r="K262" i="84"/>
  <c r="I262" i="84"/>
  <c r="G262" i="84"/>
  <c r="E262" i="84"/>
  <c r="C262" i="84"/>
  <c r="S261" i="84"/>
  <c r="R261" i="84"/>
  <c r="Q261" i="84"/>
  <c r="O261" i="84"/>
  <c r="M261" i="84"/>
  <c r="K261" i="84"/>
  <c r="I261" i="84"/>
  <c r="G261" i="84"/>
  <c r="E261" i="84"/>
  <c r="C261" i="84"/>
  <c r="S260" i="84"/>
  <c r="R260" i="84"/>
  <c r="Q260" i="84"/>
  <c r="O260" i="84"/>
  <c r="M260" i="84"/>
  <c r="K260" i="84"/>
  <c r="I260" i="84"/>
  <c r="G260" i="84"/>
  <c r="E260" i="84"/>
  <c r="C260" i="84"/>
  <c r="S259" i="84"/>
  <c r="R259" i="84"/>
  <c r="Q259" i="84"/>
  <c r="O259" i="84"/>
  <c r="M259" i="84"/>
  <c r="K259" i="84"/>
  <c r="I259" i="84"/>
  <c r="G259" i="84"/>
  <c r="E259" i="84"/>
  <c r="C259" i="84"/>
  <c r="S258" i="84"/>
  <c r="R258" i="84"/>
  <c r="Q258" i="84"/>
  <c r="O258" i="84"/>
  <c r="M258" i="84"/>
  <c r="K258" i="84"/>
  <c r="I258" i="84"/>
  <c r="G258" i="84"/>
  <c r="E258" i="84"/>
  <c r="C258" i="84"/>
  <c r="S257" i="84"/>
  <c r="R257" i="84"/>
  <c r="Q257" i="84"/>
  <c r="O257" i="84"/>
  <c r="M257" i="84"/>
  <c r="K257" i="84"/>
  <c r="I257" i="84"/>
  <c r="G257" i="84"/>
  <c r="E257" i="84"/>
  <c r="C257" i="84"/>
  <c r="S256" i="84"/>
  <c r="R256" i="84"/>
  <c r="Q256" i="84"/>
  <c r="O256" i="84"/>
  <c r="M256" i="84"/>
  <c r="K256" i="84"/>
  <c r="I256" i="84"/>
  <c r="G256" i="84"/>
  <c r="E256" i="84"/>
  <c r="C256" i="84"/>
  <c r="S255" i="84"/>
  <c r="R255" i="84"/>
  <c r="Q255" i="84"/>
  <c r="O255" i="84"/>
  <c r="M255" i="84"/>
  <c r="K255" i="84"/>
  <c r="I255" i="84"/>
  <c r="G255" i="84"/>
  <c r="E255" i="84"/>
  <c r="C255" i="84"/>
  <c r="S254" i="84"/>
  <c r="R254" i="84"/>
  <c r="Q254" i="84"/>
  <c r="O254" i="84"/>
  <c r="M254" i="84"/>
  <c r="K254" i="84"/>
  <c r="I254" i="84"/>
  <c r="G254" i="84"/>
  <c r="E254" i="84"/>
  <c r="C254" i="84"/>
  <c r="S253" i="84"/>
  <c r="R253" i="84"/>
  <c r="Q253" i="84"/>
  <c r="O253" i="84"/>
  <c r="M253" i="84"/>
  <c r="K253" i="84"/>
  <c r="I253" i="84"/>
  <c r="G253" i="84"/>
  <c r="E253" i="84"/>
  <c r="C253" i="84"/>
  <c r="S252" i="84"/>
  <c r="R252" i="84"/>
  <c r="Q252" i="84"/>
  <c r="O252" i="84"/>
  <c r="M252" i="84"/>
  <c r="K252" i="84"/>
  <c r="I252" i="84"/>
  <c r="G252" i="84"/>
  <c r="E252" i="84"/>
  <c r="C252" i="84"/>
  <c r="S251" i="84"/>
  <c r="R251" i="84"/>
  <c r="Q251" i="84"/>
  <c r="O251" i="84"/>
  <c r="M251" i="84"/>
  <c r="K251" i="84"/>
  <c r="I251" i="84"/>
  <c r="G251" i="84"/>
  <c r="E251" i="84"/>
  <c r="C251" i="84"/>
  <c r="S250" i="84"/>
  <c r="R250" i="84"/>
  <c r="Q250" i="84"/>
  <c r="O250" i="84"/>
  <c r="M250" i="84"/>
  <c r="K250" i="84"/>
  <c r="I250" i="84"/>
  <c r="G250" i="84"/>
  <c r="E250" i="84"/>
  <c r="C250" i="84"/>
  <c r="S249" i="84"/>
  <c r="R249" i="84"/>
  <c r="Q249" i="84"/>
  <c r="O249" i="84"/>
  <c r="M249" i="84"/>
  <c r="K249" i="84"/>
  <c r="I249" i="84"/>
  <c r="G249" i="84"/>
  <c r="E249" i="84"/>
  <c r="C249" i="84"/>
  <c r="S248" i="84"/>
  <c r="R248" i="84"/>
  <c r="Q248" i="84"/>
  <c r="O248" i="84"/>
  <c r="M248" i="84"/>
  <c r="K248" i="84"/>
  <c r="I248" i="84"/>
  <c r="G248" i="84"/>
  <c r="E248" i="84"/>
  <c r="C248" i="84"/>
  <c r="S247" i="84"/>
  <c r="R247" i="84"/>
  <c r="Q247" i="84"/>
  <c r="O247" i="84"/>
  <c r="M247" i="84"/>
  <c r="K247" i="84"/>
  <c r="I247" i="84"/>
  <c r="G247" i="84"/>
  <c r="E247" i="84"/>
  <c r="C247" i="84"/>
  <c r="S246" i="84"/>
  <c r="R246" i="84"/>
  <c r="Q246" i="84"/>
  <c r="O246" i="84"/>
  <c r="M246" i="84"/>
  <c r="K246" i="84"/>
  <c r="I246" i="84"/>
  <c r="G246" i="84"/>
  <c r="E246" i="84"/>
  <c r="C246" i="84"/>
  <c r="S245" i="84"/>
  <c r="R245" i="84"/>
  <c r="Q245" i="84"/>
  <c r="O245" i="84"/>
  <c r="M245" i="84"/>
  <c r="K245" i="84"/>
  <c r="I245" i="84"/>
  <c r="G245" i="84"/>
  <c r="E245" i="84"/>
  <c r="C245" i="84"/>
  <c r="S244" i="84"/>
  <c r="R244" i="84"/>
  <c r="Q244" i="84"/>
  <c r="O244" i="84"/>
  <c r="M244" i="84"/>
  <c r="K244" i="84"/>
  <c r="I244" i="84"/>
  <c r="G244" i="84"/>
  <c r="E244" i="84"/>
  <c r="C244" i="84"/>
  <c r="S243" i="84"/>
  <c r="R243" i="84"/>
  <c r="Q243" i="84"/>
  <c r="O243" i="84"/>
  <c r="M243" i="84"/>
  <c r="K243" i="84"/>
  <c r="I243" i="84"/>
  <c r="G243" i="84"/>
  <c r="E243" i="84"/>
  <c r="C243" i="84"/>
  <c r="S242" i="84"/>
  <c r="R242" i="84"/>
  <c r="Q242" i="84"/>
  <c r="O242" i="84"/>
  <c r="M242" i="84"/>
  <c r="K242" i="84"/>
  <c r="I242" i="84"/>
  <c r="G242" i="84"/>
  <c r="E242" i="84"/>
  <c r="C242" i="84"/>
  <c r="S241" i="84"/>
  <c r="R241" i="84"/>
  <c r="Q241" i="84"/>
  <c r="O241" i="84"/>
  <c r="M241" i="84"/>
  <c r="K241" i="84"/>
  <c r="I241" i="84"/>
  <c r="G241" i="84"/>
  <c r="E241" i="84"/>
  <c r="C241" i="84"/>
  <c r="S240" i="84"/>
  <c r="R240" i="84"/>
  <c r="Q240" i="84"/>
  <c r="O240" i="84"/>
  <c r="M240" i="84"/>
  <c r="K240" i="84"/>
  <c r="I240" i="84"/>
  <c r="G240" i="84"/>
  <c r="E240" i="84"/>
  <c r="C240" i="84"/>
  <c r="S239" i="84"/>
  <c r="R239" i="84"/>
  <c r="Q239" i="84"/>
  <c r="O239" i="84"/>
  <c r="M239" i="84"/>
  <c r="K239" i="84"/>
  <c r="I239" i="84"/>
  <c r="G239" i="84"/>
  <c r="E239" i="84"/>
  <c r="C239" i="84"/>
  <c r="S238" i="84"/>
  <c r="R238" i="84"/>
  <c r="Q238" i="84"/>
  <c r="O238" i="84"/>
  <c r="M238" i="84"/>
  <c r="K238" i="84"/>
  <c r="I238" i="84"/>
  <c r="G238" i="84"/>
  <c r="E238" i="84"/>
  <c r="C238" i="84"/>
  <c r="S237" i="84"/>
  <c r="R237" i="84"/>
  <c r="Q237" i="84"/>
  <c r="O237" i="84"/>
  <c r="M237" i="84"/>
  <c r="K237" i="84"/>
  <c r="I237" i="84"/>
  <c r="G237" i="84"/>
  <c r="E237" i="84"/>
  <c r="C237" i="84"/>
  <c r="S236" i="84"/>
  <c r="R236" i="84"/>
  <c r="Q236" i="84"/>
  <c r="O236" i="84"/>
  <c r="M236" i="84"/>
  <c r="K236" i="84"/>
  <c r="I236" i="84"/>
  <c r="G236" i="84"/>
  <c r="E236" i="84"/>
  <c r="C236" i="84"/>
  <c r="S235" i="84"/>
  <c r="R235" i="84"/>
  <c r="Q235" i="84"/>
  <c r="O235" i="84"/>
  <c r="M235" i="84"/>
  <c r="K235" i="84"/>
  <c r="I235" i="84"/>
  <c r="G235" i="84"/>
  <c r="E235" i="84"/>
  <c r="C235" i="84"/>
  <c r="S234" i="84"/>
  <c r="R234" i="84"/>
  <c r="Q234" i="84"/>
  <c r="O234" i="84"/>
  <c r="M234" i="84"/>
  <c r="K234" i="84"/>
  <c r="I234" i="84"/>
  <c r="G234" i="84"/>
  <c r="E234" i="84"/>
  <c r="C234" i="84"/>
  <c r="S233" i="84"/>
  <c r="R233" i="84"/>
  <c r="Q233" i="84"/>
  <c r="O233" i="84"/>
  <c r="M233" i="84"/>
  <c r="K233" i="84"/>
  <c r="I233" i="84"/>
  <c r="G233" i="84"/>
  <c r="E233" i="84"/>
  <c r="C233" i="84"/>
  <c r="S232" i="84"/>
  <c r="R232" i="84"/>
  <c r="Q232" i="84"/>
  <c r="O232" i="84"/>
  <c r="M232" i="84"/>
  <c r="K232" i="84"/>
  <c r="I232" i="84"/>
  <c r="G232" i="84"/>
  <c r="E232" i="84"/>
  <c r="C232" i="84"/>
  <c r="S231" i="84"/>
  <c r="R231" i="84"/>
  <c r="Q231" i="84"/>
  <c r="O231" i="84"/>
  <c r="M231" i="84"/>
  <c r="K231" i="84"/>
  <c r="I231" i="84"/>
  <c r="G231" i="84"/>
  <c r="E231" i="84"/>
  <c r="C231" i="84"/>
  <c r="S230" i="84"/>
  <c r="R230" i="84"/>
  <c r="Q230" i="84"/>
  <c r="O230" i="84"/>
  <c r="M230" i="84"/>
  <c r="K230" i="84"/>
  <c r="I230" i="84"/>
  <c r="G230" i="84"/>
  <c r="E230" i="84"/>
  <c r="C230" i="84"/>
  <c r="S229" i="84"/>
  <c r="R229" i="84"/>
  <c r="Q229" i="84"/>
  <c r="O229" i="84"/>
  <c r="M229" i="84"/>
  <c r="K229" i="84"/>
  <c r="I229" i="84"/>
  <c r="G229" i="84"/>
  <c r="E229" i="84"/>
  <c r="C229" i="84"/>
  <c r="S228" i="84"/>
  <c r="R228" i="84"/>
  <c r="Q228" i="84"/>
  <c r="O228" i="84"/>
  <c r="M228" i="84"/>
  <c r="K228" i="84"/>
  <c r="I228" i="84"/>
  <c r="G228" i="84"/>
  <c r="E228" i="84"/>
  <c r="C228" i="84"/>
  <c r="S227" i="84"/>
  <c r="R227" i="84"/>
  <c r="Q227" i="84"/>
  <c r="O227" i="84"/>
  <c r="M227" i="84"/>
  <c r="K227" i="84"/>
  <c r="I227" i="84"/>
  <c r="G227" i="84"/>
  <c r="E227" i="84"/>
  <c r="C227" i="84"/>
  <c r="S226" i="84"/>
  <c r="R226" i="84"/>
  <c r="Q226" i="84"/>
  <c r="O226" i="84"/>
  <c r="M226" i="84"/>
  <c r="K226" i="84"/>
  <c r="I226" i="84"/>
  <c r="G226" i="84"/>
  <c r="E226" i="84"/>
  <c r="C226" i="84"/>
  <c r="S225" i="84"/>
  <c r="R225" i="84"/>
  <c r="Q225" i="84"/>
  <c r="O225" i="84"/>
  <c r="M225" i="84"/>
  <c r="K225" i="84"/>
  <c r="I225" i="84"/>
  <c r="G225" i="84"/>
  <c r="E225" i="84"/>
  <c r="C225" i="84"/>
  <c r="S224" i="84"/>
  <c r="R224" i="84"/>
  <c r="Q224" i="84"/>
  <c r="O224" i="84"/>
  <c r="M224" i="84"/>
  <c r="K224" i="84"/>
  <c r="I224" i="84"/>
  <c r="G224" i="84"/>
  <c r="E224" i="84"/>
  <c r="C224" i="84"/>
  <c r="S223" i="84"/>
  <c r="R223" i="84"/>
  <c r="Q223" i="84"/>
  <c r="O223" i="84"/>
  <c r="M223" i="84"/>
  <c r="K223" i="84"/>
  <c r="I223" i="84"/>
  <c r="G223" i="84"/>
  <c r="E223" i="84"/>
  <c r="C223" i="84"/>
  <c r="S222" i="84"/>
  <c r="R222" i="84"/>
  <c r="Q222" i="84"/>
  <c r="O222" i="84"/>
  <c r="M222" i="84"/>
  <c r="K222" i="84"/>
  <c r="I222" i="84"/>
  <c r="G222" i="84"/>
  <c r="E222" i="84"/>
  <c r="C222" i="84"/>
  <c r="S221" i="84"/>
  <c r="R221" i="84"/>
  <c r="Q221" i="84"/>
  <c r="O221" i="84"/>
  <c r="M221" i="84"/>
  <c r="K221" i="84"/>
  <c r="I221" i="84"/>
  <c r="G221" i="84"/>
  <c r="E221" i="84"/>
  <c r="C221" i="84"/>
  <c r="S220" i="84"/>
  <c r="R220" i="84"/>
  <c r="Q220" i="84"/>
  <c r="O220" i="84"/>
  <c r="M220" i="84"/>
  <c r="K220" i="84"/>
  <c r="I220" i="84"/>
  <c r="G220" i="84"/>
  <c r="E220" i="84"/>
  <c r="C220" i="84"/>
  <c r="S219" i="84"/>
  <c r="R219" i="84"/>
  <c r="Q219" i="84"/>
  <c r="O219" i="84"/>
  <c r="M219" i="84"/>
  <c r="K219" i="84"/>
  <c r="I219" i="84"/>
  <c r="G219" i="84"/>
  <c r="E219" i="84"/>
  <c r="C219" i="84"/>
  <c r="S218" i="84"/>
  <c r="R218" i="84"/>
  <c r="Q218" i="84"/>
  <c r="O218" i="84"/>
  <c r="M218" i="84"/>
  <c r="K218" i="84"/>
  <c r="I218" i="84"/>
  <c r="G218" i="84"/>
  <c r="E218" i="84"/>
  <c r="C218" i="84"/>
  <c r="S217" i="84"/>
  <c r="R217" i="84"/>
  <c r="Q217" i="84"/>
  <c r="O217" i="84"/>
  <c r="M217" i="84"/>
  <c r="K217" i="84"/>
  <c r="I217" i="84"/>
  <c r="G217" i="84"/>
  <c r="E217" i="84"/>
  <c r="C217" i="84"/>
  <c r="S216" i="84"/>
  <c r="R216" i="84"/>
  <c r="Q216" i="84"/>
  <c r="O216" i="84"/>
  <c r="M216" i="84"/>
  <c r="K216" i="84"/>
  <c r="I216" i="84"/>
  <c r="G216" i="84"/>
  <c r="E216" i="84"/>
  <c r="C216" i="84"/>
  <c r="S215" i="84"/>
  <c r="R215" i="84"/>
  <c r="Q215" i="84"/>
  <c r="O215" i="84"/>
  <c r="M215" i="84"/>
  <c r="K215" i="84"/>
  <c r="I215" i="84"/>
  <c r="G215" i="84"/>
  <c r="E215" i="84"/>
  <c r="C215" i="84"/>
  <c r="S214" i="84"/>
  <c r="R214" i="84"/>
  <c r="Q214" i="84"/>
  <c r="O214" i="84"/>
  <c r="M214" i="84"/>
  <c r="K214" i="84"/>
  <c r="I214" i="84"/>
  <c r="G214" i="84"/>
  <c r="E214" i="84"/>
  <c r="C214" i="84"/>
  <c r="S213" i="84"/>
  <c r="R213" i="84"/>
  <c r="Q213" i="84"/>
  <c r="O213" i="84"/>
  <c r="M213" i="84"/>
  <c r="K213" i="84"/>
  <c r="I213" i="84"/>
  <c r="G213" i="84"/>
  <c r="E213" i="84"/>
  <c r="C213" i="84"/>
  <c r="S212" i="84"/>
  <c r="R212" i="84"/>
  <c r="Q212" i="84"/>
  <c r="O212" i="84"/>
  <c r="M212" i="84"/>
  <c r="K212" i="84"/>
  <c r="I212" i="84"/>
  <c r="G212" i="84"/>
  <c r="E212" i="84"/>
  <c r="C212" i="84"/>
  <c r="S211" i="84"/>
  <c r="R211" i="84"/>
  <c r="Q211" i="84"/>
  <c r="O211" i="84"/>
  <c r="M211" i="84"/>
  <c r="K211" i="84"/>
  <c r="I211" i="84"/>
  <c r="G211" i="84"/>
  <c r="E211" i="84"/>
  <c r="C211" i="84"/>
  <c r="S210" i="84"/>
  <c r="R210" i="84"/>
  <c r="Q210" i="84"/>
  <c r="O210" i="84"/>
  <c r="M210" i="84"/>
  <c r="K210" i="84"/>
  <c r="I210" i="84"/>
  <c r="G210" i="84"/>
  <c r="E210" i="84"/>
  <c r="C210" i="84"/>
  <c r="S209" i="84"/>
  <c r="R209" i="84"/>
  <c r="Q209" i="84"/>
  <c r="O209" i="84"/>
  <c r="M209" i="84"/>
  <c r="K209" i="84"/>
  <c r="I209" i="84"/>
  <c r="G209" i="84"/>
  <c r="E209" i="84"/>
  <c r="C209" i="84"/>
  <c r="S208" i="84"/>
  <c r="R208" i="84"/>
  <c r="Q208" i="84"/>
  <c r="O208" i="84"/>
  <c r="M208" i="84"/>
  <c r="K208" i="84"/>
  <c r="I208" i="84"/>
  <c r="G208" i="84"/>
  <c r="E208" i="84"/>
  <c r="C208" i="84"/>
  <c r="S207" i="84"/>
  <c r="R207" i="84"/>
  <c r="Q207" i="84"/>
  <c r="O207" i="84"/>
  <c r="M207" i="84"/>
  <c r="K207" i="84"/>
  <c r="I207" i="84"/>
  <c r="G207" i="84"/>
  <c r="E207" i="84"/>
  <c r="C207" i="84"/>
  <c r="S206" i="84"/>
  <c r="R206" i="84"/>
  <c r="Q206" i="84"/>
  <c r="O206" i="84"/>
  <c r="M206" i="84"/>
  <c r="K206" i="84"/>
  <c r="I206" i="84"/>
  <c r="G206" i="84"/>
  <c r="E206" i="84"/>
  <c r="C206" i="84"/>
  <c r="S205" i="84"/>
  <c r="R205" i="84"/>
  <c r="Q205" i="84"/>
  <c r="O205" i="84"/>
  <c r="M205" i="84"/>
  <c r="K205" i="84"/>
  <c r="I205" i="84"/>
  <c r="G205" i="84"/>
  <c r="E205" i="84"/>
  <c r="C205" i="84"/>
  <c r="S204" i="84"/>
  <c r="R204" i="84"/>
  <c r="Q204" i="84"/>
  <c r="O204" i="84"/>
  <c r="M204" i="84"/>
  <c r="K204" i="84"/>
  <c r="I204" i="84"/>
  <c r="G204" i="84"/>
  <c r="E204" i="84"/>
  <c r="C204" i="84"/>
  <c r="S203" i="84"/>
  <c r="R203" i="84"/>
  <c r="Q203" i="84"/>
  <c r="O203" i="84"/>
  <c r="M203" i="84"/>
  <c r="K203" i="84"/>
  <c r="I203" i="84"/>
  <c r="G203" i="84"/>
  <c r="E203" i="84"/>
  <c r="C203" i="84"/>
  <c r="S202" i="84"/>
  <c r="R202" i="84"/>
  <c r="Q202" i="84"/>
  <c r="O202" i="84"/>
  <c r="M202" i="84"/>
  <c r="K202" i="84"/>
  <c r="I202" i="84"/>
  <c r="G202" i="84"/>
  <c r="E202" i="84"/>
  <c r="C202" i="84"/>
  <c r="S201" i="84"/>
  <c r="R201" i="84"/>
  <c r="Q201" i="84"/>
  <c r="O201" i="84"/>
  <c r="M201" i="84"/>
  <c r="K201" i="84"/>
  <c r="I201" i="84"/>
  <c r="G201" i="84"/>
  <c r="E201" i="84"/>
  <c r="C201" i="84"/>
  <c r="S200" i="84"/>
  <c r="R200" i="84"/>
  <c r="Q200" i="84"/>
  <c r="O200" i="84"/>
  <c r="M200" i="84"/>
  <c r="K200" i="84"/>
  <c r="I200" i="84"/>
  <c r="G200" i="84"/>
  <c r="E200" i="84"/>
  <c r="C200" i="84"/>
  <c r="S199" i="84"/>
  <c r="R199" i="84"/>
  <c r="Q199" i="84"/>
  <c r="O199" i="84"/>
  <c r="M199" i="84"/>
  <c r="K199" i="84"/>
  <c r="I199" i="84"/>
  <c r="G199" i="84"/>
  <c r="E199" i="84"/>
  <c r="C199" i="84"/>
  <c r="S198" i="84"/>
  <c r="R198" i="84"/>
  <c r="Q198" i="84"/>
  <c r="O198" i="84"/>
  <c r="M198" i="84"/>
  <c r="K198" i="84"/>
  <c r="I198" i="84"/>
  <c r="G198" i="84"/>
  <c r="E198" i="84"/>
  <c r="C198" i="84"/>
  <c r="S197" i="84"/>
  <c r="R197" i="84"/>
  <c r="Q197" i="84"/>
  <c r="O197" i="84"/>
  <c r="M197" i="84"/>
  <c r="K197" i="84"/>
  <c r="I197" i="84"/>
  <c r="G197" i="84"/>
  <c r="E197" i="84"/>
  <c r="C197" i="84"/>
  <c r="S196" i="84"/>
  <c r="R196" i="84"/>
  <c r="Q196" i="84"/>
  <c r="O196" i="84"/>
  <c r="M196" i="84"/>
  <c r="K196" i="84"/>
  <c r="I196" i="84"/>
  <c r="G196" i="84"/>
  <c r="E196" i="84"/>
  <c r="C196" i="84"/>
  <c r="S195" i="84"/>
  <c r="R195" i="84"/>
  <c r="Q195" i="84"/>
  <c r="O195" i="84"/>
  <c r="M195" i="84"/>
  <c r="K195" i="84"/>
  <c r="I195" i="84"/>
  <c r="G195" i="84"/>
  <c r="E195" i="84"/>
  <c r="C195" i="84"/>
  <c r="S194" i="84"/>
  <c r="R194" i="84"/>
  <c r="Q194" i="84"/>
  <c r="O194" i="84"/>
  <c r="M194" i="84"/>
  <c r="K194" i="84"/>
  <c r="I194" i="84"/>
  <c r="G194" i="84"/>
  <c r="E194" i="84"/>
  <c r="C194" i="84"/>
  <c r="S193" i="84"/>
  <c r="R193" i="84"/>
  <c r="Q193" i="84"/>
  <c r="O193" i="84"/>
  <c r="M193" i="84"/>
  <c r="K193" i="84"/>
  <c r="I193" i="84"/>
  <c r="G193" i="84"/>
  <c r="E193" i="84"/>
  <c r="C193" i="84"/>
  <c r="S192" i="84"/>
  <c r="R192" i="84"/>
  <c r="Q192" i="84"/>
  <c r="O192" i="84"/>
  <c r="M192" i="84"/>
  <c r="K192" i="84"/>
  <c r="I192" i="84"/>
  <c r="G192" i="84"/>
  <c r="E192" i="84"/>
  <c r="C192" i="84"/>
  <c r="S191" i="84"/>
  <c r="R191" i="84"/>
  <c r="Q191" i="84"/>
  <c r="O191" i="84"/>
  <c r="M191" i="84"/>
  <c r="K191" i="84"/>
  <c r="I191" i="84"/>
  <c r="G191" i="84"/>
  <c r="E191" i="84"/>
  <c r="C191" i="84"/>
  <c r="S190" i="84"/>
  <c r="R190" i="84"/>
  <c r="Q190" i="84"/>
  <c r="O190" i="84"/>
  <c r="M190" i="84"/>
  <c r="K190" i="84"/>
  <c r="I190" i="84"/>
  <c r="G190" i="84"/>
  <c r="E190" i="84"/>
  <c r="C190" i="84"/>
  <c r="S189" i="84"/>
  <c r="R189" i="84"/>
  <c r="Q189" i="84"/>
  <c r="O189" i="84"/>
  <c r="M189" i="84"/>
  <c r="K189" i="84"/>
  <c r="I189" i="84"/>
  <c r="G189" i="84"/>
  <c r="E189" i="84"/>
  <c r="C189" i="84"/>
  <c r="S188" i="84"/>
  <c r="R188" i="84"/>
  <c r="Q188" i="84"/>
  <c r="O188" i="84"/>
  <c r="M188" i="84"/>
  <c r="K188" i="84"/>
  <c r="I188" i="84"/>
  <c r="G188" i="84"/>
  <c r="E188" i="84"/>
  <c r="C188" i="84"/>
  <c r="S187" i="84"/>
  <c r="R187" i="84"/>
  <c r="Q187" i="84"/>
  <c r="O187" i="84"/>
  <c r="M187" i="84"/>
  <c r="K187" i="84"/>
  <c r="I187" i="84"/>
  <c r="G187" i="84"/>
  <c r="E187" i="84"/>
  <c r="C187" i="84"/>
  <c r="S186" i="84"/>
  <c r="R186" i="84"/>
  <c r="Q186" i="84"/>
  <c r="O186" i="84"/>
  <c r="M186" i="84"/>
  <c r="K186" i="84"/>
  <c r="I186" i="84"/>
  <c r="G186" i="84"/>
  <c r="E186" i="84"/>
  <c r="C186" i="84"/>
  <c r="S185" i="84"/>
  <c r="R185" i="84"/>
  <c r="Q185" i="84"/>
  <c r="O185" i="84"/>
  <c r="M185" i="84"/>
  <c r="K185" i="84"/>
  <c r="I185" i="84"/>
  <c r="G185" i="84"/>
  <c r="E185" i="84"/>
  <c r="C185" i="84"/>
  <c r="S184" i="84"/>
  <c r="R184" i="84"/>
  <c r="Q184" i="84"/>
  <c r="O184" i="84"/>
  <c r="M184" i="84"/>
  <c r="K184" i="84"/>
  <c r="I184" i="84"/>
  <c r="G184" i="84"/>
  <c r="E184" i="84"/>
  <c r="C184" i="84"/>
  <c r="S183" i="84"/>
  <c r="R183" i="84"/>
  <c r="Q183" i="84"/>
  <c r="O183" i="84"/>
  <c r="M183" i="84"/>
  <c r="K183" i="84"/>
  <c r="I183" i="84"/>
  <c r="G183" i="84"/>
  <c r="E183" i="84"/>
  <c r="C183" i="84"/>
  <c r="S182" i="84"/>
  <c r="R182" i="84"/>
  <c r="Q182" i="84"/>
  <c r="O182" i="84"/>
  <c r="M182" i="84"/>
  <c r="K182" i="84"/>
  <c r="I182" i="84"/>
  <c r="G182" i="84"/>
  <c r="E182" i="84"/>
  <c r="C182" i="84"/>
  <c r="S181" i="84"/>
  <c r="R181" i="84"/>
  <c r="Q181" i="84"/>
  <c r="O181" i="84"/>
  <c r="M181" i="84"/>
  <c r="K181" i="84"/>
  <c r="I181" i="84"/>
  <c r="G181" i="84"/>
  <c r="E181" i="84"/>
  <c r="C181" i="84"/>
  <c r="S180" i="84"/>
  <c r="R180" i="84"/>
  <c r="Q180" i="84"/>
  <c r="O180" i="84"/>
  <c r="M180" i="84"/>
  <c r="K180" i="84"/>
  <c r="I180" i="84"/>
  <c r="G180" i="84"/>
  <c r="E180" i="84"/>
  <c r="C180" i="84"/>
  <c r="S179" i="84"/>
  <c r="R179" i="84"/>
  <c r="Q179" i="84"/>
  <c r="O179" i="84"/>
  <c r="M179" i="84"/>
  <c r="K179" i="84"/>
  <c r="I179" i="84"/>
  <c r="G179" i="84"/>
  <c r="E179" i="84"/>
  <c r="C179" i="84"/>
  <c r="S178" i="84"/>
  <c r="R178" i="84"/>
  <c r="Q178" i="84"/>
  <c r="O178" i="84"/>
  <c r="M178" i="84"/>
  <c r="K178" i="84"/>
  <c r="I178" i="84"/>
  <c r="G178" i="84"/>
  <c r="E178" i="84"/>
  <c r="C178" i="84"/>
  <c r="S177" i="84"/>
  <c r="R177" i="84"/>
  <c r="Q177" i="84"/>
  <c r="O177" i="84"/>
  <c r="M177" i="84"/>
  <c r="K177" i="84"/>
  <c r="I177" i="84"/>
  <c r="G177" i="84"/>
  <c r="E177" i="84"/>
  <c r="C177" i="84"/>
  <c r="S176" i="84"/>
  <c r="R176" i="84"/>
  <c r="Q176" i="84"/>
  <c r="O176" i="84"/>
  <c r="M176" i="84"/>
  <c r="K176" i="84"/>
  <c r="I176" i="84"/>
  <c r="G176" i="84"/>
  <c r="E176" i="84"/>
  <c r="C176" i="84"/>
  <c r="S175" i="84"/>
  <c r="R175" i="84"/>
  <c r="Q175" i="84"/>
  <c r="O175" i="84"/>
  <c r="M175" i="84"/>
  <c r="K175" i="84"/>
  <c r="I175" i="84"/>
  <c r="G175" i="84"/>
  <c r="E175" i="84"/>
  <c r="C175" i="84"/>
  <c r="S174" i="84"/>
  <c r="R174" i="84"/>
  <c r="Q174" i="84"/>
  <c r="O174" i="84"/>
  <c r="M174" i="84"/>
  <c r="K174" i="84"/>
  <c r="I174" i="84"/>
  <c r="G174" i="84"/>
  <c r="E174" i="84"/>
  <c r="C174" i="84"/>
  <c r="S173" i="84"/>
  <c r="R173" i="84"/>
  <c r="Q173" i="84"/>
  <c r="O173" i="84"/>
  <c r="M173" i="84"/>
  <c r="K173" i="84"/>
  <c r="I173" i="84"/>
  <c r="G173" i="84"/>
  <c r="E173" i="84"/>
  <c r="C173" i="84"/>
  <c r="S172" i="84"/>
  <c r="R172" i="84"/>
  <c r="Q172" i="84"/>
  <c r="O172" i="84"/>
  <c r="M172" i="84"/>
  <c r="K172" i="84"/>
  <c r="I172" i="84"/>
  <c r="G172" i="84"/>
  <c r="E172" i="84"/>
  <c r="C172" i="84"/>
  <c r="S171" i="84"/>
  <c r="R171" i="84"/>
  <c r="Q171" i="84"/>
  <c r="O171" i="84"/>
  <c r="M171" i="84"/>
  <c r="K171" i="84"/>
  <c r="I171" i="84"/>
  <c r="G171" i="84"/>
  <c r="E171" i="84"/>
  <c r="C171" i="84"/>
  <c r="S170" i="84"/>
  <c r="R170" i="84"/>
  <c r="Q170" i="84"/>
  <c r="O170" i="84"/>
  <c r="M170" i="84"/>
  <c r="K170" i="84"/>
  <c r="I170" i="84"/>
  <c r="G170" i="84"/>
  <c r="E170" i="84"/>
  <c r="C170" i="84"/>
  <c r="S169" i="84"/>
  <c r="R169" i="84"/>
  <c r="Q169" i="84"/>
  <c r="O169" i="84"/>
  <c r="M169" i="84"/>
  <c r="K169" i="84"/>
  <c r="I169" i="84"/>
  <c r="G169" i="84"/>
  <c r="E169" i="84"/>
  <c r="C169" i="84"/>
  <c r="S168" i="84"/>
  <c r="R168" i="84"/>
  <c r="Q168" i="84"/>
  <c r="O168" i="84"/>
  <c r="M168" i="84"/>
  <c r="K168" i="84"/>
  <c r="I168" i="84"/>
  <c r="G168" i="84"/>
  <c r="E168" i="84"/>
  <c r="C168" i="84"/>
  <c r="S167" i="84"/>
  <c r="R167" i="84"/>
  <c r="Q167" i="84"/>
  <c r="O167" i="84"/>
  <c r="M167" i="84"/>
  <c r="K167" i="84"/>
  <c r="I167" i="84"/>
  <c r="G167" i="84"/>
  <c r="E167" i="84"/>
  <c r="C167" i="84"/>
  <c r="S166" i="84"/>
  <c r="R166" i="84"/>
  <c r="Q166" i="84"/>
  <c r="O166" i="84"/>
  <c r="M166" i="84"/>
  <c r="K166" i="84"/>
  <c r="I166" i="84"/>
  <c r="G166" i="84"/>
  <c r="E166" i="84"/>
  <c r="C166" i="84"/>
  <c r="S165" i="84"/>
  <c r="R165" i="84"/>
  <c r="Q165" i="84"/>
  <c r="O165" i="84"/>
  <c r="M165" i="84"/>
  <c r="K165" i="84"/>
  <c r="I165" i="84"/>
  <c r="G165" i="84"/>
  <c r="E165" i="84"/>
  <c r="C165" i="84"/>
  <c r="S164" i="84"/>
  <c r="R164" i="84"/>
  <c r="Q164" i="84"/>
  <c r="O164" i="84"/>
  <c r="M164" i="84"/>
  <c r="K164" i="84"/>
  <c r="I164" i="84"/>
  <c r="G164" i="84"/>
  <c r="E164" i="84"/>
  <c r="C164" i="84"/>
  <c r="S163" i="84"/>
  <c r="R163" i="84"/>
  <c r="Q163" i="84"/>
  <c r="O163" i="84"/>
  <c r="M163" i="84"/>
  <c r="K163" i="84"/>
  <c r="I163" i="84"/>
  <c r="G163" i="84"/>
  <c r="E163" i="84"/>
  <c r="C163" i="84"/>
  <c r="S162" i="84"/>
  <c r="R162" i="84"/>
  <c r="Q162" i="84"/>
  <c r="O162" i="84"/>
  <c r="M162" i="84"/>
  <c r="K162" i="84"/>
  <c r="I162" i="84"/>
  <c r="G162" i="84"/>
  <c r="E162" i="84"/>
  <c r="C162" i="84"/>
  <c r="S161" i="84"/>
  <c r="R161" i="84"/>
  <c r="Q161" i="84"/>
  <c r="O161" i="84"/>
  <c r="M161" i="84"/>
  <c r="K161" i="84"/>
  <c r="I161" i="84"/>
  <c r="G161" i="84"/>
  <c r="E161" i="84"/>
  <c r="C161" i="84"/>
  <c r="S160" i="84"/>
  <c r="R160" i="84"/>
  <c r="Q160" i="84"/>
  <c r="O160" i="84"/>
  <c r="M160" i="84"/>
  <c r="K160" i="84"/>
  <c r="I160" i="84"/>
  <c r="G160" i="84"/>
  <c r="E160" i="84"/>
  <c r="C160" i="84"/>
  <c r="S159" i="84"/>
  <c r="R159" i="84"/>
  <c r="Q159" i="84"/>
  <c r="O159" i="84"/>
  <c r="M159" i="84"/>
  <c r="K159" i="84"/>
  <c r="I159" i="84"/>
  <c r="G159" i="84"/>
  <c r="E159" i="84"/>
  <c r="C159" i="84"/>
  <c r="S158" i="84"/>
  <c r="R158" i="84"/>
  <c r="Q158" i="84"/>
  <c r="O158" i="84"/>
  <c r="M158" i="84"/>
  <c r="K158" i="84"/>
  <c r="I158" i="84"/>
  <c r="G158" i="84"/>
  <c r="E158" i="84"/>
  <c r="C158" i="84"/>
  <c r="S157" i="84"/>
  <c r="R157" i="84"/>
  <c r="Q157" i="84"/>
  <c r="O157" i="84"/>
  <c r="M157" i="84"/>
  <c r="K157" i="84"/>
  <c r="I157" i="84"/>
  <c r="G157" i="84"/>
  <c r="E157" i="84"/>
  <c r="C157" i="84"/>
  <c r="S156" i="84"/>
  <c r="R156" i="84"/>
  <c r="Q156" i="84"/>
  <c r="O156" i="84"/>
  <c r="M156" i="84"/>
  <c r="K156" i="84"/>
  <c r="I156" i="84"/>
  <c r="G156" i="84"/>
  <c r="E156" i="84"/>
  <c r="C156" i="84"/>
  <c r="S155" i="84"/>
  <c r="R155" i="84"/>
  <c r="Q155" i="84"/>
  <c r="O155" i="84"/>
  <c r="M155" i="84"/>
  <c r="K155" i="84"/>
  <c r="I155" i="84"/>
  <c r="G155" i="84"/>
  <c r="E155" i="84"/>
  <c r="C155" i="84"/>
  <c r="S154" i="84"/>
  <c r="R154" i="84"/>
  <c r="Q154" i="84"/>
  <c r="O154" i="84"/>
  <c r="M154" i="84"/>
  <c r="K154" i="84"/>
  <c r="I154" i="84"/>
  <c r="G154" i="84"/>
  <c r="E154" i="84"/>
  <c r="C154" i="84"/>
  <c r="S153" i="84"/>
  <c r="R153" i="84"/>
  <c r="Q153" i="84"/>
  <c r="O153" i="84"/>
  <c r="M153" i="84"/>
  <c r="K153" i="84"/>
  <c r="I153" i="84"/>
  <c r="G153" i="84"/>
  <c r="E153" i="84"/>
  <c r="C153" i="84"/>
  <c r="S152" i="84"/>
  <c r="R152" i="84"/>
  <c r="Q152" i="84"/>
  <c r="O152" i="84"/>
  <c r="M152" i="84"/>
  <c r="K152" i="84"/>
  <c r="I152" i="84"/>
  <c r="G152" i="84"/>
  <c r="E152" i="84"/>
  <c r="C152" i="84"/>
  <c r="S151" i="84"/>
  <c r="R151" i="84"/>
  <c r="Q151" i="84"/>
  <c r="O151" i="84"/>
  <c r="M151" i="84"/>
  <c r="K151" i="84"/>
  <c r="I151" i="84"/>
  <c r="G151" i="84"/>
  <c r="E151" i="84"/>
  <c r="C151" i="84"/>
  <c r="S150" i="84"/>
  <c r="R150" i="84"/>
  <c r="Q150" i="84"/>
  <c r="O150" i="84"/>
  <c r="M150" i="84"/>
  <c r="K150" i="84"/>
  <c r="I150" i="84"/>
  <c r="G150" i="84"/>
  <c r="E150" i="84"/>
  <c r="C150" i="84"/>
  <c r="S149" i="84"/>
  <c r="R149" i="84"/>
  <c r="Q149" i="84"/>
  <c r="O149" i="84"/>
  <c r="M149" i="84"/>
  <c r="K149" i="84"/>
  <c r="I149" i="84"/>
  <c r="G149" i="84"/>
  <c r="E149" i="84"/>
  <c r="C149" i="84"/>
  <c r="S148" i="84"/>
  <c r="R148" i="84"/>
  <c r="Q148" i="84"/>
  <c r="O148" i="84"/>
  <c r="M148" i="84"/>
  <c r="K148" i="84"/>
  <c r="I148" i="84"/>
  <c r="G148" i="84"/>
  <c r="E148" i="84"/>
  <c r="C148" i="84"/>
  <c r="S147" i="84"/>
  <c r="R147" i="84"/>
  <c r="Q147" i="84"/>
  <c r="O147" i="84"/>
  <c r="M147" i="84"/>
  <c r="K147" i="84"/>
  <c r="I147" i="84"/>
  <c r="G147" i="84"/>
  <c r="E147" i="84"/>
  <c r="C147" i="84"/>
  <c r="S146" i="84"/>
  <c r="R146" i="84"/>
  <c r="Q146" i="84"/>
  <c r="O146" i="84"/>
  <c r="M146" i="84"/>
  <c r="K146" i="84"/>
  <c r="I146" i="84"/>
  <c r="G146" i="84"/>
  <c r="E146" i="84"/>
  <c r="C146" i="84"/>
  <c r="S145" i="84"/>
  <c r="R145" i="84"/>
  <c r="Q145" i="84"/>
  <c r="O145" i="84"/>
  <c r="M145" i="84"/>
  <c r="K145" i="84"/>
  <c r="I145" i="84"/>
  <c r="G145" i="84"/>
  <c r="E145" i="84"/>
  <c r="C145" i="84"/>
  <c r="S144" i="84"/>
  <c r="R144" i="84"/>
  <c r="Q144" i="84"/>
  <c r="O144" i="84"/>
  <c r="M144" i="84"/>
  <c r="K144" i="84"/>
  <c r="I144" i="84"/>
  <c r="G144" i="84"/>
  <c r="E144" i="84"/>
  <c r="C144" i="84"/>
  <c r="S143" i="84"/>
  <c r="R143" i="84"/>
  <c r="Q143" i="84"/>
  <c r="O143" i="84"/>
  <c r="M143" i="84"/>
  <c r="K143" i="84"/>
  <c r="I143" i="84"/>
  <c r="G143" i="84"/>
  <c r="E143" i="84"/>
  <c r="C143" i="84"/>
  <c r="S142" i="84"/>
  <c r="R142" i="84"/>
  <c r="Q142" i="84"/>
  <c r="O142" i="84"/>
  <c r="M142" i="84"/>
  <c r="K142" i="84"/>
  <c r="I142" i="84"/>
  <c r="G142" i="84"/>
  <c r="E142" i="84"/>
  <c r="C142" i="84"/>
  <c r="S141" i="84"/>
  <c r="R141" i="84"/>
  <c r="Q141" i="84"/>
  <c r="O141" i="84"/>
  <c r="M141" i="84"/>
  <c r="K141" i="84"/>
  <c r="I141" i="84"/>
  <c r="G141" i="84"/>
  <c r="E141" i="84"/>
  <c r="C141" i="84"/>
  <c r="S140" i="84"/>
  <c r="R140" i="84"/>
  <c r="Q140" i="84"/>
  <c r="O140" i="84"/>
  <c r="M140" i="84"/>
  <c r="K140" i="84"/>
  <c r="I140" i="84"/>
  <c r="G140" i="84"/>
  <c r="E140" i="84"/>
  <c r="C140" i="84"/>
  <c r="S139" i="84"/>
  <c r="R139" i="84"/>
  <c r="Q139" i="84"/>
  <c r="O139" i="84"/>
  <c r="M139" i="84"/>
  <c r="K139" i="84"/>
  <c r="I139" i="84"/>
  <c r="G139" i="84"/>
  <c r="E139" i="84"/>
  <c r="C139" i="84"/>
  <c r="S138" i="84"/>
  <c r="R138" i="84"/>
  <c r="Q138" i="84"/>
  <c r="O138" i="84"/>
  <c r="M138" i="84"/>
  <c r="K138" i="84"/>
  <c r="I138" i="84"/>
  <c r="G138" i="84"/>
  <c r="E138" i="84"/>
  <c r="C138" i="84"/>
  <c r="S137" i="84"/>
  <c r="R137" i="84"/>
  <c r="Q137" i="84"/>
  <c r="O137" i="84"/>
  <c r="M137" i="84"/>
  <c r="K137" i="84"/>
  <c r="I137" i="84"/>
  <c r="G137" i="84"/>
  <c r="E137" i="84"/>
  <c r="C137" i="84"/>
  <c r="S136" i="84"/>
  <c r="R136" i="84"/>
  <c r="Q136" i="84"/>
  <c r="O136" i="84"/>
  <c r="M136" i="84"/>
  <c r="K136" i="84"/>
  <c r="I136" i="84"/>
  <c r="G136" i="84"/>
  <c r="E136" i="84"/>
  <c r="C136" i="84"/>
  <c r="S135" i="84"/>
  <c r="R135" i="84"/>
  <c r="Q135" i="84"/>
  <c r="O135" i="84"/>
  <c r="M135" i="84"/>
  <c r="K135" i="84"/>
  <c r="I135" i="84"/>
  <c r="G135" i="84"/>
  <c r="E135" i="84"/>
  <c r="C135" i="84"/>
  <c r="S134" i="84"/>
  <c r="R134" i="84"/>
  <c r="Q134" i="84"/>
  <c r="O134" i="84"/>
  <c r="M134" i="84"/>
  <c r="K134" i="84"/>
  <c r="I134" i="84"/>
  <c r="G134" i="84"/>
  <c r="E134" i="84"/>
  <c r="C134" i="84"/>
  <c r="S133" i="84"/>
  <c r="R133" i="84"/>
  <c r="Q133" i="84"/>
  <c r="O133" i="84"/>
  <c r="M133" i="84"/>
  <c r="K133" i="84"/>
  <c r="I133" i="84"/>
  <c r="G133" i="84"/>
  <c r="E133" i="84"/>
  <c r="C133" i="84"/>
  <c r="S132" i="84"/>
  <c r="R132" i="84"/>
  <c r="Q132" i="84"/>
  <c r="O132" i="84"/>
  <c r="M132" i="84"/>
  <c r="K132" i="84"/>
  <c r="I132" i="84"/>
  <c r="G132" i="84"/>
  <c r="E132" i="84"/>
  <c r="C132" i="84"/>
  <c r="S131" i="84"/>
  <c r="R131" i="84"/>
  <c r="Q131" i="84"/>
  <c r="O131" i="84"/>
  <c r="M131" i="84"/>
  <c r="K131" i="84"/>
  <c r="I131" i="84"/>
  <c r="G131" i="84"/>
  <c r="E131" i="84"/>
  <c r="C131" i="84"/>
  <c r="S130" i="84"/>
  <c r="R130" i="84"/>
  <c r="Q130" i="84"/>
  <c r="O130" i="84"/>
  <c r="M130" i="84"/>
  <c r="K130" i="84"/>
  <c r="I130" i="84"/>
  <c r="G130" i="84"/>
  <c r="E130" i="84"/>
  <c r="C130" i="84"/>
  <c r="S129" i="84"/>
  <c r="R129" i="84"/>
  <c r="Q129" i="84"/>
  <c r="O129" i="84"/>
  <c r="M129" i="84"/>
  <c r="K129" i="84"/>
  <c r="I129" i="84"/>
  <c r="G129" i="84"/>
  <c r="E129" i="84"/>
  <c r="C129" i="84"/>
  <c r="S128" i="84"/>
  <c r="R128" i="84"/>
  <c r="Q128" i="84"/>
  <c r="O128" i="84"/>
  <c r="M128" i="84"/>
  <c r="K128" i="84"/>
  <c r="I128" i="84"/>
  <c r="G128" i="84"/>
  <c r="E128" i="84"/>
  <c r="C128" i="84"/>
  <c r="S127" i="84"/>
  <c r="R127" i="84"/>
  <c r="Q127" i="84"/>
  <c r="O127" i="84"/>
  <c r="M127" i="84"/>
  <c r="K127" i="84"/>
  <c r="I127" i="84"/>
  <c r="G127" i="84"/>
  <c r="E127" i="84"/>
  <c r="C127" i="84"/>
  <c r="S126" i="84"/>
  <c r="R126" i="84"/>
  <c r="Q126" i="84"/>
  <c r="O126" i="84"/>
  <c r="M126" i="84"/>
  <c r="K126" i="84"/>
  <c r="I126" i="84"/>
  <c r="G126" i="84"/>
  <c r="E126" i="84"/>
  <c r="C126" i="84"/>
  <c r="S125" i="84"/>
  <c r="R125" i="84"/>
  <c r="Q125" i="84"/>
  <c r="O125" i="84"/>
  <c r="M125" i="84"/>
  <c r="K125" i="84"/>
  <c r="I125" i="84"/>
  <c r="G125" i="84"/>
  <c r="E125" i="84"/>
  <c r="C125" i="84"/>
  <c r="S124" i="84"/>
  <c r="R124" i="84"/>
  <c r="Q124" i="84"/>
  <c r="O124" i="84"/>
  <c r="M124" i="84"/>
  <c r="K124" i="84"/>
  <c r="I124" i="84"/>
  <c r="G124" i="84"/>
  <c r="E124" i="84"/>
  <c r="C124" i="84"/>
  <c r="S123" i="84"/>
  <c r="R123" i="84"/>
  <c r="Q123" i="84"/>
  <c r="O123" i="84"/>
  <c r="M123" i="84"/>
  <c r="K123" i="84"/>
  <c r="I123" i="84"/>
  <c r="G123" i="84"/>
  <c r="E123" i="84"/>
  <c r="C123" i="84"/>
  <c r="S122" i="84"/>
  <c r="R122" i="84"/>
  <c r="Q122" i="84"/>
  <c r="O122" i="84"/>
  <c r="M122" i="84"/>
  <c r="K122" i="84"/>
  <c r="I122" i="84"/>
  <c r="G122" i="84"/>
  <c r="E122" i="84"/>
  <c r="C122" i="84"/>
  <c r="S121" i="84"/>
  <c r="R121" i="84"/>
  <c r="Q121" i="84"/>
  <c r="O121" i="84"/>
  <c r="M121" i="84"/>
  <c r="K121" i="84"/>
  <c r="I121" i="84"/>
  <c r="G121" i="84"/>
  <c r="E121" i="84"/>
  <c r="C121" i="84"/>
  <c r="S120" i="84"/>
  <c r="R120" i="84"/>
  <c r="Q120" i="84"/>
  <c r="O120" i="84"/>
  <c r="M120" i="84"/>
  <c r="K120" i="84"/>
  <c r="I120" i="84"/>
  <c r="G120" i="84"/>
  <c r="E120" i="84"/>
  <c r="C120" i="84"/>
  <c r="S119" i="84"/>
  <c r="R119" i="84"/>
  <c r="Q119" i="84"/>
  <c r="O119" i="84"/>
  <c r="M119" i="84"/>
  <c r="K119" i="84"/>
  <c r="I119" i="84"/>
  <c r="G119" i="84"/>
  <c r="E119" i="84"/>
  <c r="C119" i="84"/>
  <c r="S118" i="84"/>
  <c r="R118" i="84"/>
  <c r="Q118" i="84"/>
  <c r="O118" i="84"/>
  <c r="M118" i="84"/>
  <c r="K118" i="84"/>
  <c r="I118" i="84"/>
  <c r="G118" i="84"/>
  <c r="E118" i="84"/>
  <c r="C118" i="84"/>
  <c r="S117" i="84"/>
  <c r="R117" i="84"/>
  <c r="Q117" i="84"/>
  <c r="O117" i="84"/>
  <c r="M117" i="84"/>
  <c r="K117" i="84"/>
  <c r="I117" i="84"/>
  <c r="G117" i="84"/>
  <c r="E117" i="84"/>
  <c r="C117" i="84"/>
  <c r="S116" i="84"/>
  <c r="R116" i="84"/>
  <c r="Q116" i="84"/>
  <c r="O116" i="84"/>
  <c r="M116" i="84"/>
  <c r="K116" i="84"/>
  <c r="I116" i="84"/>
  <c r="G116" i="84"/>
  <c r="E116" i="84"/>
  <c r="C116" i="84"/>
  <c r="S115" i="84"/>
  <c r="R115" i="84"/>
  <c r="Q115" i="84"/>
  <c r="O115" i="84"/>
  <c r="M115" i="84"/>
  <c r="K115" i="84"/>
  <c r="I115" i="84"/>
  <c r="G115" i="84"/>
  <c r="E115" i="84"/>
  <c r="C115" i="84"/>
  <c r="S114" i="84"/>
  <c r="R114" i="84"/>
  <c r="Q114" i="84"/>
  <c r="O114" i="84"/>
  <c r="M114" i="84"/>
  <c r="K114" i="84"/>
  <c r="I114" i="84"/>
  <c r="G114" i="84"/>
  <c r="E114" i="84"/>
  <c r="C114" i="84"/>
  <c r="S113" i="84"/>
  <c r="R113" i="84"/>
  <c r="Q113" i="84"/>
  <c r="O113" i="84"/>
  <c r="M113" i="84"/>
  <c r="K113" i="84"/>
  <c r="I113" i="84"/>
  <c r="G113" i="84"/>
  <c r="E113" i="84"/>
  <c r="C113" i="84"/>
  <c r="S112" i="84"/>
  <c r="R112" i="84"/>
  <c r="Q112" i="84"/>
  <c r="O112" i="84"/>
  <c r="M112" i="84"/>
  <c r="K112" i="84"/>
  <c r="I112" i="84"/>
  <c r="G112" i="84"/>
  <c r="E112" i="84"/>
  <c r="C112" i="84"/>
  <c r="S111" i="84"/>
  <c r="R111" i="84"/>
  <c r="Q111" i="84"/>
  <c r="O111" i="84"/>
  <c r="M111" i="84"/>
  <c r="K111" i="84"/>
  <c r="I111" i="84"/>
  <c r="G111" i="84"/>
  <c r="E111" i="84"/>
  <c r="C111" i="84"/>
  <c r="S110" i="84"/>
  <c r="R110" i="84"/>
  <c r="Q110" i="84"/>
  <c r="O110" i="84"/>
  <c r="M110" i="84"/>
  <c r="K110" i="84"/>
  <c r="I110" i="84"/>
  <c r="G110" i="84"/>
  <c r="E110" i="84"/>
  <c r="C110" i="84"/>
  <c r="S109" i="84"/>
  <c r="R109" i="84"/>
  <c r="Q109" i="84"/>
  <c r="O109" i="84"/>
  <c r="M109" i="84"/>
  <c r="K109" i="84"/>
  <c r="I109" i="84"/>
  <c r="G109" i="84"/>
  <c r="E109" i="84"/>
  <c r="C109" i="84"/>
  <c r="S108" i="84"/>
  <c r="R108" i="84"/>
  <c r="Q108" i="84"/>
  <c r="O108" i="84"/>
  <c r="M108" i="84"/>
  <c r="K108" i="84"/>
  <c r="I108" i="84"/>
  <c r="G108" i="84"/>
  <c r="E108" i="84"/>
  <c r="C108" i="84"/>
  <c r="S107" i="84"/>
  <c r="R107" i="84"/>
  <c r="Q107" i="84"/>
  <c r="O107" i="84"/>
  <c r="M107" i="84"/>
  <c r="K107" i="84"/>
  <c r="I107" i="84"/>
  <c r="G107" i="84"/>
  <c r="E107" i="84"/>
  <c r="C107" i="84"/>
  <c r="S106" i="84"/>
  <c r="R106" i="84"/>
  <c r="Q106" i="84"/>
  <c r="O106" i="84"/>
  <c r="M106" i="84"/>
  <c r="K106" i="84"/>
  <c r="I106" i="84"/>
  <c r="G106" i="84"/>
  <c r="E106" i="84"/>
  <c r="C106" i="84"/>
  <c r="S105" i="84"/>
  <c r="R105" i="84"/>
  <c r="Q105" i="84"/>
  <c r="O105" i="84"/>
  <c r="M105" i="84"/>
  <c r="K105" i="84"/>
  <c r="I105" i="84"/>
  <c r="G105" i="84"/>
  <c r="E105" i="84"/>
  <c r="C105" i="84"/>
  <c r="S104" i="84"/>
  <c r="R104" i="84"/>
  <c r="Q104" i="84"/>
  <c r="O104" i="84"/>
  <c r="M104" i="84"/>
  <c r="K104" i="84"/>
  <c r="I104" i="84"/>
  <c r="G104" i="84"/>
  <c r="E104" i="84"/>
  <c r="C104" i="84"/>
  <c r="S103" i="84"/>
  <c r="R103" i="84"/>
  <c r="Q103" i="84"/>
  <c r="O103" i="84"/>
  <c r="M103" i="84"/>
  <c r="K103" i="84"/>
  <c r="I103" i="84"/>
  <c r="G103" i="84"/>
  <c r="E103" i="84"/>
  <c r="C103" i="84"/>
  <c r="S102" i="84"/>
  <c r="R102" i="84"/>
  <c r="Q102" i="84"/>
  <c r="O102" i="84"/>
  <c r="M102" i="84"/>
  <c r="K102" i="84"/>
  <c r="I102" i="84"/>
  <c r="G102" i="84"/>
  <c r="E102" i="84"/>
  <c r="C102" i="84"/>
  <c r="S101" i="84"/>
  <c r="R101" i="84"/>
  <c r="Q101" i="84"/>
  <c r="O101" i="84"/>
  <c r="M101" i="84"/>
  <c r="K101" i="84"/>
  <c r="I101" i="84"/>
  <c r="G101" i="84"/>
  <c r="E101" i="84"/>
  <c r="C101" i="84"/>
  <c r="S100" i="84"/>
  <c r="R100" i="84"/>
  <c r="Q100" i="84"/>
  <c r="O100" i="84"/>
  <c r="M100" i="84"/>
  <c r="K100" i="84"/>
  <c r="I100" i="84"/>
  <c r="G100" i="84"/>
  <c r="E100" i="84"/>
  <c r="C100" i="84"/>
  <c r="S99" i="84"/>
  <c r="R99" i="84"/>
  <c r="Q99" i="84"/>
  <c r="O99" i="84"/>
  <c r="M99" i="84"/>
  <c r="K99" i="84"/>
  <c r="I99" i="84"/>
  <c r="G99" i="84"/>
  <c r="E99" i="84"/>
  <c r="C99" i="84"/>
  <c r="S98" i="84"/>
  <c r="R98" i="84"/>
  <c r="Q98" i="84"/>
  <c r="O98" i="84"/>
  <c r="M98" i="84"/>
  <c r="K98" i="84"/>
  <c r="I98" i="84"/>
  <c r="G98" i="84"/>
  <c r="E98" i="84"/>
  <c r="C98" i="84"/>
  <c r="S97" i="84"/>
  <c r="R97" i="84"/>
  <c r="Q97" i="84"/>
  <c r="O97" i="84"/>
  <c r="M97" i="84"/>
  <c r="K97" i="84"/>
  <c r="I97" i="84"/>
  <c r="G97" i="84"/>
  <c r="E97" i="84"/>
  <c r="C97" i="84"/>
  <c r="S96" i="84"/>
  <c r="R96" i="84"/>
  <c r="Q96" i="84"/>
  <c r="O96" i="84"/>
  <c r="M96" i="84"/>
  <c r="K96" i="84"/>
  <c r="I96" i="84"/>
  <c r="G96" i="84"/>
  <c r="E96" i="84"/>
  <c r="C96" i="84"/>
  <c r="S95" i="84"/>
  <c r="R95" i="84"/>
  <c r="Q95" i="84"/>
  <c r="O95" i="84"/>
  <c r="M95" i="84"/>
  <c r="K95" i="84"/>
  <c r="I95" i="84"/>
  <c r="G95" i="84"/>
  <c r="E95" i="84"/>
  <c r="C95" i="84"/>
  <c r="S94" i="84"/>
  <c r="R94" i="84"/>
  <c r="Q94" i="84"/>
  <c r="O94" i="84"/>
  <c r="M94" i="84"/>
  <c r="K94" i="84"/>
  <c r="I94" i="84"/>
  <c r="G94" i="84"/>
  <c r="E94" i="84"/>
  <c r="C94" i="84"/>
  <c r="S93" i="84"/>
  <c r="R93" i="84"/>
  <c r="Q93" i="84"/>
  <c r="O93" i="84"/>
  <c r="M93" i="84"/>
  <c r="K93" i="84"/>
  <c r="I93" i="84"/>
  <c r="G93" i="84"/>
  <c r="E93" i="84"/>
  <c r="C93" i="84"/>
  <c r="S92" i="84"/>
  <c r="R92" i="84"/>
  <c r="Q92" i="84"/>
  <c r="O92" i="84"/>
  <c r="M92" i="84"/>
  <c r="K92" i="84"/>
  <c r="I92" i="84"/>
  <c r="G92" i="84"/>
  <c r="E92" i="84"/>
  <c r="C92" i="84"/>
  <c r="S91" i="84"/>
  <c r="R91" i="84"/>
  <c r="Q91" i="84"/>
  <c r="O91" i="84"/>
  <c r="M91" i="84"/>
  <c r="K91" i="84"/>
  <c r="I91" i="84"/>
  <c r="G91" i="84"/>
  <c r="E91" i="84"/>
  <c r="C91" i="84"/>
  <c r="S90" i="84"/>
  <c r="R90" i="84"/>
  <c r="Q90" i="84"/>
  <c r="O90" i="84"/>
  <c r="M90" i="84"/>
  <c r="K90" i="84"/>
  <c r="I90" i="84"/>
  <c r="G90" i="84"/>
  <c r="E90" i="84"/>
  <c r="C90" i="84"/>
  <c r="S89" i="84"/>
  <c r="R89" i="84"/>
  <c r="Q89" i="84"/>
  <c r="O89" i="84"/>
  <c r="M89" i="84"/>
  <c r="K89" i="84"/>
  <c r="I89" i="84"/>
  <c r="G89" i="84"/>
  <c r="E89" i="84"/>
  <c r="C89" i="84"/>
  <c r="S88" i="84"/>
  <c r="R88" i="84"/>
  <c r="Q88" i="84"/>
  <c r="O88" i="84"/>
  <c r="M88" i="84"/>
  <c r="K88" i="84"/>
  <c r="I88" i="84"/>
  <c r="G88" i="84"/>
  <c r="E88" i="84"/>
  <c r="C88" i="84"/>
  <c r="S87" i="84"/>
  <c r="R87" i="84"/>
  <c r="Q87" i="84"/>
  <c r="O87" i="84"/>
  <c r="M87" i="84"/>
  <c r="K87" i="84"/>
  <c r="I87" i="84"/>
  <c r="G87" i="84"/>
  <c r="E87" i="84"/>
  <c r="C87" i="84"/>
  <c r="S86" i="84"/>
  <c r="R86" i="84"/>
  <c r="Q86" i="84"/>
  <c r="O86" i="84"/>
  <c r="M86" i="84"/>
  <c r="K86" i="84"/>
  <c r="I86" i="84"/>
  <c r="G86" i="84"/>
  <c r="E86" i="84"/>
  <c r="C86" i="84"/>
  <c r="S85" i="84"/>
  <c r="R85" i="84"/>
  <c r="Q85" i="84"/>
  <c r="O85" i="84"/>
  <c r="M85" i="84"/>
  <c r="K85" i="84"/>
  <c r="I85" i="84"/>
  <c r="G85" i="84"/>
  <c r="E85" i="84"/>
  <c r="C85" i="84"/>
  <c r="S84" i="84"/>
  <c r="R84" i="84"/>
  <c r="Q84" i="84"/>
  <c r="O84" i="84"/>
  <c r="M84" i="84"/>
  <c r="K84" i="84"/>
  <c r="I84" i="84"/>
  <c r="G84" i="84"/>
  <c r="E84" i="84"/>
  <c r="C84" i="84"/>
  <c r="S83" i="84"/>
  <c r="R83" i="84"/>
  <c r="Q83" i="84"/>
  <c r="O83" i="84"/>
  <c r="M83" i="84"/>
  <c r="K83" i="84"/>
  <c r="I83" i="84"/>
  <c r="G83" i="84"/>
  <c r="E83" i="84"/>
  <c r="C83" i="84"/>
  <c r="S82" i="84"/>
  <c r="R82" i="84"/>
  <c r="Q82" i="84"/>
  <c r="O82" i="84"/>
  <c r="M82" i="84"/>
  <c r="K82" i="84"/>
  <c r="I82" i="84"/>
  <c r="G82" i="84"/>
  <c r="E82" i="84"/>
  <c r="C82" i="84"/>
  <c r="S81" i="84"/>
  <c r="R81" i="84"/>
  <c r="Q81" i="84"/>
  <c r="O81" i="84"/>
  <c r="M81" i="84"/>
  <c r="K81" i="84"/>
  <c r="I81" i="84"/>
  <c r="G81" i="84"/>
  <c r="E81" i="84"/>
  <c r="C81" i="84"/>
  <c r="S80" i="84"/>
  <c r="R80" i="84"/>
  <c r="Q80" i="84"/>
  <c r="O80" i="84"/>
  <c r="M80" i="84"/>
  <c r="K80" i="84"/>
  <c r="I80" i="84"/>
  <c r="G80" i="84"/>
  <c r="E80" i="84"/>
  <c r="C80" i="84"/>
  <c r="S79" i="84"/>
  <c r="R79" i="84"/>
  <c r="Q79" i="84"/>
  <c r="O79" i="84"/>
  <c r="M79" i="84"/>
  <c r="K79" i="84"/>
  <c r="I79" i="84"/>
  <c r="G79" i="84"/>
  <c r="E79" i="84"/>
  <c r="C79" i="84"/>
  <c r="S78" i="84"/>
  <c r="R78" i="84"/>
  <c r="Q78" i="84"/>
  <c r="O78" i="84"/>
  <c r="M78" i="84"/>
  <c r="K78" i="84"/>
  <c r="I78" i="84"/>
  <c r="G78" i="84"/>
  <c r="E78" i="84"/>
  <c r="C78" i="84"/>
  <c r="S77" i="84"/>
  <c r="R77" i="84"/>
  <c r="Q77" i="84"/>
  <c r="O77" i="84"/>
  <c r="M77" i="84"/>
  <c r="K77" i="84"/>
  <c r="I77" i="84"/>
  <c r="G77" i="84"/>
  <c r="E77" i="84"/>
  <c r="C77" i="84"/>
  <c r="S76" i="84"/>
  <c r="R76" i="84"/>
  <c r="Q76" i="84"/>
  <c r="O76" i="84"/>
  <c r="M76" i="84"/>
  <c r="K76" i="84"/>
  <c r="I76" i="84"/>
  <c r="G76" i="84"/>
  <c r="E76" i="84"/>
  <c r="C76" i="84"/>
  <c r="S75" i="84"/>
  <c r="R75" i="84"/>
  <c r="Q75" i="84"/>
  <c r="O75" i="84"/>
  <c r="M75" i="84"/>
  <c r="K75" i="84"/>
  <c r="I75" i="84"/>
  <c r="G75" i="84"/>
  <c r="E75" i="84"/>
  <c r="C75" i="84"/>
  <c r="S74" i="84"/>
  <c r="R74" i="84"/>
  <c r="Q74" i="84"/>
  <c r="O74" i="84"/>
  <c r="M74" i="84"/>
  <c r="K74" i="84"/>
  <c r="I74" i="84"/>
  <c r="G74" i="84"/>
  <c r="E74" i="84"/>
  <c r="C74" i="84"/>
  <c r="S73" i="84"/>
  <c r="R73" i="84"/>
  <c r="Q73" i="84"/>
  <c r="O73" i="84"/>
  <c r="M73" i="84"/>
  <c r="K73" i="84"/>
  <c r="I73" i="84"/>
  <c r="G73" i="84"/>
  <c r="E73" i="84"/>
  <c r="C73" i="84"/>
  <c r="S72" i="84"/>
  <c r="R72" i="84"/>
  <c r="Q72" i="84"/>
  <c r="O72" i="84"/>
  <c r="M72" i="84"/>
  <c r="K72" i="84"/>
  <c r="I72" i="84"/>
  <c r="G72" i="84"/>
  <c r="E72" i="84"/>
  <c r="C72" i="84"/>
  <c r="S71" i="84"/>
  <c r="R71" i="84"/>
  <c r="Q71" i="84"/>
  <c r="O71" i="84"/>
  <c r="M71" i="84"/>
  <c r="K71" i="84"/>
  <c r="I71" i="84"/>
  <c r="G71" i="84"/>
  <c r="E71" i="84"/>
  <c r="C71" i="84"/>
  <c r="S70" i="84"/>
  <c r="R70" i="84"/>
  <c r="Q70" i="84"/>
  <c r="O70" i="84"/>
  <c r="M70" i="84"/>
  <c r="K70" i="84"/>
  <c r="I70" i="84"/>
  <c r="G70" i="84"/>
  <c r="E70" i="84"/>
  <c r="C70" i="84"/>
  <c r="S69" i="84"/>
  <c r="R69" i="84"/>
  <c r="Q69" i="84"/>
  <c r="O69" i="84"/>
  <c r="M69" i="84"/>
  <c r="K69" i="84"/>
  <c r="I69" i="84"/>
  <c r="G69" i="84"/>
  <c r="E69" i="84"/>
  <c r="C69" i="84"/>
  <c r="S68" i="84"/>
  <c r="R68" i="84"/>
  <c r="Q68" i="84"/>
  <c r="O68" i="84"/>
  <c r="M68" i="84"/>
  <c r="K68" i="84"/>
  <c r="I68" i="84"/>
  <c r="G68" i="84"/>
  <c r="E68" i="84"/>
  <c r="C68" i="84"/>
  <c r="S67" i="84"/>
  <c r="R67" i="84"/>
  <c r="Q67" i="84"/>
  <c r="O67" i="84"/>
  <c r="M67" i="84"/>
  <c r="K67" i="84"/>
  <c r="I67" i="84"/>
  <c r="G67" i="84"/>
  <c r="E67" i="84"/>
  <c r="C67" i="84"/>
  <c r="S66" i="84"/>
  <c r="R66" i="84"/>
  <c r="Q66" i="84"/>
  <c r="O66" i="84"/>
  <c r="M66" i="84"/>
  <c r="K66" i="84"/>
  <c r="I66" i="84"/>
  <c r="G66" i="84"/>
  <c r="E66" i="84"/>
  <c r="C66" i="84"/>
  <c r="S65" i="84"/>
  <c r="R65" i="84"/>
  <c r="Q65" i="84"/>
  <c r="O65" i="84"/>
  <c r="M65" i="84"/>
  <c r="K65" i="84"/>
  <c r="I65" i="84"/>
  <c r="G65" i="84"/>
  <c r="E65" i="84"/>
  <c r="C65" i="84"/>
  <c r="S64" i="84"/>
  <c r="R64" i="84"/>
  <c r="Q64" i="84"/>
  <c r="O64" i="84"/>
  <c r="M64" i="84"/>
  <c r="K64" i="84"/>
  <c r="I64" i="84"/>
  <c r="G64" i="84"/>
  <c r="E64" i="84"/>
  <c r="C64" i="84"/>
  <c r="S63" i="84"/>
  <c r="R63" i="84"/>
  <c r="Q63" i="84"/>
  <c r="O63" i="84"/>
  <c r="M63" i="84"/>
  <c r="K63" i="84"/>
  <c r="I63" i="84"/>
  <c r="G63" i="84"/>
  <c r="E63" i="84"/>
  <c r="C63" i="84"/>
  <c r="S62" i="84"/>
  <c r="R62" i="84"/>
  <c r="Q62" i="84"/>
  <c r="O62" i="84"/>
  <c r="M62" i="84"/>
  <c r="K62" i="84"/>
  <c r="I62" i="84"/>
  <c r="G62" i="84"/>
  <c r="E62" i="84"/>
  <c r="C62" i="84"/>
  <c r="S61" i="84"/>
  <c r="R61" i="84"/>
  <c r="Q61" i="84"/>
  <c r="O61" i="84"/>
  <c r="M61" i="84"/>
  <c r="K61" i="84"/>
  <c r="I61" i="84"/>
  <c r="G61" i="84"/>
  <c r="E61" i="84"/>
  <c r="C61" i="84"/>
  <c r="S60" i="84"/>
  <c r="R60" i="84"/>
  <c r="Q60" i="84"/>
  <c r="O60" i="84"/>
  <c r="M60" i="84"/>
  <c r="K60" i="84"/>
  <c r="I60" i="84"/>
  <c r="G60" i="84"/>
  <c r="E60" i="84"/>
  <c r="C60" i="84"/>
  <c r="S59" i="84"/>
  <c r="R59" i="84"/>
  <c r="Q59" i="84"/>
  <c r="O59" i="84"/>
  <c r="M59" i="84"/>
  <c r="K59" i="84"/>
  <c r="I59" i="84"/>
  <c r="G59" i="84"/>
  <c r="E59" i="84"/>
  <c r="C59" i="84"/>
  <c r="S58" i="84"/>
  <c r="R58" i="84"/>
  <c r="Q58" i="84"/>
  <c r="O58" i="84"/>
  <c r="M58" i="84"/>
  <c r="K58" i="84"/>
  <c r="I58" i="84"/>
  <c r="G58" i="84"/>
  <c r="E58" i="84"/>
  <c r="C58" i="84"/>
  <c r="S57" i="84"/>
  <c r="R57" i="84"/>
  <c r="Q57" i="84"/>
  <c r="O57" i="84"/>
  <c r="M57" i="84"/>
  <c r="K57" i="84"/>
  <c r="I57" i="84"/>
  <c r="G57" i="84"/>
  <c r="E57" i="84"/>
  <c r="C57" i="84"/>
  <c r="S56" i="84"/>
  <c r="R56" i="84"/>
  <c r="Q56" i="84"/>
  <c r="O56" i="84"/>
  <c r="M56" i="84"/>
  <c r="K56" i="84"/>
  <c r="I56" i="84"/>
  <c r="G56" i="84"/>
  <c r="E56" i="84"/>
  <c r="C56" i="84"/>
  <c r="S55" i="84"/>
  <c r="R55" i="84"/>
  <c r="Q55" i="84"/>
  <c r="O55" i="84"/>
  <c r="M55" i="84"/>
  <c r="K55" i="84"/>
  <c r="I55" i="84"/>
  <c r="G55" i="84"/>
  <c r="E55" i="84"/>
  <c r="C55" i="84"/>
  <c r="S54" i="84"/>
  <c r="R54" i="84"/>
  <c r="Q54" i="84"/>
  <c r="O54" i="84"/>
  <c r="M54" i="84"/>
  <c r="K54" i="84"/>
  <c r="I54" i="84"/>
  <c r="G54" i="84"/>
  <c r="E54" i="84"/>
  <c r="C54" i="84"/>
  <c r="S53" i="84"/>
  <c r="R53" i="84"/>
  <c r="Q53" i="84"/>
  <c r="O53" i="84"/>
  <c r="M53" i="84"/>
  <c r="K53" i="84"/>
  <c r="I53" i="84"/>
  <c r="G53" i="84"/>
  <c r="E53" i="84"/>
  <c r="C53" i="84"/>
  <c r="S52" i="84"/>
  <c r="R52" i="84"/>
  <c r="Q52" i="84"/>
  <c r="O52" i="84"/>
  <c r="M52" i="84"/>
  <c r="K52" i="84"/>
  <c r="I52" i="84"/>
  <c r="G52" i="84"/>
  <c r="E52" i="84"/>
  <c r="C52" i="84"/>
  <c r="S51" i="84"/>
  <c r="R51" i="84"/>
  <c r="Q51" i="84"/>
  <c r="O51" i="84"/>
  <c r="M51" i="84"/>
  <c r="K51" i="84"/>
  <c r="I51" i="84"/>
  <c r="G51" i="84"/>
  <c r="E51" i="84"/>
  <c r="C51" i="84"/>
  <c r="S50" i="84"/>
  <c r="R50" i="84"/>
  <c r="Q50" i="84"/>
  <c r="O50" i="84"/>
  <c r="M50" i="84"/>
  <c r="K50" i="84"/>
  <c r="I50" i="84"/>
  <c r="G50" i="84"/>
  <c r="E50" i="84"/>
  <c r="C50" i="84"/>
  <c r="S49" i="84"/>
  <c r="R49" i="84"/>
  <c r="Q49" i="84"/>
  <c r="O49" i="84"/>
  <c r="M49" i="84"/>
  <c r="K49" i="84"/>
  <c r="I49" i="84"/>
  <c r="G49" i="84"/>
  <c r="E49" i="84"/>
  <c r="C49" i="84"/>
  <c r="S48" i="84"/>
  <c r="R48" i="84"/>
  <c r="Q48" i="84"/>
  <c r="O48" i="84"/>
  <c r="M48" i="84"/>
  <c r="K48" i="84"/>
  <c r="I48" i="84"/>
  <c r="G48" i="84"/>
  <c r="E48" i="84"/>
  <c r="C48" i="84"/>
  <c r="S47" i="84"/>
  <c r="R47" i="84"/>
  <c r="Q47" i="84"/>
  <c r="O47" i="84"/>
  <c r="M47" i="84"/>
  <c r="K47" i="84"/>
  <c r="I47" i="84"/>
  <c r="G47" i="84"/>
  <c r="E47" i="84"/>
  <c r="C47" i="84"/>
  <c r="S46" i="84"/>
  <c r="R46" i="84"/>
  <c r="Q46" i="84"/>
  <c r="O46" i="84"/>
  <c r="M46" i="84"/>
  <c r="K46" i="84"/>
  <c r="I46" i="84"/>
  <c r="G46" i="84"/>
  <c r="E46" i="84"/>
  <c r="C46" i="84"/>
  <c r="S45" i="84"/>
  <c r="R45" i="84"/>
  <c r="Q45" i="84"/>
  <c r="O45" i="84"/>
  <c r="M45" i="84"/>
  <c r="K45" i="84"/>
  <c r="I45" i="84"/>
  <c r="G45" i="84"/>
  <c r="E45" i="84"/>
  <c r="C45" i="84"/>
  <c r="S44" i="84"/>
  <c r="R44" i="84"/>
  <c r="Q44" i="84"/>
  <c r="O44" i="84"/>
  <c r="M44" i="84"/>
  <c r="K44" i="84"/>
  <c r="I44" i="84"/>
  <c r="G44" i="84"/>
  <c r="E44" i="84"/>
  <c r="C44" i="84"/>
  <c r="S43" i="84"/>
  <c r="R43" i="84"/>
  <c r="Q43" i="84"/>
  <c r="O43" i="84"/>
  <c r="M43" i="84"/>
  <c r="K43" i="84"/>
  <c r="I43" i="84"/>
  <c r="G43" i="84"/>
  <c r="E43" i="84"/>
  <c r="C43" i="84"/>
  <c r="S42" i="84"/>
  <c r="R42" i="84"/>
  <c r="Q42" i="84"/>
  <c r="O42" i="84"/>
  <c r="M42" i="84"/>
  <c r="K42" i="84"/>
  <c r="I42" i="84"/>
  <c r="G42" i="84"/>
  <c r="E42" i="84"/>
  <c r="C42" i="84"/>
  <c r="S41" i="84"/>
  <c r="R41" i="84"/>
  <c r="Q41" i="84"/>
  <c r="O41" i="84"/>
  <c r="M41" i="84"/>
  <c r="K41" i="84"/>
  <c r="I41" i="84"/>
  <c r="G41" i="84"/>
  <c r="E41" i="84"/>
  <c r="C41" i="84"/>
  <c r="S40" i="84"/>
  <c r="R40" i="84"/>
  <c r="Q40" i="84"/>
  <c r="O40" i="84"/>
  <c r="M40" i="84"/>
  <c r="K40" i="84"/>
  <c r="I40" i="84"/>
  <c r="G40" i="84"/>
  <c r="E40" i="84"/>
  <c r="C40" i="84"/>
  <c r="S39" i="84"/>
  <c r="R39" i="84"/>
  <c r="Q39" i="84"/>
  <c r="O39" i="84"/>
  <c r="M39" i="84"/>
  <c r="K39" i="84"/>
  <c r="I39" i="84"/>
  <c r="G39" i="84"/>
  <c r="E39" i="84"/>
  <c r="C39" i="84"/>
  <c r="S38" i="84"/>
  <c r="R38" i="84"/>
  <c r="Q38" i="84"/>
  <c r="O38" i="84"/>
  <c r="M38" i="84"/>
  <c r="K38" i="84"/>
  <c r="I38" i="84"/>
  <c r="G38" i="84"/>
  <c r="E38" i="84"/>
  <c r="C38" i="84"/>
  <c r="S37" i="84"/>
  <c r="R37" i="84"/>
  <c r="Q37" i="84"/>
  <c r="O37" i="84"/>
  <c r="M37" i="84"/>
  <c r="K37" i="84"/>
  <c r="I37" i="84"/>
  <c r="G37" i="84"/>
  <c r="E37" i="84"/>
  <c r="C37" i="84"/>
  <c r="S36" i="84"/>
  <c r="R36" i="84"/>
  <c r="Q36" i="84"/>
  <c r="O36" i="84"/>
  <c r="M36" i="84"/>
  <c r="K36" i="84"/>
  <c r="I36" i="84"/>
  <c r="G36" i="84"/>
  <c r="E36" i="84"/>
  <c r="C36" i="84"/>
  <c r="S35" i="84"/>
  <c r="R35" i="84"/>
  <c r="Q35" i="84"/>
  <c r="O35" i="84"/>
  <c r="M35" i="84"/>
  <c r="K35" i="84"/>
  <c r="I35" i="84"/>
  <c r="G35" i="84"/>
  <c r="E35" i="84"/>
  <c r="C35" i="84"/>
  <c r="S34" i="84"/>
  <c r="R34" i="84"/>
  <c r="Q34" i="84"/>
  <c r="O34" i="84"/>
  <c r="M34" i="84"/>
  <c r="K34" i="84"/>
  <c r="I34" i="84"/>
  <c r="G34" i="84"/>
  <c r="E34" i="84"/>
  <c r="C34" i="84"/>
  <c r="S33" i="84"/>
  <c r="R33" i="84"/>
  <c r="Q33" i="84"/>
  <c r="O33" i="84"/>
  <c r="M33" i="84"/>
  <c r="K33" i="84"/>
  <c r="I33" i="84"/>
  <c r="G33" i="84"/>
  <c r="E33" i="84"/>
  <c r="C33" i="84"/>
  <c r="S32" i="84"/>
  <c r="R32" i="84"/>
  <c r="Q32" i="84"/>
  <c r="O32" i="84"/>
  <c r="M32" i="84"/>
  <c r="K32" i="84"/>
  <c r="I32" i="84"/>
  <c r="G32" i="84"/>
  <c r="E32" i="84"/>
  <c r="C32" i="84"/>
  <c r="S31" i="84"/>
  <c r="R31" i="84"/>
  <c r="Q31" i="84"/>
  <c r="O31" i="84"/>
  <c r="M31" i="84"/>
  <c r="K31" i="84"/>
  <c r="I31" i="84"/>
  <c r="G31" i="84"/>
  <c r="E31" i="84"/>
  <c r="C31" i="84"/>
  <c r="S30" i="84"/>
  <c r="R30" i="84"/>
  <c r="Q30" i="84"/>
  <c r="O30" i="84"/>
  <c r="M30" i="84"/>
  <c r="K30" i="84"/>
  <c r="I30" i="84"/>
  <c r="G30" i="84"/>
  <c r="E30" i="84"/>
  <c r="C30" i="84"/>
  <c r="S29" i="84"/>
  <c r="R29" i="84"/>
  <c r="Q29" i="84"/>
  <c r="O29" i="84"/>
  <c r="M29" i="84"/>
  <c r="K29" i="84"/>
  <c r="I29" i="84"/>
  <c r="G29" i="84"/>
  <c r="E29" i="84"/>
  <c r="C29" i="84"/>
  <c r="S28" i="84"/>
  <c r="R28" i="84"/>
  <c r="Q28" i="84"/>
  <c r="O28" i="84"/>
  <c r="M28" i="84"/>
  <c r="K28" i="84"/>
  <c r="I28" i="84"/>
  <c r="G28" i="84"/>
  <c r="E28" i="84"/>
  <c r="C28" i="84"/>
  <c r="Q27" i="84"/>
  <c r="O27" i="84"/>
  <c r="M27" i="84"/>
  <c r="K27" i="84"/>
  <c r="I27" i="84"/>
  <c r="G27" i="84"/>
  <c r="E27" i="84"/>
  <c r="B27" i="84"/>
  <c r="Q26" i="84"/>
  <c r="O26" i="84"/>
  <c r="M26" i="84"/>
  <c r="K26" i="84"/>
  <c r="I26" i="84"/>
  <c r="G26" i="84"/>
  <c r="E26" i="84"/>
  <c r="C26" i="84"/>
  <c r="R26" i="84" s="1"/>
  <c r="S26" i="84" s="1"/>
  <c r="B26" i="84"/>
  <c r="Q25" i="84"/>
  <c r="O25" i="84"/>
  <c r="M25" i="84"/>
  <c r="K25" i="84"/>
  <c r="I25" i="84"/>
  <c r="G25" i="84"/>
  <c r="E25" i="84"/>
  <c r="B25" i="84"/>
  <c r="B24" i="84"/>
  <c r="S24" i="84" s="1"/>
  <c r="P23" i="84"/>
  <c r="N23" i="84"/>
  <c r="L23" i="84"/>
  <c r="J23" i="84"/>
  <c r="H23" i="84"/>
  <c r="F23" i="84"/>
  <c r="D23" i="84"/>
  <c r="B22" i="84"/>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B25" i="31"/>
  <c r="B26" i="31"/>
  <c r="B27" i="31"/>
  <c r="B24" i="31"/>
  <c r="A126" i="83"/>
  <c r="A120" i="83"/>
  <c r="A118" i="83"/>
  <c r="H112" i="83"/>
  <c r="H111" i="83"/>
  <c r="D126" i="83" s="1"/>
  <c r="D127" i="83" s="1"/>
  <c r="E111" i="83"/>
  <c r="E109" i="83"/>
  <c r="A124" i="83" s="1"/>
  <c r="E107" i="83"/>
  <c r="A122" i="83" s="1"/>
  <c r="H106" i="83"/>
  <c r="H103" i="83" s="1"/>
  <c r="D120" i="83" s="1"/>
  <c r="H105" i="83"/>
  <c r="H104" i="83"/>
  <c r="D101" i="83"/>
  <c r="C101" i="83"/>
  <c r="D93" i="83"/>
  <c r="C91" i="83"/>
  <c r="E90" i="83"/>
  <c r="D89" i="83"/>
  <c r="C89" i="83"/>
  <c r="C87" i="83"/>
  <c r="C92" i="83" s="1"/>
  <c r="D78" i="83"/>
  <c r="H77" i="83"/>
  <c r="D77" i="83"/>
  <c r="C77" i="83"/>
  <c r="C76" i="83"/>
  <c r="C74" i="83" s="1"/>
  <c r="D68" i="83"/>
  <c r="F59" i="83"/>
  <c r="O55" i="83" s="1"/>
  <c r="E59" i="83"/>
  <c r="N56" i="83"/>
  <c r="M56" i="83"/>
  <c r="K56" i="83"/>
  <c r="J56" i="83"/>
  <c r="J57" i="83" s="1"/>
  <c r="J59" i="83" s="1"/>
  <c r="J61" i="83" s="1"/>
  <c r="F56" i="83"/>
  <c r="O54" i="83" s="1"/>
  <c r="N55" i="83"/>
  <c r="K55" i="83"/>
  <c r="J55" i="83"/>
  <c r="I55" i="83"/>
  <c r="F55" i="83"/>
  <c r="O53" i="83" s="1"/>
  <c r="N54" i="83"/>
  <c r="F54" i="83"/>
  <c r="N53" i="83"/>
  <c r="F53" i="83"/>
  <c r="F52" i="83"/>
  <c r="K49" i="83"/>
  <c r="F48" i="83"/>
  <c r="O52" i="83" s="1"/>
  <c r="E48" i="83"/>
  <c r="N52" i="83" s="1"/>
  <c r="D48" i="83"/>
  <c r="M52" i="83" s="1"/>
  <c r="M47" i="83"/>
  <c r="F33" i="83"/>
  <c r="L27" i="83"/>
  <c r="N27" i="83" s="1"/>
  <c r="K27" i="83"/>
  <c r="D27" i="83"/>
  <c r="L26" i="83"/>
  <c r="N26" i="83" s="1"/>
  <c r="K26" i="83"/>
  <c r="L25" i="83"/>
  <c r="N25" i="83" s="1"/>
  <c r="K25" i="83"/>
  <c r="C25" i="83"/>
  <c r="K24" i="83"/>
  <c r="N24" i="83" s="1"/>
  <c r="C24" i="83"/>
  <c r="M19" i="83"/>
  <c r="C118" i="83" s="1"/>
  <c r="L19" i="83"/>
  <c r="M18" i="83"/>
  <c r="B118" i="83" s="1"/>
  <c r="B15" i="74" s="1"/>
  <c r="L18" i="83"/>
  <c r="D17" i="83"/>
  <c r="C17" i="83"/>
  <c r="C18" i="83" s="1"/>
  <c r="D18" i="83" s="1"/>
  <c r="L4" i="83"/>
  <c r="K4" i="83"/>
  <c r="A2" i="83"/>
  <c r="H1" i="83"/>
  <c r="F50" i="82"/>
  <c r="G41" i="82"/>
  <c r="F38" i="82"/>
  <c r="E37" i="82"/>
  <c r="F36" i="82"/>
  <c r="F35" i="82"/>
  <c r="F34" i="82"/>
  <c r="F30" i="82"/>
  <c r="F48" i="82" s="1"/>
  <c r="C30" i="82"/>
  <c r="G22" i="82"/>
  <c r="F21" i="82"/>
  <c r="F40" i="82" s="1"/>
  <c r="F20" i="82"/>
  <c r="F39" i="82" s="1"/>
  <c r="E19" i="82"/>
  <c r="C19" i="82"/>
  <c r="E10" i="82"/>
  <c r="E9" i="82"/>
  <c r="F7" i="82"/>
  <c r="G1" i="82"/>
  <c r="K28" i="9"/>
  <c r="N25" i="9"/>
  <c r="N24" i="9"/>
  <c r="L27" i="9"/>
  <c r="N27" i="9" s="1"/>
  <c r="L26" i="9"/>
  <c r="N26" i="9" s="1"/>
  <c r="L25" i="9"/>
  <c r="K25" i="9"/>
  <c r="K26" i="9"/>
  <c r="K27" i="9"/>
  <c r="K24" i="9"/>
  <c r="I47" i="33"/>
  <c r="G47" i="33"/>
  <c r="I7" i="33"/>
  <c r="G7" i="33"/>
  <c r="E7" i="33"/>
  <c r="AH7" i="1"/>
  <c r="E2" i="87"/>
  <c r="D10" i="87"/>
  <c r="C34" i="87"/>
  <c r="D34" i="86"/>
  <c r="D35" i="86"/>
  <c r="D34" i="85"/>
  <c r="D35" i="85"/>
  <c r="F20" i="84"/>
  <c r="D34" i="83"/>
  <c r="D35" i="83"/>
  <c r="F27" i="82"/>
  <c r="E2" i="82"/>
  <c r="C18" i="85" l="1"/>
  <c r="D18" i="85" s="1"/>
  <c r="C18" i="86"/>
  <c r="D18" i="86" s="1"/>
  <c r="C35" i="87"/>
  <c r="C38" i="87"/>
  <c r="C10" i="87"/>
  <c r="C48" i="87"/>
  <c r="C30" i="87"/>
  <c r="D121" i="86"/>
  <c r="K120" i="86"/>
  <c r="C92" i="86"/>
  <c r="C94" i="86"/>
  <c r="H109" i="86"/>
  <c r="D121" i="85"/>
  <c r="K120" i="85"/>
  <c r="C92" i="85"/>
  <c r="C94" i="85"/>
  <c r="N28" i="85"/>
  <c r="K28" i="85"/>
  <c r="H111" i="85"/>
  <c r="D126" i="85" s="1"/>
  <c r="D127" i="85" s="1"/>
  <c r="H110" i="85"/>
  <c r="R25" i="84"/>
  <c r="S25" i="84" s="1"/>
  <c r="S22" i="84" s="1"/>
  <c r="R27" i="84"/>
  <c r="S27" i="84" s="1"/>
  <c r="C27" i="84"/>
  <c r="C25" i="84"/>
  <c r="N28" i="83"/>
  <c r="D121" i="83"/>
  <c r="K120" i="83"/>
  <c r="K28" i="83"/>
  <c r="C94" i="83"/>
  <c r="H109" i="83"/>
  <c r="F45" i="82"/>
  <c r="C48" i="82"/>
  <c r="C21" i="82"/>
  <c r="C29" i="82" s="1"/>
  <c r="D27" i="82" s="1"/>
  <c r="C40" i="82"/>
  <c r="N28" i="9"/>
  <c r="L28" i="9" s="1"/>
  <c r="N6" i="1"/>
  <c r="N21" i="1"/>
  <c r="N19" i="1"/>
  <c r="Y7" i="1"/>
  <c r="P74" i="81"/>
  <c r="Q72" i="81"/>
  <c r="F60" i="81"/>
  <c r="Q59" i="81"/>
  <c r="K59" i="81"/>
  <c r="P61" i="81" s="1"/>
  <c r="Q58" i="81"/>
  <c r="Q51" i="81"/>
  <c r="J51" i="81"/>
  <c r="J50" i="81"/>
  <c r="M47" i="81"/>
  <c r="D46" i="81"/>
  <c r="F34" i="81"/>
  <c r="F62" i="81" s="1"/>
  <c r="F33" i="81"/>
  <c r="F61" i="81" s="1"/>
  <c r="F32" i="81"/>
  <c r="F28" i="81"/>
  <c r="C28" i="81"/>
  <c r="F23" i="81"/>
  <c r="D24" i="81" s="1"/>
  <c r="D23" i="81"/>
  <c r="D22" i="81"/>
  <c r="F21" i="81"/>
  <c r="M20" i="81"/>
  <c r="F20" i="81"/>
  <c r="M19" i="81"/>
  <c r="M18" i="81"/>
  <c r="F18" i="81"/>
  <c r="F17" i="81"/>
  <c r="F15" i="81"/>
  <c r="G1" i="81"/>
  <c r="P74" i="80"/>
  <c r="Q72" i="80"/>
  <c r="F60" i="80"/>
  <c r="Q59" i="80"/>
  <c r="K59" i="80"/>
  <c r="P61" i="80" s="1"/>
  <c r="Q58" i="80"/>
  <c r="Q51" i="80"/>
  <c r="J50" i="80"/>
  <c r="J51" i="80" s="1"/>
  <c r="M47" i="80"/>
  <c r="D46" i="80"/>
  <c r="F34" i="80"/>
  <c r="F62" i="80" s="1"/>
  <c r="F33" i="80"/>
  <c r="F61" i="80" s="1"/>
  <c r="F32" i="80"/>
  <c r="F28" i="80"/>
  <c r="C28" i="80"/>
  <c r="F23" i="80"/>
  <c r="D24" i="80" s="1"/>
  <c r="D23" i="80"/>
  <c r="D22" i="80"/>
  <c r="F21" i="80"/>
  <c r="M20" i="80"/>
  <c r="F20" i="80"/>
  <c r="M19" i="80"/>
  <c r="M18" i="80"/>
  <c r="F18" i="80"/>
  <c r="F17" i="80"/>
  <c r="F15" i="80"/>
  <c r="G1" i="80"/>
  <c r="Y8" i="1"/>
  <c r="Y6" i="1"/>
  <c r="G51" i="43"/>
  <c r="G52" i="43"/>
  <c r="G53" i="43"/>
  <c r="G54" i="43"/>
  <c r="G55" i="43"/>
  <c r="G56" i="43"/>
  <c r="G57" i="43"/>
  <c r="G58" i="43"/>
  <c r="G50" i="43"/>
  <c r="G44" i="43"/>
  <c r="D42" i="43"/>
  <c r="D41" i="43"/>
  <c r="D37" i="43"/>
  <c r="U3" i="43"/>
  <c r="U4" i="43"/>
  <c r="U2" i="43"/>
  <c r="W20" i="1"/>
  <c r="W19" i="1"/>
  <c r="U22" i="1"/>
  <c r="W22" i="1" s="1"/>
  <c r="U21" i="1"/>
  <c r="W21" i="1" s="1"/>
  <c r="U20" i="1"/>
  <c r="T23" i="1"/>
  <c r="N8" i="1"/>
  <c r="N7" i="1"/>
  <c r="C36" i="87"/>
  <c r="D9" i="87"/>
  <c r="F27" i="87"/>
  <c r="D9" i="82"/>
  <c r="C34" i="82"/>
  <c r="D10" i="82"/>
  <c r="C36" i="82"/>
  <c r="C76" i="81"/>
  <c r="F8" i="81"/>
  <c r="F8" i="80"/>
  <c r="C76" i="80"/>
  <c r="F45" i="87" l="1"/>
  <c r="C29" i="87"/>
  <c r="D27" i="87" s="1"/>
  <c r="C47" i="87"/>
  <c r="D45" i="87" s="1"/>
  <c r="C9" i="87"/>
  <c r="C8" i="87" s="1"/>
  <c r="D19" i="87"/>
  <c r="D37" i="87" s="1"/>
  <c r="C37" i="87" s="1"/>
  <c r="C33" i="87" s="1"/>
  <c r="D124" i="86"/>
  <c r="D125" i="86" s="1"/>
  <c r="H110" i="86"/>
  <c r="L28" i="85"/>
  <c r="R22" i="84"/>
  <c r="B20" i="84"/>
  <c r="B21" i="84" s="1"/>
  <c r="D124" i="83"/>
  <c r="D125" i="83" s="1"/>
  <c r="H110" i="83"/>
  <c r="L28" i="83"/>
  <c r="C10" i="82"/>
  <c r="C35" i="82"/>
  <c r="C38" i="82"/>
  <c r="D19" i="82"/>
  <c r="D37" i="82" s="1"/>
  <c r="C37" i="82" s="1"/>
  <c r="C9" i="82"/>
  <c r="C47" i="82"/>
  <c r="D45" i="82" s="1"/>
  <c r="W23" i="1"/>
  <c r="U23" i="1" s="1"/>
  <c r="F51" i="81"/>
  <c r="Q71" i="81"/>
  <c r="Q71" i="80"/>
  <c r="F51" i="80"/>
  <c r="F40" i="81"/>
  <c r="F7" i="81"/>
  <c r="C14" i="81"/>
  <c r="F26" i="81"/>
  <c r="L47" i="81"/>
  <c r="M29" i="81"/>
  <c r="M26" i="81"/>
  <c r="L48" i="81"/>
  <c r="F9" i="81"/>
  <c r="J15" i="81"/>
  <c r="M27" i="81"/>
  <c r="M6" i="81"/>
  <c r="F38" i="81"/>
  <c r="F36" i="81"/>
  <c r="M22" i="81"/>
  <c r="F6" i="81"/>
  <c r="M8" i="81"/>
  <c r="M24" i="81"/>
  <c r="M28" i="81"/>
  <c r="M9" i="81"/>
  <c r="M23" i="81"/>
  <c r="F37" i="81"/>
  <c r="F43" i="81"/>
  <c r="F13" i="81"/>
  <c r="F16" i="81"/>
  <c r="F42" i="81"/>
  <c r="F9" i="80"/>
  <c r="M9" i="80"/>
  <c r="M23" i="80"/>
  <c r="F37" i="80"/>
  <c r="F40" i="80"/>
  <c r="M24" i="80"/>
  <c r="F36" i="80"/>
  <c r="F13" i="80"/>
  <c r="F26" i="80"/>
  <c r="F43" i="80"/>
  <c r="M6" i="80"/>
  <c r="F16" i="80"/>
  <c r="M28" i="80"/>
  <c r="J15" i="80"/>
  <c r="M27" i="80"/>
  <c r="L47" i="80"/>
  <c r="M8" i="80"/>
  <c r="M26" i="80"/>
  <c r="F7" i="80"/>
  <c r="F6" i="80"/>
  <c r="L48" i="80"/>
  <c r="M29" i="80"/>
  <c r="F42" i="80"/>
  <c r="M22" i="80"/>
  <c r="C14" i="80"/>
  <c r="F38" i="80"/>
  <c r="C39" i="87" l="1"/>
  <c r="C46" i="87" s="1"/>
  <c r="C45" i="87" s="1"/>
  <c r="C33" i="82"/>
  <c r="C39" i="82" s="1"/>
  <c r="F71" i="81"/>
  <c r="F65" i="81"/>
  <c r="F31" i="81"/>
  <c r="C6" i="81"/>
  <c r="F64" i="81"/>
  <c r="F66" i="81"/>
  <c r="L56" i="81"/>
  <c r="L57" i="81"/>
  <c r="L60" i="81"/>
  <c r="I54" i="81"/>
  <c r="J53" i="81"/>
  <c r="J57" i="81"/>
  <c r="J55" i="81" s="1"/>
  <c r="J58" i="81" s="1"/>
  <c r="Q50" i="81" s="1"/>
  <c r="N59" i="81"/>
  <c r="L59" i="81"/>
  <c r="L58" i="81"/>
  <c r="M59" i="81"/>
  <c r="C27" i="81"/>
  <c r="C15" i="81"/>
  <c r="C18" i="81"/>
  <c r="F50" i="81"/>
  <c r="F59" i="81" s="1"/>
  <c r="M7" i="81"/>
  <c r="M17" i="81" s="1"/>
  <c r="F68" i="81"/>
  <c r="F66" i="80"/>
  <c r="C18" i="80"/>
  <c r="C15" i="80"/>
  <c r="L57" i="80"/>
  <c r="L56" i="80"/>
  <c r="J53" i="80"/>
  <c r="J57" i="80"/>
  <c r="J55" i="80" s="1"/>
  <c r="J58" i="80" s="1"/>
  <c r="Q50" i="80" s="1"/>
  <c r="I54" i="80"/>
  <c r="L60" i="80"/>
  <c r="F31" i="80"/>
  <c r="C6" i="80"/>
  <c r="F50" i="80"/>
  <c r="F59" i="80" s="1"/>
  <c r="M7" i="80"/>
  <c r="M17" i="80" s="1"/>
  <c r="N59" i="80"/>
  <c r="L58" i="80"/>
  <c r="L59" i="80"/>
  <c r="M59" i="80"/>
  <c r="F71" i="80"/>
  <c r="C27" i="80"/>
  <c r="F64" i="80"/>
  <c r="F68" i="80"/>
  <c r="F65" i="80"/>
  <c r="C16" i="81"/>
  <c r="C17" i="81"/>
  <c r="C16" i="80"/>
  <c r="C17" i="80"/>
  <c r="C46" i="82" l="1"/>
  <c r="C45" i="82" s="1"/>
  <c r="C49" i="81"/>
  <c r="C61" i="81" s="1"/>
  <c r="J6" i="80"/>
  <c r="J19" i="80" s="1"/>
  <c r="C19" i="81"/>
  <c r="C49" i="80"/>
  <c r="C61" i="80" s="1"/>
  <c r="Q60" i="81"/>
  <c r="Q73" i="81"/>
  <c r="Q52" i="81"/>
  <c r="F1" i="81"/>
  <c r="J6" i="81"/>
  <c r="C32" i="81"/>
  <c r="C33" i="81"/>
  <c r="Q61" i="81"/>
  <c r="Q74" i="81"/>
  <c r="Q66" i="81"/>
  <c r="Q57" i="81"/>
  <c r="C19" i="80"/>
  <c r="Q73" i="80"/>
  <c r="Q60" i="80"/>
  <c r="C32" i="80"/>
  <c r="C33" i="80"/>
  <c r="Q61" i="80"/>
  <c r="Q74" i="80"/>
  <c r="Q66" i="80"/>
  <c r="Q57" i="80"/>
  <c r="F1" i="80"/>
  <c r="Q52" i="80"/>
  <c r="J18" i="80" l="1"/>
  <c r="J18" i="81"/>
  <c r="J19" i="81"/>
  <c r="C20" i="81"/>
  <c r="C26" i="81" s="1"/>
  <c r="C20" i="80"/>
  <c r="C26" i="80" s="1"/>
  <c r="L8" i="1" l="1"/>
  <c r="L7" i="1"/>
  <c r="B56" i="1"/>
  <c r="B55" i="1"/>
  <c r="B21" i="1"/>
  <c r="G21" i="6"/>
  <c r="G20" i="6"/>
  <c r="G19" i="6"/>
  <c r="F19" i="6"/>
  <c r="I16" i="3"/>
  <c r="G1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L17" i="3"/>
  <c r="AZ17" i="3"/>
  <c r="BL13" i="3"/>
  <c r="BL5" i="3" s="1"/>
  <c r="J56" i="9"/>
  <c r="J57" i="9" s="1"/>
  <c r="J59" i="9" s="1"/>
  <c r="J61" i="9" s="1"/>
  <c r="A24" i="51"/>
  <c r="B18" i="72" s="1"/>
  <c r="U29" i="34"/>
  <c r="E5" i="6"/>
  <c r="E32" i="6"/>
  <c r="G1" i="68"/>
  <c r="E19" i="69"/>
  <c r="E19" i="68"/>
  <c r="E19" i="11"/>
  <c r="E1" i="73"/>
  <c r="G22" i="69"/>
  <c r="G22" i="11"/>
  <c r="C6" i="43"/>
  <c r="B19" i="53"/>
  <c r="B37" i="72" s="1"/>
  <c r="C7" i="39"/>
  <c r="C67" i="39" s="1"/>
  <c r="C7" i="35"/>
  <c r="C7" i="33"/>
  <c r="C7" i="21"/>
  <c r="C7" i="40"/>
  <c r="C63" i="40" s="1"/>
  <c r="M47" i="9"/>
  <c r="G23" i="43"/>
  <c r="C46" i="36"/>
  <c r="D46" i="36" s="1"/>
  <c r="E46" i="36" s="1"/>
  <c r="F46" i="36" s="1"/>
  <c r="G46" i="36" s="1"/>
  <c r="H46" i="36" s="1"/>
  <c r="I46" i="36" s="1"/>
  <c r="A4" i="51"/>
  <c r="B6" i="72" s="1"/>
  <c r="C48" i="35"/>
  <c r="D48" i="35" s="1"/>
  <c r="H67" i="43"/>
  <c r="L20" i="6"/>
  <c r="B6" i="1"/>
  <c r="E6" i="1" s="1"/>
  <c r="K11" i="1"/>
  <c r="M11" i="1" s="1"/>
  <c r="O11" i="1" s="1"/>
  <c r="B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40" i="3"/>
  <c r="E173" i="3"/>
  <c r="E369" i="3"/>
  <c r="E534" i="3"/>
  <c r="T6" i="3"/>
  <c r="E405" i="3"/>
  <c r="E466" i="3"/>
  <c r="E512" i="3"/>
  <c r="E430" i="3"/>
  <c r="E255" i="3"/>
  <c r="E360" i="3"/>
  <c r="E556" i="3"/>
  <c r="E13" i="3"/>
  <c r="E517" i="3"/>
  <c r="E452" i="3"/>
  <c r="E470" i="3"/>
  <c r="E463" i="3"/>
  <c r="E479" i="3"/>
  <c r="E104" i="3"/>
  <c r="E37" i="3"/>
  <c r="E41" i="3"/>
  <c r="E178" i="3"/>
  <c r="E152" i="3"/>
  <c r="E132" i="3"/>
  <c r="E192" i="3"/>
  <c r="E242" i="3"/>
  <c r="E281" i="3"/>
  <c r="E276" i="3"/>
  <c r="E292" i="3"/>
  <c r="E332" i="3"/>
  <c r="E333" i="3"/>
  <c r="E356" i="3"/>
  <c r="E389" i="3"/>
  <c r="E544" i="3"/>
  <c r="E76" i="3"/>
  <c r="E94" i="3"/>
  <c r="E540" i="3"/>
  <c r="E409" i="3"/>
  <c r="E473" i="3"/>
  <c r="E425" i="3"/>
  <c r="E412" i="3"/>
  <c r="E18" i="3"/>
  <c r="E64" i="3"/>
  <c r="E46" i="3"/>
  <c r="E78" i="3"/>
  <c r="E170" i="3"/>
  <c r="E190" i="3"/>
  <c r="E137" i="3"/>
  <c r="E200" i="3"/>
  <c r="E220" i="3"/>
  <c r="E275" i="3"/>
  <c r="E235" i="3"/>
  <c r="E300" i="3"/>
  <c r="E339" i="3"/>
  <c r="E310" i="3"/>
  <c r="E342" i="3"/>
  <c r="E392" i="3"/>
  <c r="E23" i="3"/>
  <c r="E52" i="3"/>
  <c r="E86" i="3"/>
  <c r="E34" i="3"/>
  <c r="E49" i="3"/>
  <c r="E123" i="3"/>
  <c r="E184" i="3"/>
  <c r="E232" i="3"/>
  <c r="E233" i="3"/>
  <c r="E370" i="3"/>
  <c r="E364" i="3"/>
  <c r="E50" i="3"/>
  <c r="E102" i="3"/>
  <c r="E80" i="3"/>
  <c r="E62" i="3"/>
  <c r="E118" i="3"/>
  <c r="E218" i="3"/>
  <c r="E264" i="3"/>
  <c r="E308" i="3"/>
  <c r="E365" i="3"/>
  <c r="E524" i="3"/>
  <c r="E10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8" i="15"/>
  <c r="J15" i="15"/>
  <c r="D3" i="73"/>
  <c r="F7" i="15"/>
  <c r="F7" i="73"/>
  <c r="E7" i="76"/>
  <c r="F26" i="15"/>
  <c r="B12" i="76"/>
  <c r="E10" i="76"/>
  <c r="AO13" i="1"/>
  <c r="B9" i="76"/>
  <c r="M9" i="15"/>
  <c r="F43" i="15"/>
  <c r="F8" i="15"/>
  <c r="B7" i="76"/>
  <c r="F20" i="31"/>
  <c r="E9" i="76"/>
  <c r="D4" i="73"/>
  <c r="F5" i="73"/>
  <c r="F6" i="73"/>
  <c r="L48" i="15"/>
  <c r="F16" i="15"/>
  <c r="D6" i="73"/>
  <c r="F4" i="73"/>
  <c r="F9" i="15"/>
  <c r="B13" i="76"/>
  <c r="M6" i="15"/>
  <c r="F6" i="15"/>
  <c r="E12" i="76"/>
  <c r="C76" i="15"/>
  <c r="E11" i="76"/>
  <c r="M23" i="15"/>
  <c r="F13" i="15"/>
  <c r="F38" i="15"/>
  <c r="F40" i="15"/>
  <c r="B10" i="76"/>
  <c r="M24" i="15"/>
  <c r="F37" i="15"/>
  <c r="M8" i="15"/>
  <c r="B8" i="76"/>
  <c r="D35" i="9"/>
  <c r="M29" i="15"/>
  <c r="M26" i="15"/>
  <c r="L47" i="15"/>
  <c r="B11" i="76"/>
  <c r="F36" i="15"/>
  <c r="E13" i="76"/>
  <c r="M22" i="15"/>
  <c r="F42" i="15"/>
  <c r="D7" i="73"/>
  <c r="F3" i="73"/>
  <c r="D34" i="9"/>
  <c r="E2" i="69"/>
  <c r="E2" i="68"/>
  <c r="R27" i="31" l="1"/>
  <c r="S27" i="31" s="1"/>
  <c r="R26" i="31"/>
  <c r="S26" i="31" s="1"/>
  <c r="R25" i="31"/>
  <c r="S25" i="31" s="1"/>
  <c r="AB36" i="33"/>
  <c r="S36" i="33"/>
  <c r="H69" i="43"/>
  <c r="M18" i="67"/>
  <c r="F30" i="11"/>
  <c r="C48" i="11" s="1"/>
  <c r="M18" i="15"/>
  <c r="F32" i="15"/>
  <c r="F60" i="15" s="1"/>
  <c r="F52" i="9"/>
  <c r="D68" i="9"/>
  <c r="F30" i="69"/>
  <c r="F48" i="69" s="1"/>
  <c r="F31" i="12"/>
  <c r="C31" i="12" s="1"/>
  <c r="F54" i="9"/>
  <c r="F30" i="68"/>
  <c r="F48" i="68" s="1"/>
  <c r="F28" i="15"/>
  <c r="C28" i="15" s="1"/>
  <c r="F32" i="67"/>
  <c r="F60" i="67" s="1"/>
  <c r="F28" i="67"/>
  <c r="C28" i="67" s="1"/>
  <c r="C40" i="69"/>
  <c r="C21" i="68"/>
  <c r="G26" i="12"/>
  <c r="G22" i="68"/>
  <c r="K7" i="1"/>
  <c r="M7" i="1" s="1"/>
  <c r="O7" i="1" s="1"/>
  <c r="P7" i="1" s="1"/>
  <c r="G1" i="67"/>
  <c r="G1" i="69"/>
  <c r="K1" i="12"/>
  <c r="BA16" i="3"/>
  <c r="AZ16" i="3" s="1"/>
  <c r="F29" i="6"/>
  <c r="G28" i="6"/>
  <c r="E513" i="3"/>
  <c r="E283" i="3"/>
  <c r="E113" i="3"/>
  <c r="E68" i="3"/>
  <c r="E340" i="3"/>
  <c r="E144" i="3"/>
  <c r="E67" i="3"/>
  <c r="AQ6" i="3"/>
  <c r="E371" i="3"/>
  <c r="E219" i="3"/>
  <c r="E194" i="3"/>
  <c r="E103" i="3"/>
  <c r="E79" i="3"/>
  <c r="E482" i="3"/>
  <c r="E43" i="3"/>
  <c r="L6" i="3"/>
  <c r="E391" i="3"/>
  <c r="E226" i="3"/>
  <c r="E139" i="3"/>
  <c r="E115" i="3"/>
  <c r="E40" i="3"/>
  <c r="E491" i="3"/>
  <c r="E497" i="3"/>
  <c r="E408" i="3"/>
  <c r="E456" i="3"/>
  <c r="E499" i="3"/>
  <c r="E21" i="3"/>
  <c r="E326" i="3"/>
  <c r="E287" i="3"/>
  <c r="E176" i="3"/>
  <c r="E63" i="3"/>
  <c r="E381" i="3"/>
  <c r="E251" i="3"/>
  <c r="E147" i="3"/>
  <c r="E112" i="3"/>
  <c r="E84" i="3"/>
  <c r="E522" i="3"/>
  <c r="E383" i="3"/>
  <c r="E299" i="3"/>
  <c r="E267" i="3"/>
  <c r="E142" i="3"/>
  <c r="E129" i="3"/>
  <c r="E38" i="3"/>
  <c r="E455" i="3"/>
  <c r="E484" i="3"/>
  <c r="E75" i="3"/>
  <c r="E42" i="3"/>
  <c r="E372" i="3"/>
  <c r="E363" i="3"/>
  <c r="E241" i="3"/>
  <c r="E225" i="3"/>
  <c r="E119" i="3"/>
  <c r="E108" i="3"/>
  <c r="E56" i="3"/>
  <c r="E420" i="3"/>
  <c r="E494" i="3"/>
  <c r="AP6" i="3"/>
  <c r="E451" i="3"/>
  <c r="E469" i="3"/>
  <c r="E502" i="3"/>
  <c r="E525" i="3"/>
  <c r="E212" i="3"/>
  <c r="BA5" i="3"/>
  <c r="E286" i="3"/>
  <c r="E296" i="3"/>
  <c r="E197" i="3"/>
  <c r="E536"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 i="3"/>
  <c r="E223" i="3"/>
  <c r="E116" i="3"/>
  <c r="E393" i="3"/>
  <c r="E564" i="3"/>
  <c r="E543" i="3"/>
  <c r="E486" i="3"/>
  <c r="E507" i="3"/>
  <c r="E440" i="3"/>
  <c r="E376" i="3"/>
  <c r="J6" i="3"/>
  <c r="E498" i="3"/>
  <c r="E483" i="3"/>
  <c r="E329" i="3"/>
  <c r="E188" i="3"/>
  <c r="E105" i="3"/>
  <c r="E493" i="3"/>
  <c r="E427" i="3"/>
  <c r="E422" i="3"/>
  <c r="E490" i="3"/>
  <c r="AH6" i="3"/>
  <c r="E419" i="3"/>
  <c r="E401" i="3"/>
  <c r="E22" i="3"/>
  <c r="E309" i="3"/>
  <c r="E265" i="3"/>
  <c r="E158" i="3"/>
  <c r="E81" i="3"/>
  <c r="E20" i="3"/>
  <c r="AF6" i="3"/>
  <c r="E355" i="3"/>
  <c r="E289" i="3"/>
  <c r="E206" i="3"/>
  <c r="E33" i="3"/>
  <c r="E36" i="3"/>
  <c r="E35" i="3"/>
  <c r="E492" i="3"/>
  <c r="E325" i="3"/>
  <c r="E324" i="3"/>
  <c r="E249" i="3"/>
  <c r="E234" i="3"/>
  <c r="E174" i="3"/>
  <c r="E160" i="3"/>
  <c r="E100" i="3"/>
  <c r="E96" i="3"/>
  <c r="E467" i="3"/>
  <c r="E15" i="3"/>
  <c r="E428" i="3"/>
  <c r="E59" i="3"/>
  <c r="E60" i="3"/>
  <c r="AL6" i="3"/>
  <c r="E349" i="3"/>
  <c r="E346" i="3"/>
  <c r="E243" i="3"/>
  <c r="E258" i="3"/>
  <c r="E202" i="3"/>
  <c r="E198" i="3"/>
  <c r="E95" i="3"/>
  <c r="E25" i="3"/>
  <c r="E26" i="3"/>
  <c r="E417" i="3"/>
  <c r="E435" i="3"/>
  <c r="E554" i="3"/>
  <c r="I3" i="6"/>
  <c r="E449" i="3"/>
  <c r="E541" i="3"/>
  <c r="E442" i="3"/>
  <c r="R6" i="3"/>
  <c r="E575" i="3"/>
  <c r="E199" i="3"/>
  <c r="E148" i="3"/>
  <c r="E539" i="3"/>
  <c r="D21" i="53"/>
  <c r="B39" i="72" s="1"/>
  <c r="D19" i="53"/>
  <c r="B38"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M7" i="15"/>
  <c r="J6" i="15" s="1"/>
  <c r="F50" i="15"/>
  <c r="F51" i="15"/>
  <c r="F71" i="15"/>
  <c r="C6" i="15"/>
  <c r="L59" i="15"/>
  <c r="N59" i="15"/>
  <c r="L58" i="15"/>
  <c r="M59" i="15"/>
  <c r="F66" i="15"/>
  <c r="F64" i="15"/>
  <c r="C27" i="15"/>
  <c r="F65" i="15"/>
  <c r="B13" i="70"/>
  <c r="F68" i="15"/>
  <c r="D9" i="69"/>
  <c r="C36" i="69"/>
  <c r="C36" i="68"/>
  <c r="D9" i="68"/>
  <c r="M24" i="67"/>
  <c r="C76" i="67"/>
  <c r="F42" i="67"/>
  <c r="F26" i="67"/>
  <c r="F13" i="67"/>
  <c r="F16" i="67"/>
  <c r="F36" i="67"/>
  <c r="F6" i="67"/>
  <c r="F7" i="67"/>
  <c r="L47" i="67"/>
  <c r="M9" i="67"/>
  <c r="F38" i="67"/>
  <c r="M23" i="67"/>
  <c r="F43" i="67"/>
  <c r="F9" i="67"/>
  <c r="M29" i="67"/>
  <c r="M8" i="67"/>
  <c r="L48" i="67"/>
  <c r="J15" i="67"/>
  <c r="M6" i="67"/>
  <c r="F8" i="67"/>
  <c r="M26" i="67"/>
  <c r="M28" i="67"/>
  <c r="F40" i="67"/>
  <c r="F37" i="67"/>
  <c r="M22" i="67"/>
  <c r="C16" i="67"/>
  <c r="C16" i="15"/>
  <c r="G1" i="73"/>
  <c r="S22" i="31" l="1"/>
  <c r="R22" i="31" s="1"/>
  <c r="M11" i="81"/>
  <c r="J10" i="81" s="1"/>
  <c r="J5" i="81" s="1"/>
  <c r="F11" i="81"/>
  <c r="M11" i="80"/>
  <c r="J10" i="80" s="1"/>
  <c r="J5" i="80" s="1"/>
  <c r="F11" i="80"/>
  <c r="C48" i="68"/>
  <c r="C30" i="69"/>
  <c r="H16" i="1"/>
  <c r="G16" i="1"/>
  <c r="F10" i="39" s="1"/>
  <c r="AA10" i="39" s="1"/>
  <c r="N370" i="46"/>
  <c r="F65" i="67"/>
  <c r="F68" i="67"/>
  <c r="F51" i="67"/>
  <c r="I54" i="67"/>
  <c r="J53" i="67"/>
  <c r="Q52" i="67" s="1"/>
  <c r="J57" i="67"/>
  <c r="J55" i="67" s="1"/>
  <c r="J58" i="67" s="1"/>
  <c r="Q50" i="67" s="1"/>
  <c r="L56" i="67"/>
  <c r="F71" i="67"/>
  <c r="F66" i="67"/>
  <c r="M59" i="67"/>
  <c r="L58" i="67"/>
  <c r="Q73" i="67" s="1"/>
  <c r="N59" i="67"/>
  <c r="L59" i="67"/>
  <c r="Q74" i="67" s="1"/>
  <c r="F50" i="67"/>
  <c r="M7" i="67"/>
  <c r="J6" i="67" s="1"/>
  <c r="J18" i="67" s="1"/>
  <c r="F31" i="67"/>
  <c r="C6" i="67"/>
  <c r="C32" i="67" s="1"/>
  <c r="F64" i="67"/>
  <c r="C27" i="67"/>
  <c r="Q71" i="67"/>
  <c r="J26" i="43"/>
  <c r="F26" i="43"/>
  <c r="N94" i="46"/>
  <c r="E59" i="40"/>
  <c r="E26" i="43"/>
  <c r="H26" i="43"/>
  <c r="K16" i="1"/>
  <c r="P6" i="1"/>
  <c r="C13" i="12" s="1"/>
  <c r="D18" i="53"/>
  <c r="B35" i="72" s="1"/>
  <c r="C7" i="74"/>
  <c r="J7"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F67" i="39"/>
  <c r="H7" i="37"/>
  <c r="AB7" i="37" s="1"/>
  <c r="T42" i="37" s="1"/>
  <c r="G42" i="37" s="1"/>
  <c r="B40" i="1"/>
  <c r="F22" i="8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12" i="1"/>
  <c r="AE10" i="1"/>
  <c r="F27" i="68"/>
  <c r="AE7" i="1"/>
  <c r="AE8" i="1"/>
  <c r="F41" i="81" s="1"/>
  <c r="AE6" i="1"/>
  <c r="F41" i="80" s="1"/>
  <c r="F41" i="67"/>
  <c r="F41" i="87" l="1"/>
  <c r="C26" i="87"/>
  <c r="D22" i="87" s="1"/>
  <c r="C44" i="87"/>
  <c r="D41" i="87" s="1"/>
  <c r="C24" i="87"/>
  <c r="C42" i="87"/>
  <c r="C43" i="87"/>
  <c r="B20" i="31"/>
  <c r="B21" i="31" s="1"/>
  <c r="F24" i="81"/>
  <c r="C24" i="81" s="1"/>
  <c r="F22" i="82"/>
  <c r="F69" i="81"/>
  <c r="J24" i="81"/>
  <c r="J26" i="81"/>
  <c r="J29" i="81" s="1"/>
  <c r="C53" i="81"/>
  <c r="C48" i="81" s="1"/>
  <c r="C10" i="81"/>
  <c r="C5" i="81" s="1"/>
  <c r="F69" i="80"/>
  <c r="J26" i="80"/>
  <c r="J29" i="80" s="1"/>
  <c r="J24" i="80"/>
  <c r="L36" i="43"/>
  <c r="N36" i="43" s="1"/>
  <c r="F24" i="80"/>
  <c r="C53" i="80"/>
  <c r="C48" i="80" s="1"/>
  <c r="C10" i="80"/>
  <c r="C5" i="80" s="1"/>
  <c r="S10" i="39"/>
  <c r="H10" i="39"/>
  <c r="U10" i="39" s="1"/>
  <c r="J5" i="67"/>
  <c r="J24" i="67" s="1"/>
  <c r="M17" i="67"/>
  <c r="C49" i="67"/>
  <c r="F1" i="67"/>
  <c r="Q61" i="67"/>
  <c r="Q60" i="67"/>
  <c r="F59" i="67"/>
  <c r="J10" i="39"/>
  <c r="W10" i="39" s="1"/>
  <c r="F10" i="40"/>
  <c r="S10" i="40" s="1"/>
  <c r="H10" i="40"/>
  <c r="AB10" i="40" s="1"/>
  <c r="J10" i="40"/>
  <c r="AC10" i="40" s="1"/>
  <c r="D26" i="43"/>
  <c r="C25" i="43"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M27" i="67"/>
  <c r="F41" i="15"/>
  <c r="M27" i="15"/>
  <c r="C6" i="82" l="1"/>
  <c r="C41" i="87"/>
  <c r="C49" i="87" s="1"/>
  <c r="C51" i="87" s="1"/>
  <c r="C23" i="81"/>
  <c r="C29" i="81" s="1"/>
  <c r="Q49" i="81" s="1"/>
  <c r="F41" i="82"/>
  <c r="C24" i="82"/>
  <c r="C26" i="82"/>
  <c r="D22" i="82" s="1"/>
  <c r="C42" i="82"/>
  <c r="C44" i="82"/>
  <c r="D41" i="82" s="1"/>
  <c r="C43" i="82"/>
  <c r="P36" i="43"/>
  <c r="L37" i="43"/>
  <c r="Q37" i="43" s="1"/>
  <c r="M36" i="43"/>
  <c r="C38" i="81"/>
  <c r="C60" i="81"/>
  <c r="C66" i="81"/>
  <c r="O36" i="43"/>
  <c r="Q36" i="43"/>
  <c r="C38" i="80"/>
  <c r="C66" i="80"/>
  <c r="C60" i="80"/>
  <c r="C24" i="80"/>
  <c r="C23" i="80"/>
  <c r="C48" i="67"/>
  <c r="C66" i="67" s="1"/>
  <c r="U10" i="40"/>
  <c r="W10" i="40"/>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D10" i="69"/>
  <c r="C34" i="69"/>
  <c r="D10" i="68"/>
  <c r="C17" i="67"/>
  <c r="C17" i="15"/>
  <c r="C14" i="67"/>
  <c r="C7" i="87" l="1"/>
  <c r="C5" i="87" s="1"/>
  <c r="C41" i="82"/>
  <c r="C49" i="82" s="1"/>
  <c r="C51" i="82" s="1"/>
  <c r="C36" i="81"/>
  <c r="M37" i="43"/>
  <c r="C57" i="81"/>
  <c r="C64" i="81" s="1"/>
  <c r="N37" i="43"/>
  <c r="P37" i="43"/>
  <c r="O37" i="43"/>
  <c r="J59" i="81"/>
  <c r="J60" i="81" s="1"/>
  <c r="L46" i="81" s="1"/>
  <c r="C29" i="80"/>
  <c r="J14" i="80" s="1"/>
  <c r="C13" i="81"/>
  <c r="C56" i="81" s="1"/>
  <c r="C65" i="81" s="1"/>
  <c r="J14" i="81"/>
  <c r="J13" i="81" s="1"/>
  <c r="J23" i="81" s="1"/>
  <c r="C60" i="67"/>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35" i="81"/>
  <c r="M21" i="81"/>
  <c r="B6" i="76"/>
  <c r="E6" i="76"/>
  <c r="C14" i="15"/>
  <c r="C23" i="87" l="1"/>
  <c r="C20" i="87"/>
  <c r="C25" i="87" s="1"/>
  <c r="Q48" i="81"/>
  <c r="C8" i="68"/>
  <c r="C8" i="82"/>
  <c r="C7" i="82"/>
  <c r="C75" i="81"/>
  <c r="C36" i="80"/>
  <c r="C57" i="80"/>
  <c r="C64" i="80" s="1"/>
  <c r="J59" i="80"/>
  <c r="J60" i="80" s="1"/>
  <c r="Q48" i="80" s="1"/>
  <c r="Q70" i="81"/>
  <c r="C13" i="80"/>
  <c r="Q70" i="80" s="1"/>
  <c r="Q49" i="80"/>
  <c r="C37" i="81"/>
  <c r="J22" i="81"/>
  <c r="J20" i="81"/>
  <c r="J17" i="81" s="1"/>
  <c r="C34" i="81"/>
  <c r="C31" i="81" s="1"/>
  <c r="F63" i="81"/>
  <c r="C62" i="81" s="1"/>
  <c r="C59" i="81" s="1"/>
  <c r="C58" i="81" s="1"/>
  <c r="C67" i="81" s="1"/>
  <c r="C68" i="81" s="1"/>
  <c r="B3" i="43"/>
  <c r="C6" i="68"/>
  <c r="C7" i="68" s="1"/>
  <c r="J22" i="80"/>
  <c r="J13" i="80"/>
  <c r="J23" i="80"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2" i="87" l="1"/>
  <c r="C28" i="87"/>
  <c r="C27" i="87" s="1"/>
  <c r="C5" i="82"/>
  <c r="C23" i="82" s="1"/>
  <c r="C75" i="80"/>
  <c r="L46" i="80"/>
  <c r="C37" i="80"/>
  <c r="C56" i="80"/>
  <c r="C65" i="80" s="1"/>
  <c r="J16" i="81"/>
  <c r="J25" i="81" s="1"/>
  <c r="C30" i="81"/>
  <c r="C39" i="81" s="1"/>
  <c r="C80" i="81" s="1"/>
  <c r="C79" i="81" s="1"/>
  <c r="C71" i="81"/>
  <c r="C21" i="12"/>
  <c r="C22" i="12" s="1"/>
  <c r="C5" i="68"/>
  <c r="C23" i="68"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L51" i="81"/>
  <c r="C31" i="87" l="1"/>
  <c r="C52" i="87" s="1"/>
  <c r="B2" i="87" s="1"/>
  <c r="C20" i="82"/>
  <c r="C25" i="82" s="1"/>
  <c r="C22" i="82" s="1"/>
  <c r="C20" i="68"/>
  <c r="C28" i="68" s="1"/>
  <c r="C27" i="68" s="1"/>
  <c r="Q69" i="81"/>
  <c r="Q68" i="81" s="1"/>
  <c r="C40" i="81"/>
  <c r="C46" i="81" s="1"/>
  <c r="Q67" i="81"/>
  <c r="C27" i="12"/>
  <c r="C25" i="12" s="1"/>
  <c r="C30" i="12"/>
  <c r="C28" i="12" s="1"/>
  <c r="W7" i="21"/>
  <c r="AA7" i="21"/>
  <c r="R48" i="21"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C19" i="86"/>
  <c r="B3" i="87"/>
  <c r="C20" i="86" s="1"/>
  <c r="F35" i="80"/>
  <c r="M21" i="80"/>
  <c r="F35" i="15"/>
  <c r="F35" i="67"/>
  <c r="M21" i="67"/>
  <c r="M21" i="15"/>
  <c r="C103" i="86" l="1"/>
  <c r="C102" i="86"/>
  <c r="C21" i="86"/>
  <c r="C57" i="87"/>
  <c r="C56" i="87" s="1"/>
  <c r="C28" i="82"/>
  <c r="C27" i="82" s="1"/>
  <c r="C31" i="82" s="1"/>
  <c r="C52" i="82" s="1"/>
  <c r="C57" i="82" s="1"/>
  <c r="C56" i="82" s="1"/>
  <c r="C25" i="68"/>
  <c r="C22" i="68" s="1"/>
  <c r="C31" i="68" s="1"/>
  <c r="B2" i="81"/>
  <c r="B3" i="81" s="1"/>
  <c r="Q56" i="81"/>
  <c r="Q62" i="81" s="1"/>
  <c r="C43" i="81"/>
  <c r="Q47" i="81"/>
  <c r="Q53" i="81" s="1"/>
  <c r="C83" i="81"/>
  <c r="C82" i="81" s="1"/>
  <c r="Q65" i="81"/>
  <c r="Q75" i="81" s="1"/>
  <c r="C32" i="12"/>
  <c r="B2" i="12" s="1"/>
  <c r="B3" i="12" s="1"/>
  <c r="J20" i="80"/>
  <c r="J17" i="80" s="1"/>
  <c r="J16" i="80" s="1"/>
  <c r="J25" i="80" s="1"/>
  <c r="C34" i="80"/>
  <c r="C31" i="80" s="1"/>
  <c r="C30" i="80" s="1"/>
  <c r="C39" i="80" s="1"/>
  <c r="F63" i="80"/>
  <c r="C62" i="80" s="1"/>
  <c r="C59" i="80" s="1"/>
  <c r="C58" i="80" s="1"/>
  <c r="C67" i="80" s="1"/>
  <c r="C68" i="80"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2" i="82"/>
  <c r="Q69" i="80"/>
  <c r="Q68" i="80" s="1"/>
  <c r="C40" i="80"/>
  <c r="C80" i="80"/>
  <c r="C79" i="80" s="1"/>
  <c r="C71" i="80"/>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85"/>
  <c r="C19" i="9"/>
  <c r="C19" i="83"/>
  <c r="B3" i="82"/>
  <c r="B3" i="68"/>
  <c r="L51" i="80"/>
  <c r="C20" i="9"/>
  <c r="D2" i="21"/>
  <c r="C20" i="85"/>
  <c r="C20" i="83"/>
  <c r="C103" i="85" l="1"/>
  <c r="C102" i="85"/>
  <c r="C21" i="85"/>
  <c r="C57" i="68"/>
  <c r="C56" i="68" s="1"/>
  <c r="C102" i="9"/>
  <c r="C21" i="9"/>
  <c r="C102" i="83"/>
  <c r="C21" i="83"/>
  <c r="C103" i="83"/>
  <c r="Q67" i="80"/>
  <c r="Q47" i="80"/>
  <c r="Q53" i="80" s="1"/>
  <c r="Q65" i="80"/>
  <c r="Q75" i="80" s="1"/>
  <c r="Q56" i="80"/>
  <c r="Q62" i="80" s="1"/>
  <c r="C43" i="80"/>
  <c r="B2" i="80"/>
  <c r="B3" i="80" s="1"/>
  <c r="C83" i="80"/>
  <c r="C82" i="80" s="1"/>
  <c r="C46" i="80"/>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7" i="1"/>
  <c r="AO9"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6"/>
  <c r="AO6" i="1"/>
  <c r="D21" i="86" l="1"/>
  <c r="D102" i="86"/>
  <c r="G19" i="86"/>
  <c r="D22" i="86"/>
  <c r="B3" i="15"/>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6"/>
  <c r="D19" i="85"/>
  <c r="D19" i="83"/>
  <c r="D19" i="9"/>
  <c r="D103" i="86" l="1"/>
  <c r="G20" i="86"/>
  <c r="C32" i="86" s="1"/>
  <c r="D28" i="86"/>
  <c r="G21" i="86"/>
  <c r="D21" i="85"/>
  <c r="D102" i="85"/>
  <c r="D22" i="85"/>
  <c r="G19" i="85"/>
  <c r="D21" i="83"/>
  <c r="D102" i="83"/>
  <c r="D22" i="83"/>
  <c r="G19" i="83"/>
  <c r="D102" i="9"/>
  <c r="D21" i="9"/>
  <c r="G19" i="9"/>
  <c r="D22" i="9"/>
  <c r="B3" i="70"/>
  <c r="C42" i="40"/>
  <c r="C43" i="40"/>
  <c r="E47" i="40"/>
  <c r="F47" i="40" s="1"/>
  <c r="E46" i="40"/>
  <c r="F46" i="40" s="1"/>
  <c r="I47" i="40"/>
  <c r="J47" i="40" s="1"/>
  <c r="D20" i="85"/>
  <c r="D20" i="83"/>
  <c r="D20" i="9"/>
  <c r="C35" i="86" l="1"/>
  <c r="C34" i="86" s="1"/>
  <c r="D103" i="85"/>
  <c r="G20" i="85"/>
  <c r="D28" i="85"/>
  <c r="G21" i="85"/>
  <c r="D103" i="83"/>
  <c r="G20" i="83"/>
  <c r="C32" i="83" s="1"/>
  <c r="D28" i="83"/>
  <c r="G21" i="83"/>
  <c r="G21" i="9"/>
  <c r="D28"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2" i="85" l="1"/>
  <c r="C35" i="85" s="1"/>
  <c r="C34" i="85" s="1"/>
  <c r="U24" i="31"/>
  <c r="C35" i="83"/>
  <c r="C34" i="83" s="1"/>
  <c r="C35" i="9"/>
  <c r="C34" i="9" s="1"/>
  <c r="B6" i="74" l="1"/>
  <c r="D6" i="74" s="1"/>
  <c r="D118" i="85"/>
  <c r="D119" i="85" s="1"/>
  <c r="F118" i="85"/>
  <c r="F119" i="85" s="1"/>
  <c r="H118" i="85"/>
  <c r="H119" i="85" l="1"/>
  <c r="D14" i="74"/>
  <c r="H101" i="85"/>
  <c r="H107" i="85" s="1"/>
  <c r="G118" i="85"/>
  <c r="I118" i="85"/>
  <c r="C104" i="85"/>
  <c r="M48" i="85" l="1"/>
  <c r="D45" i="85"/>
  <c r="C85" i="85" s="1"/>
  <c r="E14" i="74"/>
  <c r="F14" i="74"/>
  <c r="C105" i="85"/>
  <c r="E118" i="85"/>
  <c r="H102" i="85"/>
  <c r="H108" i="85" s="1"/>
  <c r="D122" i="85"/>
  <c r="D123" i="85" s="1"/>
  <c r="M49" i="85"/>
  <c r="C93" i="85" l="1"/>
  <c r="C86" i="85" s="1"/>
  <c r="C95" i="85" s="1"/>
  <c r="C78" i="85"/>
  <c r="C73" i="85" s="1"/>
  <c r="C64" i="85"/>
  <c r="C63" i="85" s="1"/>
  <c r="C67" i="85" s="1"/>
  <c r="C68" i="85" s="1"/>
  <c r="D54" i="85" s="1"/>
  <c r="D53" i="85"/>
  <c r="D52" i="85"/>
  <c r="C72" i="85"/>
  <c r="D55" i="85"/>
  <c r="M53" i="85" s="1"/>
  <c r="L64" i="85"/>
  <c r="M64" i="85" s="1"/>
  <c r="L68" i="85"/>
  <c r="M68" i="85" s="1"/>
  <c r="L66" i="85"/>
  <c r="M66" i="85" s="1"/>
  <c r="L65" i="85"/>
  <c r="M65" i="85" s="1"/>
  <c r="L67" i="85"/>
  <c r="M67" i="85" s="1"/>
  <c r="L63" i="85"/>
  <c r="M63" i="85" s="1"/>
  <c r="D59" i="85" l="1"/>
  <c r="M55" i="85" s="1"/>
  <c r="C79" i="85"/>
  <c r="C80" i="85" s="1"/>
  <c r="E80" i="85" s="1"/>
  <c r="E81" i="85" s="1"/>
  <c r="M69" i="85"/>
  <c r="N69" i="85" s="1"/>
  <c r="C96" i="85"/>
  <c r="E96" i="85" s="1"/>
  <c r="E97" i="85" s="1"/>
  <c r="C97" i="85" l="1"/>
  <c r="D58" i="85" s="1"/>
  <c r="D56" i="85" s="1"/>
  <c r="M54" i="85" s="1"/>
  <c r="N57" i="85" s="1"/>
  <c r="C81" i="85"/>
  <c r="P57" i="85" l="1"/>
  <c r="N58" i="85"/>
  <c r="N59" i="85"/>
  <c r="N60" i="85" l="1"/>
  <c r="N61" i="85"/>
  <c r="F118" i="83"/>
  <c r="F119" i="83" s="1"/>
  <c r="H118" i="83"/>
  <c r="D118" i="83"/>
  <c r="D119" i="83" s="1"/>
  <c r="H119" i="83" l="1"/>
  <c r="D15" i="74"/>
  <c r="G118" i="83"/>
  <c r="H101" i="83"/>
  <c r="C104" i="83"/>
  <c r="I118" i="83"/>
  <c r="E15" i="74" l="1"/>
  <c r="F15" i="74"/>
  <c r="C105" i="83"/>
  <c r="E118" i="83"/>
  <c r="H102" i="83"/>
  <c r="M48" i="83"/>
  <c r="H107" i="83"/>
  <c r="D45" i="83"/>
  <c r="C93" i="83" l="1"/>
  <c r="C86" i="83" s="1"/>
  <c r="C64" i="83"/>
  <c r="C63" i="83" s="1"/>
  <c r="C67" i="83" s="1"/>
  <c r="C85" i="83"/>
  <c r="C78" i="83"/>
  <c r="C73" i="83" s="1"/>
  <c r="D52" i="83"/>
  <c r="D53" i="83"/>
  <c r="D55" i="83"/>
  <c r="M53" i="83" s="1"/>
  <c r="C72" i="83"/>
  <c r="C79" i="83" s="1"/>
  <c r="H108" i="83"/>
  <c r="D122" i="83"/>
  <c r="D123" i="83" s="1"/>
  <c r="M49" i="83"/>
  <c r="C95" i="83" l="1"/>
  <c r="C96" i="83" s="1"/>
  <c r="E96" i="83" s="1"/>
  <c r="E97" i="83" s="1"/>
  <c r="C80" i="83"/>
  <c r="E80" i="83" s="1"/>
  <c r="E81" i="83" s="1"/>
  <c r="L68" i="83"/>
  <c r="M68" i="83" s="1"/>
  <c r="L64" i="83"/>
  <c r="M64" i="83" s="1"/>
  <c r="L66" i="83"/>
  <c r="M66" i="83" s="1"/>
  <c r="L67" i="83"/>
  <c r="M67" i="83" s="1"/>
  <c r="L63" i="83"/>
  <c r="M63" i="83" s="1"/>
  <c r="L65" i="83"/>
  <c r="M65" i="83" s="1"/>
  <c r="D59" i="83"/>
  <c r="M55" i="83" s="1"/>
  <c r="C68" i="83"/>
  <c r="D54" i="83" s="1"/>
  <c r="M69" i="83" l="1"/>
  <c r="N69" i="83" s="1"/>
  <c r="C97" i="83"/>
  <c r="D58" i="83" s="1"/>
  <c r="D56" i="83" s="1"/>
  <c r="M54" i="83" s="1"/>
  <c r="N57" i="83" s="1"/>
  <c r="C81" i="83"/>
  <c r="N58" i="83" l="1"/>
  <c r="P57" i="83"/>
  <c r="N59" i="83"/>
  <c r="N60" i="83" l="1"/>
  <c r="N61" i="83"/>
  <c r="F118" i="86"/>
  <c r="G118" i="86" s="1"/>
  <c r="D118" i="86"/>
  <c r="D119" i="86" s="1"/>
  <c r="H118" i="86"/>
  <c r="F119" i="86" l="1"/>
  <c r="H101" i="86"/>
  <c r="D45" i="86" s="1"/>
  <c r="D16" i="74"/>
  <c r="C104" i="86"/>
  <c r="H119" i="86"/>
  <c r="I118" i="86"/>
  <c r="H107" i="86" l="1"/>
  <c r="M48" i="86"/>
  <c r="E16" i="74"/>
  <c r="F16" i="74"/>
  <c r="B5" i="74"/>
  <c r="E118" i="86"/>
  <c r="H102" i="86"/>
  <c r="C105" i="86"/>
  <c r="M49" i="86"/>
  <c r="D122" i="86"/>
  <c r="D123" i="86" s="1"/>
  <c r="H108" i="86"/>
  <c r="D52" i="86"/>
  <c r="D55" i="86"/>
  <c r="M53" i="86" s="1"/>
  <c r="C78" i="86"/>
  <c r="C73" i="86" s="1"/>
  <c r="C93" i="86"/>
  <c r="C86" i="86" s="1"/>
  <c r="C72" i="86"/>
  <c r="C64" i="86"/>
  <c r="C63" i="86" s="1"/>
  <c r="C67" i="86" s="1"/>
  <c r="D53" i="86"/>
  <c r="C85" i="86"/>
  <c r="D5" i="74" l="1"/>
  <c r="C5" i="74"/>
  <c r="C95" i="86"/>
  <c r="C96" i="86" s="1"/>
  <c r="E96" i="86" s="1"/>
  <c r="E97" i="86" s="1"/>
  <c r="L65" i="86"/>
  <c r="M65" i="86" s="1"/>
  <c r="L67" i="86"/>
  <c r="M67" i="86" s="1"/>
  <c r="L63" i="86"/>
  <c r="M63" i="86" s="1"/>
  <c r="L64" i="86"/>
  <c r="M64" i="86" s="1"/>
  <c r="L66" i="86"/>
  <c r="M66" i="86" s="1"/>
  <c r="L68" i="86"/>
  <c r="M68" i="86" s="1"/>
  <c r="C79" i="86"/>
  <c r="C68" i="86"/>
  <c r="D54" i="86" s="1"/>
  <c r="D59" i="86"/>
  <c r="M55" i="86" s="1"/>
  <c r="C97" i="86" l="1"/>
  <c r="D58" i="86" s="1"/>
  <c r="D56" i="86" s="1"/>
  <c r="M54" i="86" s="1"/>
  <c r="N57" i="86" s="1"/>
  <c r="M69" i="86"/>
  <c r="N69" i="86" s="1"/>
  <c r="C80" i="86"/>
  <c r="E80" i="86" s="1"/>
  <c r="E81" i="86" s="1"/>
  <c r="C81" i="86" l="1"/>
  <c r="P57" i="86"/>
  <c r="N58" i="86"/>
  <c r="N59" i="86"/>
  <c r="N61" i="86" l="1"/>
  <c r="N60" i="86"/>
  <c r="M64" i="9"/>
  <c r="D52" i="9"/>
  <c r="D53" i="9"/>
  <c r="N60" i="9"/>
  <c r="N61" i="9"/>
  <c r="C81" i="9"/>
  <c r="B53" i="72"/>
  <c r="M66" i="9"/>
  <c r="C104" i="9"/>
  <c r="H4" i="52"/>
  <c r="B47" i="72"/>
  <c r="N58" i="9"/>
  <c r="P57" i="9"/>
  <c r="B22" i="72"/>
  <c r="C6" i="74"/>
  <c r="M55" i="9"/>
  <c r="B48" i="72"/>
  <c r="H119" i="9"/>
  <c r="H5" i="52"/>
  <c r="M67" i="9"/>
  <c r="M48" i="9"/>
  <c r="C105" i="9"/>
  <c r="I4" i="52"/>
  <c r="B20" i="72"/>
  <c r="D5" i="53"/>
  <c r="D6" i="53"/>
  <c r="L64" i="9"/>
  <c r="N59" i="9"/>
  <c r="L66" i="9"/>
  <c r="L67" i="9"/>
  <c r="D56" i="9"/>
  <c r="M54" i="9"/>
  <c r="D59" i="9"/>
  <c r="C78" i="9"/>
  <c r="C73" i="9"/>
  <c r="H108" i="9"/>
  <c r="D15" i="53"/>
  <c r="B31" i="72"/>
  <c r="C97" i="9"/>
  <c r="D58" i="9"/>
  <c r="E4" i="52"/>
  <c r="B30" i="72"/>
  <c r="C93" i="9"/>
  <c r="C86" i="9"/>
  <c r="C80" i="9"/>
  <c r="E80" i="9"/>
  <c r="E81" i="9"/>
  <c r="D8" i="52"/>
  <c r="L63" i="9"/>
  <c r="M63" i="9"/>
  <c r="M69" i="9"/>
  <c r="N69" i="9"/>
  <c r="L65" i="9"/>
  <c r="M65" i="9"/>
  <c r="C68" i="9"/>
  <c r="D54" i="9"/>
  <c r="F4" i="52"/>
  <c r="B51" i="72"/>
  <c r="C64" i="9"/>
  <c r="C63" i="9"/>
  <c r="C67" i="9"/>
  <c r="C96" i="9"/>
  <c r="E96" i="9"/>
  <c r="E97" i="9"/>
  <c r="C72" i="9"/>
  <c r="C79" i="9"/>
  <c r="G4" i="52"/>
  <c r="B52" i="72"/>
  <c r="C85" i="9"/>
  <c r="C95" i="9"/>
  <c r="G118" i="9"/>
  <c r="F118" i="9"/>
  <c r="F119" i="9"/>
  <c r="F5" i="52"/>
  <c r="D5" i="52"/>
  <c r="B49" i="72"/>
  <c r="D13" i="53"/>
  <c r="D14" i="53"/>
  <c r="B32" i="72"/>
  <c r="D4" i="52"/>
  <c r="E118" i="9"/>
  <c r="D118" i="9"/>
  <c r="D119" i="9"/>
  <c r="H102" i="9"/>
  <c r="D7" i="53"/>
  <c r="B21" i="72"/>
  <c r="M49" i="9"/>
  <c r="L68" i="9"/>
  <c r="M68" i="9"/>
  <c r="H107" i="9"/>
  <c r="D122" i="9"/>
  <c r="D123" i="9"/>
  <c r="D9"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<sst xmlns="http://schemas.openxmlformats.org/spreadsheetml/2006/main" count="9939" uniqueCount="3443">
  <si>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</si>
  <si>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</si>
  <si>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</si>
  <si>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</si>
  <si>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</si>
  <si>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</si>
  <si>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</si>
  <si>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</si>
  <si>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</si>
  <si>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</si>
  <si>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</si>
  <si>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</si>
  <si>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</si>
  <si>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</si>
  <si>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</si>
  <si>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</si>
  <si>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</si>
  <si>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</si>
  <si>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</si>
  <si>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</si>
  <si>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</si>
  <si>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</si>
  <si>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</si>
  <si>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</si>
  <si>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</si>
  <si>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</si>
  <si>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</si>
  <si>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</si>
  <si>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</si>
  <si>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</si>
  <si>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</si>
  <si>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</si>
  <si>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</si>
  <si>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</si>
  <si>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</si>
  <si>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</si>
  <si>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</si>
  <si>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</si>
  <si>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</si>
  <si>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</si>
  <si>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</si>
  <si>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</si>
  <si>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</si>
  <si>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</si>
  <si>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</si>
  <si>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</si>
  <si>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</si>
  <si>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</si>
  <si>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</si>
  <si>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</si>
  <si>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</si>
  <si>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</si>
  <si>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</si>
  <si>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</si>
  <si>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</si>
  <si>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</si>
  <si>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</si>
  <si>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</si>
  <si>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</si>
  <si>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</si>
  <si>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</si>
  <si>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</si>
  <si>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</si>
  <si>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</si>
  <si>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</si>
  <si>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</si>
  <si>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</si>
  <si>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</si>
  <si>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</si>
  <si>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</si>
  <si>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</si>
  <si>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</si>
  <si>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</si>
  <si>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</si>
  <si>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</si>
  <si>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</si>
  <si>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</si>
  <si>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</si>
  <si>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</si>
  <si>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</si>
  <si>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</si>
  <si>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</si>
  <si>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</si>
  <si>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</si>
  <si>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</si>
  <si>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</si>
  <si>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</si>
  <si>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</si>
  <si>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</si>
  <si>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</si>
  <si>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</si>
  <si>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</si>
  <si>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</si>
  <si>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</si>
  <si>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</si>
  <si>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</si>
  <si>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</si>
  <si>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</si>
  <si>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</si>
  <si>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</si>
  <si>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</si>
  <si>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</si>
  <si>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</si>
  <si>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</si>
  <si>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</si>
  <si>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</si>
  <si>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</si>
  <si>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</si>
  <si>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</si>
  <si>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</si>
  <si>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</si>
  <si>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</si>
  <si>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</si>
  <si>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</si>
  <si>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</si>
  <si>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</si>
  <si>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</si>
  <si>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</si>
  <si>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</si>
  <si>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</si>
  <si>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</si>
  <si>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</si>
  <si>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</si>
  <si>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</si>
  <si>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</si>
  <si>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</si>
  <si>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</si>
  <si>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</si>
  <si>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</si>
  <si>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</si>
  <si>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</si>
  <si>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</si>
  <si>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</si>
  <si>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</si>
  <si>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</si>
  <si>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</si>
  <si>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</si>
  <si>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</si>
  <si>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</si>
  <si>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</si>
  <si>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</si>
  <si>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</si>
  <si>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</si>
  <si>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</si>
  <si>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</si>
  <si>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</si>
  <si>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</si>
  <si>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</si>
  <si>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</si>
  <si>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</si>
  <si>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</si>
  <si>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</si>
  <si>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</si>
  <si>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</si>
  <si>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</si>
  <si>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</si>
  <si>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</si>
  <si>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</si>
  <si>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</si>
  <si>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</si>
  <si>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</si>
  <si>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</si>
  <si>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</si>
  <si>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</si>
  <si>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</si>
  <si>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</si>
  <si>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</si>
  <si>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</si>
  <si>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</si>
  <si>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</si>
  <si>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</si>
  <si>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</si>
  <si>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</si>
  <si>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</si>
  <si>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</si>
  <si>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</si>
  <si>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</si>
  <si>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</si>
  <si>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</si>
  <si>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</si>
  <si>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</si>
  <si>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</si>
  <si>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</si>
  <si>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</si>
  <si>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</si>
  <si>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</si>
  <si>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</si>
  <si>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</si>
  <si>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</si>
  <si>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</si>
  <si>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</si>
  <si>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</si>
  <si>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</si>
  <si>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</si>
  <si>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</si>
  <si>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</si>
  <si>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</si>
  <si>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</si>
  <si>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</si>
  <si>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</si>
  <si>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</si>
  <si>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</si>
  <si>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</si>
  <si>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</si>
  <si>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</si>
  <si>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</si>
  <si>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</si>
  <si>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</si>
  <si>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</si>
  <si>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</si>
  <si>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</si>
  <si>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</si>
  <si>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</si>
  <si>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</si>
  <si>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</si>
  <si>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</si>
  <si>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</si>
  <si>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</si>
  <si>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</si>
  <si>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</si>
  <si>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</si>
  <si>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</si>
  <si>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</si>
  <si>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</si>
  <si>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</si>
  <si>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</si>
  <si>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</si>
  <si>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</si>
  <si>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</si>
  <si>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</si>
  <si>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</si>
  <si>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</si>
  <si>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</si>
  <si>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</si>
  <si>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</si>
  <si>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</si>
  <si>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</si>
  <si>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</si>
  <si>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</si>
  <si>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</si>
  <si>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</si>
  <si>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</si>
  <si>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</si>
  <si>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</si>
  <si>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</si>
  <si>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</si>
  <si>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</si>
  <si>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</si>
  <si>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</si>
  <si>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</si>
  <si>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</si>
  <si>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</si>
  <si>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</si>
  <si>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</si>
  <si>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</si>
  <si>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</si>
  <si>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</si>
  <si>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</si>
  <si>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</si>
  <si>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</si>
  <si>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</si>
  <si>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</si>
  <si>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</si>
  <si>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</si>
  <si>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</si>
  <si>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</si>
  <si>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</si>
  <si>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</si>
  <si>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</si>
  <si>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</si>
  <si>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</si>
  <si>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</si>
  <si>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</si>
  <si>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</si>
  <si>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</si>
  <si>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</si>
  <si>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</si>
  <si>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</si>
  <si>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</si>
  <si>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</si>
  <si>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</si>
  <si>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</si>
  <si>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</si>
  <si>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</si>
  <si>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</si>
  <si>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</si>
  <si>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</si>
  <si>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</si>
  <si>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</si>
  <si>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</si>
  <si>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</si>
  <si>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</si>
  <si>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</si>
  <si>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</si>
  <si>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</si>
  <si>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</si>
  <si>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</si>
  <si>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</si>
  <si>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</si>
  <si>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</si>
  <si>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</si>
  <si>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</si>
  <si>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</si>
  <si>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</si>
  <si>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</si>
  <si>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</si>
  <si>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</si>
  <si>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</si>
  <si>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</si>
  <si>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</si>
  <si>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</si>
  <si>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</si>
  <si>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</si>
  <si>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</si>
  <si>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</si>
  <si>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</si>
  <si>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</si>
  <si>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</si>
  <si>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</si>
  <si>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</si>
  <si>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</si>
  <si>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</si>
  <si>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</si>
  <si>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</si>
  <si>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</si>
  <si>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</si>
  <si>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</si>
  <si>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</si>
  <si>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</si>
  <si>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</si>
  <si>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</si>
  <si>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</si>
  <si>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</si>
  <si>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</si>
  <si>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</si>
  <si>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</si>
  <si>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</si>
  <si>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</si>
  <si>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</si>
  <si>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</si>
  <si>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</si>
  <si>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</si>
  <si>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</si>
  <si>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</si>
  <si>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</si>
  <si>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</si>
  <si>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</si>
  <si>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</si>
  <si>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</si>
  <si>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</si>
  <si>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</si>
  <si>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</si>
  <si>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</si>
  <si>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</si>
  <si>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</si>
  <si>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</si>
  <si>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</si>
  <si>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</si>
  <si>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</si>
  <si>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</si>
  <si>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</si>
  <si>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</si>
  <si>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</si>
  <si>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</si>
  <si>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</si>
  <si>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</si>
  <si>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</si>
  <si>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</si>
  <si>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</si>
  <si>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</si>
  <si>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</si>
  <si>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</si>
  <si>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</si>
  <si>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</si>
  <si>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</si>
  <si>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</si>
  <si>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</si>
  <si>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</si>
  <si>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</si>
  <si>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</si>
  <si>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</si>
  <si>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</si>
  <si>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</si>
  <si>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</si>
  <si>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</si>
  <si>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</si>
  <si>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</si>
  <si>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</si>
  <si>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</si>
  <si>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</si>
  <si>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</si>
  <si>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</si>
  <si>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</si>
  <si>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</si>
  <si>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</si>
  <si>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</si>
  <si>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</si>
  <si>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</si>
  <si>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</si>
  <si>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</si>
  <si>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</si>
  <si>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</si>
  <si>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</si>
  <si>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</si>
  <si>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</si>
  <si>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</si>
  <si>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</si>
  <si>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</si>
  <si>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</si>
  <si>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</si>
  <si>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</si>
  <si>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</si>
  <si>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</si>
  <si>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</si>
  <si>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</si>
  <si>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</si>
  <si>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</si>
  <si>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</si>
  <si>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</si>
  <si>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</si>
  <si>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</si>
  <si>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</si>
  <si>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</si>
  <si>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</si>
  <si>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</si>
  <si>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</si>
  <si>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</si>
  <si>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</si>
  <si>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</si>
  <si>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</si>
  <si>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</si>
  <si>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</si>
  <si>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</si>
  <si>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</si>
  <si>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</si>
  <si>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</si>
  <si>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</si>
  <si>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</si>
  <si>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</si>
  <si>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</si>
  <si>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</si>
  <si>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</si>
  <si>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</si>
  <si>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</si>
  <si>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</si>
  <si>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</si>
  <si>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</si>
  <si>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</si>
  <si>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</si>
  <si>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</si>
  <si>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</si>
  <si>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</si>
  <si>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</si>
  <si>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</si>
  <si>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</si>
  <si>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</si>
  <si>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</si>
  <si>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</si>
  <si>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</si>
  <si>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</si>
  <si>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</si>
  <si>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</si>
  <si>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</si>
  <si>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</si>
  <si>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</si>
  <si>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</si>
  <si>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</si>
  <si>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</si>
  <si>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</si>
  <si>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</si>
  <si>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</si>
  <si>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</si>
  <si>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</si>
  <si>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</si>
  <si>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</si>
  <si>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</si>
  <si>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</si>
  <si>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</si>
  <si>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</si>
  <si>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</si>
  <si>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</si>
  <si>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</si>
  <si>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</si>
  <si>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</si>
  <si>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</si>
  <si>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</si>
  <si>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</si>
  <si>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</si>
  <si>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</si>
  <si>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</si>
  <si>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</si>
  <si>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</si>
  <si>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</si>
  <si>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</si>
  <si>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</si>
  <si>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</si>
  <si>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</si>
  <si>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</si>
  <si>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</si>
  <si>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</si>
  <si>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</si>
  <si>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</si>
  <si>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</si>
  <si>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</si>
  <si>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</si>
  <si>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</si>
  <si>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</si>
  <si>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</si>
  <si>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</si>
  <si>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</si>
  <si>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</si>
  <si>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</si>
  <si>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</si>
  <si>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</si>
  <si>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</si>
  <si>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</si>
  <si>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</si>
  <si>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</si>
  <si>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</si>
  <si>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</si>
  <si>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</si>
  <si>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</si>
  <si>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</si>
  <si>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</si>
  <si>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</si>
  <si>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</si>
  <si>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</si>
  <si>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</si>
  <si>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</si>
  <si>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</si>
  <si>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</si>
  <si>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</si>
  <si>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</si>
  <si>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</si>
  <si>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</si>
  <si>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</si>
  <si>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</si>
  <si>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</si>
  <si>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</si>
  <si>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</si>
  <si>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</si>
  <si>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</si>
  <si>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</si>
  <si>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</si>
  <si>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</si>
  <si>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</si>
  <si>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</si>
  <si>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</si>
  <si>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</si>
  <si>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</si>
  <si>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</si>
  <si>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</si>
  <si>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</si>
  <si>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</si>
  <si>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</si>
  <si>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</si>
  <si>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</si>
  <si>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</si>
  <si>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</si>
  <si>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</si>
  <si>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</si>
  <si>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</si>
  <si>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</si>
  <si>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</si>
  <si>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</si>
  <si>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</si>
  <si>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</si>
  <si>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</si>
  <si>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</si>
  <si>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</si>
  <si>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</si>
  <si>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</si>
  <si>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</si>
  <si>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</si>
  <si>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</si>
  <si>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</si>
  <si>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</si>
  <si>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</si>
  <si>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</si>
  <si>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</si>
  <si>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</si>
  <si>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</si>
  <si>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</si>
  <si>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</si>
  <si>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</si>
  <si>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</si>
  <si>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</si>
  <si>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</si>
  <si>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</si>
  <si>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</si>
  <si>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</si>
  <si>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</si>
  <si>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</si>
  <si>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</si>
  <si>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</si>
  <si>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</si>
  <si>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</si>
  <si>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</si>
  <si>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</si>
  <si>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</si>
  <si>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</si>
  <si>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</si>
  <si>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</si>
  <si>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</si>
  <si>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</si>
  <si>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</si>
  <si>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</si>
  <si>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</si>
  <si>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</si>
  <si>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</si>
  <si>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</si>
  <si>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</si>
  <si>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</si>
  <si>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</si>
  <si>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</si>
  <si>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</si>
  <si>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</si>
  <si>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</si>
  <si>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</si>
  <si>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</si>
  <si>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</si>
  <si>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</si>
  <si>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</si>
  <si>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</si>
  <si>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</si>
  <si>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</si>
  <si>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</si>
  <si>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</si>
  <si>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</si>
  <si>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</si>
  <si>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</si>
  <si>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</si>
  <si>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</si>
  <si>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</si>
  <si>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</si>
  <si>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</si>
  <si>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</si>
  <si>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</si>
  <si>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</si>
  <si>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</si>
  <si>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</si>
  <si>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</si>
  <si>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</si>
  <si>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</si>
  <si>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</si>
  <si>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</si>
  <si>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</si>
  <si>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</si>
  <si>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</si>
  <si>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</si>
  <si>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</si>
  <si>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</si>
  <si>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</si>
  <si>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</si>
  <si>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</si>
  <si>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</si>
  <si>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</si>
  <si>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</si>
  <si>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</si>
  <si>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</si>
  <si>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</si>
  <si>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</si>
  <si>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</si>
  <si>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</si>
  <si>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</si>
  <si>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</si>
  <si>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</si>
  <si>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</si>
  <si>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</si>
  <si>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</si>
  <si>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</si>
  <si>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</si>
  <si>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</si>
  <si>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</si>
  <si>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</si>
  <si>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</si>
  <si>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</si>
  <si>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</si>
  <si>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</si>
  <si>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</si>
  <si>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</si>
  <si>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</si>
  <si>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</si>
  <si>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</si>
  <si>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</si>
  <si>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</si>
  <si>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</si>
  <si>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</si>
  <si>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</si>
  <si>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</si>
  <si>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</si>
  <si>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</si>
  <si>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</si>
  <si>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</si>
  <si>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</si>
  <si>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</si>
  <si>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</si>
  <si>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</si>
  <si>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</si>
  <si>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</si>
  <si>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</si>
  <si>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</si>
  <si>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</si>
  <si>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</si>
  <si>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</si>
  <si>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</si>
  <si>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</si>
  <si>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</si>
  <si>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</si>
  <si>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</si>
  <si>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</si>
  <si>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</si>
  <si>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</si>
  <si>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</si>
  <si>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</si>
  <si>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</si>
  <si>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</si>
  <si>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</si>
  <si>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</si>
  <si>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</si>
  <si>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</si>
  <si>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</si>
  <si>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</si>
  <si>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</si>
  <si>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</si>
  <si>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</si>
  <si>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</si>
  <si>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</si>
  <si>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</si>
  <si>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</si>
  <si>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</si>
  <si>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</si>
  <si>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</si>
  <si>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</si>
  <si>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</si>
  <si>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</si>
  <si>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</si>
  <si>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</si>
  <si>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</si>
  <si>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</si>
  <si>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</si>
  <si>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</si>
  <si>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</si>
  <si>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</si>
  <si>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</si>
  <si>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</si>
  <si>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</si>
  <si>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</si>
  <si>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</si>
  <si>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</si>
  <si>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</si>
  <si>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</si>
  <si>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</si>
  <si>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</si>
  <si>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</si>
  <si>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</si>
  <si>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</si>
  <si>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</si>
  <si>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</si>
  <si>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</si>
  <si>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</si>
  <si>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</si>
  <si>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</si>
  <si>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</si>
  <si>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</si>
  <si>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</si>
  <si>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</si>
  <si>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</si>
  <si>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</si>
  <si>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</si>
  <si>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</si>
  <si>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</si>
  <si>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</si>
  <si>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</si>
  <si>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</si>
  <si>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</si>
  <si>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</si>
  <si>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</si>
  <si>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</si>
  <si>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</si>
  <si>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</si>
  <si>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</si>
  <si>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</si>
  <si>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</si>
  <si>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</si>
  <si>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</si>
  <si>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</si>
  <si>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</si>
  <si>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</si>
  <si>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</si>
  <si>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</si>
  <si>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</si>
  <si>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</si>
  <si>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</si>
  <si>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</si>
  <si>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</si>
  <si>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</si>
  <si>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</si>
  <si>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</si>
  <si>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</si>
  <si>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</si>
  <si>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</si>
  <si>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</si>
  <si>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</si>
  <si>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</si>
  <si>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</si>
  <si>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</si>
  <si>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</si>
  <si>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</si>
  <si>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</si>
  <si>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</si>
  <si>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</si>
  <si>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</si>
  <si>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</si>
  <si>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</si>
  <si>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</si>
  <si>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</si>
  <si>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</si>
  <si>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</si>
  <si>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</si>
  <si>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</si>
  <si>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</si>
  <si>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</si>
  <si>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</si>
  <si>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</si>
  <si>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</si>
  <si>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</si>
  <si>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</si>
  <si>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</si>
  <si>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</si>
  <si>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</si>
  <si>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</si>
  <si>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</si>
  <si>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</si>
  <si>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</si>
  <si>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</si>
  <si>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</si>
  <si>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</si>
  <si>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</si>
  <si>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</si>
  <si>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</si>
  <si>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</si>
  <si>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</si>
  <si>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</si>
  <si>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</si>
  <si>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</si>
  <si>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</si>
  <si>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</si>
  <si>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</si>
  <si>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</si>
  <si>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</si>
  <si>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</si>
  <si>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</si>
  <si>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</si>
  <si>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</si>
  <si>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</si>
  <si>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</si>
  <si>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</si>
  <si>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</si>
  <si>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</si>
  <si>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</si>
  <si>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</si>
  <si>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</si>
  <si>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</si>
  <si>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</si>
  <si>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</si>
  <si>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</si>
  <si>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</si>
  <si>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</si>
  <si>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</si>
  <si>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</si>
  <si>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</si>
  <si>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</si>
  <si>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</si>
  <si>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</si>
  <si>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</si>
  <si>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</si>
  <si>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</si>
  <si>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</si>
  <si>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</si>
  <si>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</si>
  <si>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</si>
  <si>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</si>
  <si>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</si>
  <si>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</si>
  <si>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</si>
  <si>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</si>
  <si>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</si>
  <si>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</si>
  <si>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</si>
  <si>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</si>
  <si>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</si>
  <si>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</si>
  <si>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</si>
  <si>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</si>
  <si>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</si>
  <si>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</si>
  <si>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</si>
  <si>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</si>
  <si>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</si>
  <si>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</si>
  <si>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</si>
  <si>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</si>
  <si>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</si>
  <si>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</si>
  <si>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</si>
  <si>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</si>
  <si>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</si>
  <si>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</si>
  <si>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</si>
  <si>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</si>
  <si>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</si>
  <si>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</si>
  <si>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</si>
  <si>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</si>
  <si>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</si>
  <si>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</si>
  <si>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</si>
  <si>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</si>
  <si>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</si>
  <si>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</si>
  <si>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</si>
  <si>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</si>
  <si>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</si>
  <si>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</si>
  <si>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</si>
  <si>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</si>
  <si>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</si>
  <si>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</si>
  <si>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</si>
  <si>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</si>
  <si>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</si>
  <si>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</si>
  <si>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</si>
  <si>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</si>
  <si>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</si>
  <si>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</si>
  <si>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</si>
  <si>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</si>
  <si>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</si>
  <si>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</si>
  <si>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</si>
  <si>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</si>
  <si>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</si>
  <si>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</si>
  <si>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</si>
  <si>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</si>
  <si>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</si>
  <si>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</si>
  <si>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</si>
  <si>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</si>
  <si>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</si>
  <si>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</si>
  <si>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</si>
  <si>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</si>
  <si>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</si>
  <si>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</si>
  <si>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</si>
  <si>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</si>
  <si>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</si>
  <si>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</si>
  <si>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</si>
  <si>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</si>
  <si>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</si>
  <si>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</si>
  <si>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</si>
  <si>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</si>
  <si>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</si>
  <si>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</si>
  <si>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</si>
  <si>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</si>
  <si>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</si>
  <si>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</si>
  <si>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</si>
  <si>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</si>
  <si>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</si>
  <si>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</si>
  <si>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</si>
  <si>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</si>
  <si>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</si>
  <si>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</si>
  <si>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</si>
  <si>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</si>
  <si>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</si>
  <si>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</si>
  <si>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</si>
  <si>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</si>
  <si>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</si>
  <si>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</si>
  <si>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</si>
  <si>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</si>
  <si>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</si>
  <si>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</si>
  <si>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</si>
  <si>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</si>
  <si>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</si>
  <si>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</si>
  <si>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</si>
  <si>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</si>
  <si>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</si>
  <si>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</si>
  <si>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</si>
  <si>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</si>
  <si>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</si>
  <si>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</si>
  <si>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</si>
  <si>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</si>
  <si>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</si>
  <si>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</si>
  <si>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</si>
  <si>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</si>
  <si>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</si>
  <si>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</si>
  <si>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</si>
  <si>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</si>
  <si>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</si>
  <si>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</si>
  <si>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</si>
  <si>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</si>
  <si>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</si>
  <si>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</si>
  <si>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</si>
  <si>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</si>
  <si>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</si>
  <si>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</si>
  <si>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</si>
  <si>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</si>
  <si>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</si>
  <si>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</si>
  <si>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</si>
  <si>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</si>
  <si>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</si>
  <si>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</si>
  <si>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</si>
  <si>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</si>
  <si>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</si>
  <si>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</si>
  <si>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</si>
  <si>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</si>
  <si>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</si>
  <si>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</si>
  <si>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</si>
  <si>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</si>
  <si>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</si>
  <si>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</si>
  <si>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</si>
  <si>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</si>
  <si>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</si>
  <si>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</si>
  <si>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</si>
  <si>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</si>
  <si>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</si>
  <si>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</si>
  <si>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</si>
  <si>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</si>
  <si>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</si>
  <si>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</si>
  <si>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</si>
  <si>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</si>
  <si>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</si>
  <si>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</si>
  <si>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</si>
  <si>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</si>
  <si>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</si>
  <si>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</si>
  <si>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</si>
  <si>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</si>
  <si>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</si>
  <si>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</si>
  <si>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</si>
  <si>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</si>
  <si>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</si>
  <si>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</si>
  <si>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</si>
  <si>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</si>
  <si>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</si>
  <si>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</si>
  <si>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</si>
  <si>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</si>
  <si>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</si>
  <si>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</si>
  <si>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</si>
  <si>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</si>
  <si>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</si>
  <si>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</si>
  <si>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</si>
  <si>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</si>
  <si>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</si>
  <si>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</si>
  <si>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</si>
  <si>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</si>
  <si>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</si>
  <si>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</si>
  <si>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</si>
  <si>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</si>
  <si>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</si>
  <si>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</si>
  <si>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</si>
  <si>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</si>
  <si>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</si>
  <si>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</si>
  <si>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</si>
  <si>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</si>
  <si>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</si>
  <si>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</si>
  <si>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</si>
  <si>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</si>
  <si>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</si>
  <si>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</si>
  <si>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</si>
  <si>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</si>
  <si>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</si>
  <si>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</si>
  <si>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</si>
  <si>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</si>
  <si>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</si>
  <si>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</si>
  <si>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</si>
  <si>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</si>
  <si>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</si>
  <si>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</si>
  <si>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</si>
  <si>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</si>
  <si>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</si>
  <si>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</si>
  <si>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</si>
  <si>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</si>
  <si>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</si>
  <si>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</si>
  <si>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</si>
  <si>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</si>
  <si>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</si>
  <si>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</si>
  <si>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</si>
  <si>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</si>
  <si>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</si>
  <si>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</si>
  <si>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</si>
  <si>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</si>
  <si>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</si>
  <si>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</si>
  <si>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</si>
  <si>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</si>
  <si>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</si>
  <si>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</si>
  <si>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</si>
  <si>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</si>
  <si>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</si>
  <si>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</si>
  <si>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</si>
  <si>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</si>
  <si>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</si>
  <si>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</si>
  <si>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</si>
  <si>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</si>
  <si>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</si>
  <si>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</si>
  <si>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</si>
  <si>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</si>
  <si>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</si>
  <si>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</si>
  <si>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</si>
  <si>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</si>
  <si>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</si>
  <si>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</si>
  <si>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</si>
  <si>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</si>
  <si>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</si>
  <si>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</si>
  <si>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</si>
  <si>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</si>
  <si>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</si>
  <si>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</si>
  <si>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</si>
  <si>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</si>
  <si>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</si>
  <si>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</si>
  <si>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</si>
  <si>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</si>
  <si>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</si>
  <si>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</si>
  <si>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</si>
  <si>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</si>
  <si>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</si>
  <si>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</si>
  <si>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</si>
  <si>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</si>
  <si>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</si>
  <si>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</si>
  <si>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</si>
  <si>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</si>
  <si>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</si>
  <si>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</si>
  <si>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</si>
  <si>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</si>
  <si>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</si>
  <si>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</si>
  <si>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</si>
  <si>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</si>
  <si>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</si>
  <si>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</si>
  <si>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</si>
  <si>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</si>
  <si>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</si>
  <si>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</si>
  <si>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</si>
  <si>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</si>
  <si>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</si>
  <si>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</si>
  <si>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</si>
  <si>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</si>
  <si>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</si>
  <si>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</si>
  <si>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</si>
  <si>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</si>
  <si>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</si>
  <si>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</si>
  <si>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</si>
  <si>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</si>
  <si>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</si>
  <si>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</si>
  <si>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</si>
  <si>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</si>
  <si>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</si>
  <si>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</si>
  <si>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</si>
  <si>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</si>
  <si>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</si>
  <si>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</si>
  <si>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</si>
  <si>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</si>
  <si>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</si>
  <si>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</si>
  <si>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</si>
  <si>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</si>
  <si>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</si>
  <si>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</si>
  <si>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</si>
  <si>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</si>
  <si>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</si>
  <si>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</si>
  <si>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</si>
  <si>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</si>
  <si>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</si>
  <si>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</si>
  <si>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</si>
  <si>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</si>
  <si>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</si>
  <si>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</si>
  <si>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</si>
  <si>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</si>
  <si>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</si>
  <si>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</si>
  <si>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</si>
  <si>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</si>
  <si>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</si>
  <si>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</si>
  <si>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</si>
  <si>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</si>
  <si>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</si>
  <si>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</si>
  <si>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</si>
  <si>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</si>
  <si>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</si>
  <si>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</si>
  <si>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</si>
  <si>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</si>
  <si>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</si>
  <si>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</si>
  <si>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</si>
  <si>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</si>
  <si>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</si>
  <si>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</si>
  <si>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</si>
  <si>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</si>
  <si>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</si>
  <si>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</si>
  <si>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</si>
  <si>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</si>
  <si>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</si>
  <si>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</si>
  <si>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</si>
  <si>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</si>
  <si>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</si>
  <si>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</si>
  <si>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</si>
  <si>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</si>
  <si>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</si>
  <si>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</si>
  <si>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</si>
  <si>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</si>
  <si>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</si>
  <si>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</si>
  <si>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</si>
  <si>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</si>
  <si>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</si>
  <si>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</si>
  <si>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</si>
  <si>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</si>
  <si>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</si>
  <si>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</si>
  <si>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</si>
  <si>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</si>
  <si>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</si>
  <si>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</si>
  <si>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</si>
  <si>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</si>
  <si>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</si>
  <si>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</si>
  <si>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</si>
  <si>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</si>
  <si>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</si>
  <si>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</si>
  <si>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</si>
  <si>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</si>
  <si>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</si>
  <si>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</si>
  <si>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</si>
  <si>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</si>
  <si>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</si>
  <si>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</si>
  <si>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</si>
  <si>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</si>
  <si>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</si>
  <si>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</si>
  <si>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</si>
  <si>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</si>
  <si>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</si>
  <si>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</si>
  <si>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</si>
  <si>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</si>
  <si>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</si>
  <si>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</si>
  <si>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</si>
  <si>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</si>
  <si>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</si>
  <si>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</si>
  <si>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</si>
  <si>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</si>
  <si>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</si>
  <si>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</si>
  <si>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</si>
  <si>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</si>
  <si>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</si>
  <si>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</si>
  <si>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</si>
  <si>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</si>
  <si>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</si>
  <si>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</si>
  <si>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</si>
  <si>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</si>
  <si>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</si>
  <si>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</si>
  <si>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</si>
  <si>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</si>
  <si>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</si>
  <si>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</si>
  <si>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</si>
  <si>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</si>
  <si>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</si>
  <si>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</si>
  <si>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</si>
  <si>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</si>
  <si>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</si>
  <si>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</si>
  <si>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</si>
  <si>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</si>
  <si>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</si>
  <si>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</si>
  <si>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</si>
  <si>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</si>
  <si>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</si>
  <si>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</si>
  <si>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</si>
  <si>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</si>
  <si>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</si>
  <si>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</si>
  <si>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</si>
  <si>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</si>
  <si>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</si>
  <si>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</si>
  <si>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</si>
  <si>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</si>
  <si>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</si>
  <si>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</si>
  <si>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</si>
  <si>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</si>
  <si>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</si>
  <si>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</si>
  <si>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</si>
  <si>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</si>
  <si>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</si>
  <si>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</si>
  <si>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</si>
  <si>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</si>
  <si>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</si>
  <si>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</si>
  <si>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</si>
  <si>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</si>
  <si>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</si>
  <si>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</si>
  <si>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</si>
  <si>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</si>
  <si>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</si>
  <si>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</si>
  <si>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</si>
  <si>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</si>
  <si>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</si>
  <si>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</si>
  <si>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</si>
  <si>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</si>
  <si>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</si>
  <si>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</si>
  <si>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</si>
  <si>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</si>
  <si>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</si>
  <si>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</si>
  <si>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</si>
  <si>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</si>
  <si>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</si>
  <si>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</si>
  <si>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</si>
  <si>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</si>
  <si>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</si>
  <si>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</si>
  <si>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</si>
  <si>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</si>
  <si>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</si>
  <si>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</si>
  <si>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</si>
  <si>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</si>
  <si>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</si>
  <si>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</si>
  <si>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</si>
  <si>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</si>
  <si>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</si>
  <si>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</si>
  <si>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</si>
  <si>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</si>
  <si>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</si>
  <si>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</si>
  <si>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</si>
  <si>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</si>
  <si>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</si>
  <si>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</si>
  <si>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</si>
  <si>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</si>
  <si>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</si>
  <si>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</si>
  <si>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</si>
  <si>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</si>
  <si>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</si>
  <si>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</si>
  <si>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</si>
  <si>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</si>
  <si>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</si>
  <si>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</si>
  <si>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</si>
  <si>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</si>
  <si>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</si>
  <si>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</si>
  <si>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</si>
  <si>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</si>
  <si>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</si>
  <si>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</si>
  <si>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</si>
  <si>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</si>
  <si>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</si>
  <si>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</si>
  <si>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</si>
  <si>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</si>
  <si>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</si>
  <si>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</si>
  <si>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</si>
  <si>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</si>
  <si>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</si>
  <si>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</si>
  <si>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</si>
  <si>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</si>
  <si>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</si>
  <si>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</si>
  <si>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</si>
  <si>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</si>
  <si>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</si>
  <si>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</si>
  <si>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</si>
  <si>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</si>
  <si>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</si>
  <si>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</si>
  <si>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</si>
  <si>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</si>
  <si>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</si>
  <si>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</si>
  <si>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</si>
  <si>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</si>
  <si>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</si>
  <si>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</si>
  <si>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</si>
  <si>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</si>
  <si>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</si>
  <si>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</si>
  <si>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</si>
  <si>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</si>
  <si>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</si>
  <si>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</si>
  <si>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</si>
  <si>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</si>
  <si>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</si>
  <si>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</si>
  <si>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</si>
  <si>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</si>
  <si>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</si>
  <si>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</si>
  <si>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</si>
  <si>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</si>
  <si>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</si>
  <si>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</si>
  <si>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</si>
  <si>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</si>
  <si>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</si>
  <si>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</si>
  <si>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</si>
  <si>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</si>
  <si>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</si>
  <si>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</si>
  <si>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</si>
  <si>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</si>
  <si>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</si>
  <si>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</si>
  <si>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</si>
  <si>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</si>
  <si>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</si>
  <si>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</si>
  <si>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</si>
  <si>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</si>
  <si>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</si>
  <si>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</si>
  <si>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</si>
  <si>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</si>
  <si>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</si>
  <si>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</si>
  <si>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</si>
  <si>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</si>
  <si>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</si>
  <si>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</si>
  <si>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</si>
  <si>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</si>
  <si>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</si>
  <si>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</si>
  <si>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</si>
  <si>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</si>
  <si>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</si>
  <si>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</si>
  <si>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</si>
  <si>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</si>
  <si>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</si>
  <si>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</si>
  <si>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</si>
  <si>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</si>
  <si>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</si>
  <si>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</si>
  <si>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</si>
  <si>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</si>
  <si>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</si>
  <si>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</si>
  <si>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</si>
  <si>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</si>
  <si>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</si>
  <si>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</si>
  <si>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</si>
  <si>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</si>
  <si>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</si>
  <si>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</si>
  <si>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</si>
  <si>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</si>
  <si>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</si>
  <si>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</si>
  <si>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</si>
  <si>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</si>
  <si>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</si>
  <si>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</si>
  <si>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</si>
  <si>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</si>
  <si>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</si>
  <si>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</si>
  <si>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</si>
  <si>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</si>
  <si>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</si>
  <si>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</si>
  <si>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</si>
  <si>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</si>
  <si>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</si>
  <si>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</si>
  <si>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</si>
  <si>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</si>
  <si>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</si>
  <si>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</si>
  <si>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</si>
  <si>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</si>
  <si>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</si>
  <si>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</si>
  <si>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</si>
  <si>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</si>
  <si>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</si>
  <si>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</si>
  <si>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</si>
  <si>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</si>
  <si>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</si>
  <si>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</si>
  <si>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</si>
  <si>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</si>
  <si>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</si>
  <si>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</si>
  <si>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</si>
  <si>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</si>
  <si>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</si>
  <si>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</si>
  <si>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</si>
  <si>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</si>
  <si>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</si>
  <si>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</si>
  <si>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</si>
  <si>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</si>
  <si>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</si>
  <si>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</si>
  <si>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</si>
  <si>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</si>
  <si>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</si>
  <si>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</si>
  <si>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</si>
  <si>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</si>
  <si>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</si>
  <si>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</si>
  <si>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</si>
  <si>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</si>
  <si>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</si>
  <si>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</si>
  <si>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</si>
  <si>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</si>
  <si>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</si>
  <si>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</si>
  <si>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</si>
  <si>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</si>
  <si>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</si>
  <si>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</si>
  <si>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</si>
  <si>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</si>
  <si>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</si>
  <si>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</si>
  <si>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</si>
  <si>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</si>
  <si>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</si>
  <si>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</si>
  <si>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</si>
  <si>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</si>
  <si>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</si>
  <si>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</si>
  <si>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</si>
  <si>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</si>
  <si>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</si>
  <si>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</si>
  <si>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</si>
  <si>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</si>
  <si>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</si>
  <si>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</si>
  <si>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</si>
  <si>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</si>
  <si>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</si>
  <si>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</si>
  <si>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</si>
  <si>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</si>
  <si>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</si>
  <si>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</si>
  <si>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</si>
  <si>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</si>
  <si>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</si>
  <si>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</si>
  <si>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</si>
  <si>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</si>
  <si>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</si>
  <si>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</si>
  <si>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</si>
  <si>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</si>
  <si>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</si>
  <si>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</si>
  <si>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</si>
  <si>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</si>
  <si>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</si>
  <si>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</si>
  <si>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</si>
  <si>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</si>
  <si>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</si>
  <si>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</si>
  <si>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</si>
  <si>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</si>
  <si>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</si>
  <si>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</si>
  <si>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</si>
  <si>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</si>
  <si>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</si>
  <si>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</si>
  <si>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</si>
  <si>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</si>
  <si>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</si>
  <si>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</si>
  <si>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</si>
  <si>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</si>
  <si>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</si>
  <si>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</si>
  <si>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</si>
  <si>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</si>
  <si>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</si>
  <si>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</si>
  <si>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</si>
  <si>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</si>
  <si>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</si>
  <si>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</si>
  <si>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</si>
  <si>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</si>
  <si>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</si>
  <si>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</si>
  <si>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</si>
  <si>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</si>
  <si>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</si>
  <si>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</si>
  <si>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</si>
  <si>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</si>
  <si>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</si>
  <si>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</si>
  <si>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</si>
  <si>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</si>
  <si>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</si>
  <si>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</si>
  <si>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</si>
  <si>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</si>
  <si>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</si>
  <si>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</si>
  <si>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</si>
  <si>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</si>
  <si>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</si>
  <si>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</si>
  <si>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</si>
  <si>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</si>
  <si>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</si>
  <si>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</si>
  <si>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</si>
  <si>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</si>
  <si>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</si>
  <si>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</si>
  <si>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</si>
  <si>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</si>
  <si>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</si>
  <si>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</si>
  <si>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</si>
  <si>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</si>
  <si>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</si>
  <si>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</si>
  <si>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</si>
  <si>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</si>
  <si>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</si>
  <si>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</si>
  <si>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</si>
  <si>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</si>
  <si>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</si>
  <si>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</si>
  <si>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</si>
  <si>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</si>
  <si>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</si>
  <si>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</si>
  <si>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</si>
  <si>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</si>
  <si>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</si>
  <si>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</si>
  <si>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</si>
  <si>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</si>
  <si>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</si>
  <si>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</si>
  <si>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</si>
  <si>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</si>
  <si>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</si>
  <si>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</si>
  <si>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</si>
  <si>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</si>
  <si>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</si>
  <si>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</si>
  <si>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</si>
  <si>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</si>
  <si>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</si>
  <si>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</si>
  <si>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</si>
  <si>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</si>
  <si>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</si>
  <si>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</si>
  <si>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</si>
  <si>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</si>
  <si>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</si>
  <si>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</si>
  <si>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</si>
  <si>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</si>
  <si>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</si>
  <si>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</si>
  <si>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</si>
  <si>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</si>
  <si>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</si>
  <si>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</si>
  <si>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</si>
  <si>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</si>
  <si>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</si>
  <si>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</si>
  <si>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</si>
  <si>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</si>
  <si>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</si>
  <si>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</si>
  <si>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</si>
  <si>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</si>
  <si>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</si>
  <si>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</si>
  <si>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</si>
  <si>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</si>
  <si>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</si>
  <si>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</si>
  <si>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</si>
  <si>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</si>
  <si>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</si>
  <si>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</si>
  <si>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</si>
  <si>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</si>
  <si>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</si>
  <si>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</si>
  <si>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</si>
  <si>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</si>
  <si>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</si>
  <si>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</si>
  <si>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</si>
  <si>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</si>
  <si>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</si>
  <si>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</si>
  <si>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</si>
  <si>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</si>
  <si>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</si>
  <si>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</si>
  <si>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</si>
  <si>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</si>
  <si>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</si>
  <si>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</si>
  <si>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</si>
  <si>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</si>
  <si>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</si>
  <si>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</si>
  <si>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</si>
  <si>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</si>
  <si>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</si>
  <si>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</si>
  <si>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</si>
  <si>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</si>
  <si>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</si>
  <si>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</si>
  <si>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</si>
  <si>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</si>
  <si>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</si>
  <si>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</si>
  <si>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</si>
  <si>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</si>
  <si>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</si>
  <si>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</si>
  <si>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</si>
  <si>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</si>
  <si>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</si>
  <si>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</si>
  <si>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</si>
  <si>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</si>
  <si>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</si>
  <si>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</si>
  <si>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</si>
  <si>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</si>
  <si>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</si>
  <si>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</si>
  <si>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</si>
  <si>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</si>
  <si>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</si>
  <si>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</si>
  <si>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</si>
  <si>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</si>
  <si>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</si>
  <si>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</si>
  <si>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</si>
  <si>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</si>
  <si>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</si>
  <si>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</si>
  <si>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</si>
  <si>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</si>
  <si>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</si>
  <si>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</si>
  <si>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</si>
  <si>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</si>
  <si>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</si>
  <si>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</si>
  <si>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</si>
  <si>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</si>
  <si>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</si>
  <si>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</si>
  <si>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</si>
  <si>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</si>
  <si>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</si>
  <si>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</si>
  <si>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</si>
  <si>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</si>
  <si>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</si>
  <si>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</si>
  <si>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</si>
  <si>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</si>
  <si>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</si>
  <si>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</si>
  <si>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</si>
  <si>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</si>
  <si>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</si>
  <si>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</si>
  <si>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</si>
  <si>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</si>
  <si>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</si>
  <si>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</si>
  <si>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</si>
  <si>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</si>
  <si>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</si>
  <si>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</si>
  <si>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</si>
  <si>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</si>
  <si>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</si>
  <si>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</si>
  <si>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</si>
  <si>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</si>
  <si>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</si>
  <si>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</si>
  <si>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</si>
  <si>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</si>
  <si>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</si>
  <si>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</si>
  <si>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</si>
  <si>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</si>
  <si>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</si>
  <si>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</si>
  <si>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</si>
  <si>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</si>
  <si>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</si>
  <si>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</si>
  <si>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</si>
  <si>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</si>
  <si>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</si>
  <si>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</si>
  <si>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</si>
  <si>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</si>
  <si>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</si>
  <si>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</si>
  <si>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</si>
  <si>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</si>
  <si>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</si>
  <si>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</si>
  <si>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</si>
  <si>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</si>
  <si>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</si>
  <si>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</si>
  <si>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</si>
  <si>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</si>
  <si>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</si>
  <si>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</si>
  <si>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</si>
  <si>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</si>
  <si>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</si>
  <si>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</si>
  <si>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</si>
  <si>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</si>
  <si>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</si>
  <si>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</si>
  <si>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</si>
  <si>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</si>
  <si>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</si>
  <si>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</si>
  <si>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</si>
  <si>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</si>
  <si>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</si>
  <si>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</si>
  <si>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</si>
  <si>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</si>
  <si>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</si>
  <si>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</si>
  <si>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</si>
  <si>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</si>
  <si>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</si>
  <si>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</si>
  <si>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</si>
  <si>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</si>
  <si>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</si>
  <si>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</si>
  <si>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</si>
  <si>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</si>
  <si>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</si>
  <si>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</si>
  <si>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</si>
  <si>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</si>
  <si>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</si>
  <si>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</si>
  <si>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</si>
  <si>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</si>
  <si>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</si>
  <si>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</si>
  <si>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</si>
  <si>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</si>
  <si>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</si>
  <si>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</si>
  <si>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</si>
  <si>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</si>
  <si>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</si>
  <si>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</si>
  <si>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</si>
  <si>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</si>
  <si>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</si>
  <si>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</si>
  <si>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</si>
  <si>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</si>
  <si>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</si>
  <si>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</si>
  <si>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</si>
  <si>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</si>
  <si>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</si>
  <si>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</si>
  <si>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</si>
  <si>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</si>
  <si>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</si>
  <si>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</si>
  <si>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</si>
  <si>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</si>
  <si>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</si>
  <si>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</si>
  <si>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</si>
  <si>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</si>
  <si>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</si>
  <si>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</si>
  <si>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</si>
  <si>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</si>
  <si>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</si>
  <si>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</si>
  <si>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</si>
  <si>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</si>
  <si>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</si>
  <si>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</si>
  <si>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</si>
  <si>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</si>
  <si>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</si>
  <si>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</si>
  <si>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</si>
  <si>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</si>
  <si>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</si>
  <si>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</si>
  <si>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</si>
  <si>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</si>
  <si>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</si>
  <si>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</si>
  <si>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</si>
  <si>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</si>
  <si>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</si>
  <si>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</si>
  <si>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</si>
  <si>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</si>
  <si>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</si>
  <si>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</si>
  <si>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</si>
  <si>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</si>
  <si>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</si>
  <si>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</si>
  <si>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</si>
  <si>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</si>
  <si>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</si>
  <si>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</si>
  <si>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</si>
  <si>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</si>
  <si>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</si>
  <si>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</si>
  <si>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</si>
  <si>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</si>
  <si>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</si>
  <si>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</si>
  <si>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</si>
  <si>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</si>
  <si>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</si>
  <si>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</si>
  <si>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</si>
  <si>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</si>
  <si>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</si>
  <si>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</si>
  <si>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</si>
  <si>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</si>
  <si>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</si>
  <si>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</si>
  <si>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</si>
  <si>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</si>
  <si>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</si>
  <si>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</si>
  <si>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</si>
  <si>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</si>
  <si>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</si>
  <si>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</si>
  <si>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</si>
  <si>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</si>
  <si>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</si>
  <si>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</si>
  <si>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</si>
  <si>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</si>
  <si>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</si>
  <si>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</si>
  <si>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</si>
  <si>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</si>
  <si>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</si>
  <si>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</si>
  <si>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</si>
  <si>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</si>
  <si>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</si>
  <si>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</si>
  <si>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</si>
  <si>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</si>
  <si>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</si>
  <si>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</si>
  <si>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</si>
  <si>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</si>
  <si>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</si>
  <si>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</si>
  <si>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</si>
  <si>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</si>
  <si>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</si>
  <si>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</si>
  <si>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</si>
  <si>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</si>
  <si>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</si>
  <si>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</si>
  <si>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</si>
  <si>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</si>
  <si>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</si>
  <si>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</si>
  <si>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</si>
  <si>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</si>
  <si>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</si>
  <si>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</si>
  <si>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</si>
  <si>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</si>
  <si>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</si>
  <si>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</si>
  <si>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</si>
  <si>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</si>
  <si>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</si>
  <si>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</si>
  <si>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</si>
  <si>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</si>
  <si>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</si>
  <si>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</si>
  <si>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</si>
  <si>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</si>
  <si>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</si>
  <si>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</si>
  <si>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</si>
  <si>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</si>
  <si>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</si>
  <si>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</si>
  <si>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</si>
  <si>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</si>
  <si>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</si>
  <si>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</si>
  <si>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</si>
  <si>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</si>
  <si>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</si>
  <si>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</si>
  <si>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</si>
  <si>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</si>
  <si>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</si>
  <si>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</si>
  <si>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</si>
  <si>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</si>
  <si>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</si>
  <si>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</si>
  <si>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</si>
  <si>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</si>
  <si>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</si>
  <si>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</si>
  <si>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</si>
  <si>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</si>
  <si>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</si>
  <si>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</si>
  <si>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</si>
  <si>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</si>
  <si>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</si>
  <si>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</si>
  <si>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</si>
  <si>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</si>
  <si>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</si>
  <si>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</si>
  <si>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</si>
  <si>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</si>
  <si>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</si>
  <si>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</si>
  <si>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</si>
  <si>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</si>
  <si>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</si>
  <si>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</si>
  <si>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</si>
  <si>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</si>
  <si>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</si>
  <si>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</si>
  <si>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</si>
  <si>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</si>
  <si>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</si>
  <si>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</si>
  <si>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</si>
  <si>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</si>
  <si>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</si>
  <si>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</si>
  <si>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</si>
  <si>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</si>
  <si>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</si>
  <si>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</si>
  <si>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</si>
  <si>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</si>
  <si>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</si>
  <si>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</si>
  <si>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</si>
  <si>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</si>
  <si>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</si>
  <si>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</si>
  <si>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</si>
  <si>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</si>
  <si>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</si>
  <si>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</si>
  <si>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</si>
  <si>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</si>
  <si>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</si>
  <si>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</si>
  <si>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</si>
  <si>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</si>
  <si>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</si>
  <si>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</si>
  <si>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</si>
  <si>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</si>
  <si>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</si>
  <si>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</si>
  <si>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</si>
  <si>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</si>
  <si>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</si>
  <si>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</si>
  <si>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</si>
  <si>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</si>
  <si>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</si>
  <si>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</si>
  <si>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</si>
  <si>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</si>
  <si>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</si>
  <si>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</si>
  <si>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</si>
  <si>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</si>
  <si>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</si>
  <si>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</si>
  <si>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</si>
  <si>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</si>
  <si>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</si>
  <si>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</si>
  <si>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</si>
  <si>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</si>
  <si>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</si>
  <si>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</si>
  <si>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</si>
  <si>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</si>
  <si>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</si>
  <si>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</si>
  <si>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</si>
  <si>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</si>
  <si>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</si>
  <si>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</si>
  <si>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</si>
  <si>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</si>
  <si>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</si>
  <si>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</si>
  <si>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</si>
  <si>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</si>
  <si>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</si>
  <si>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</si>
  <si>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</si>
  <si>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</si>
  <si>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</si>
  <si>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</si>
  <si>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</si>
  <si>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</si>
  <si>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</si>
  <si>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</si>
  <si>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</si>
  <si>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</si>
  <si>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</si>
  <si>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</si>
  <si>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</si>
  <si>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</si>
  <si>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</si>
  <si>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</si>
  <si>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</si>
  <si>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</si>
  <si>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</si>
  <si>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</si>
  <si>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</si>
  <si>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</si>
  <si>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</si>
  <si>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</si>
  <si>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</si>
  <si>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</si>
  <si>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</si>
  <si>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</si>
  <si>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</si>
  <si>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</si>
  <si>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</si>
  <si>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</si>
  <si>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</si>
  <si>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</si>
  <si>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</si>
  <si>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</si>
  <si>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</si>
  <si>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</si>
  <si>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</si>
  <si>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</si>
  <si>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</si>
  <si>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</si>
  <si>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</si>
  <si>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</si>
  <si>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</si>
  <si>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</si>
  <si>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</si>
  <si>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</si>
  <si>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</si>
  <si>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</si>
  <si>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</si>
  <si>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</si>
  <si>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</si>
  <si>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</si>
  <si>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</si>
  <si>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</si>
  <si>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</si>
  <si>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</si>
  <si>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</si>
  <si>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</si>
  <si>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</si>
  <si>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</si>
  <si>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</si>
  <si>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</si>
  <si>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</si>
  <si>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</si>
  <si>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</si>
  <si>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</si>
  <si>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</si>
  <si>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</si>
  <si>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</si>
  <si>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</si>
  <si>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</si>
  <si>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</si>
  <si>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</si>
  <si>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</si>
  <si>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</si>
  <si>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</si>
  <si>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</si>
  <si>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</si>
  <si>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</si>
  <si>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</si>
  <si>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</si>
  <si>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</si>
  <si>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</si>
  <si>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</si>
  <si>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</si>
  <si>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</si>
  <si>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</si>
  <si>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</si>
  <si>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</si>
  <si>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</si>
  <si>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</si>
  <si>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</si>
  <si>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</si>
  <si>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</si>
  <si>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</si>
  <si>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</si>
  <si>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</si>
  <si>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</si>
  <si>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</si>
  <si>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</si>
  <si>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</si>
  <si>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</si>
  <si>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</si>
  <si>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</si>
  <si>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</si>
  <si>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</si>
  <si>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</si>
  <si>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</si>
  <si>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</si>
  <si>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</si>
  <si>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</si>
  <si>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</si>
  <si>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</si>
  <si>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</si>
  <si>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</si>
  <si>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</si>
  <si>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</si>
  <si>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</si>
  <si>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</si>
  <si>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</si>
  <si>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</si>
  <si>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</si>
  <si>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</si>
  <si>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</si>
  <si>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</si>
  <si>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</si>
  <si>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</si>
  <si>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</si>
  <si>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</si>
  <si>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</si>
  <si>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</si>
  <si>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</si>
  <si>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</si>
  <si>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</si>
  <si>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</si>
  <si>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</si>
  <si>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</si>
  <si>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</si>
  <si>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</si>
  <si>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</si>
  <si>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</si>
  <si>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</si>
  <si>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</si>
  <si>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</si>
  <si>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</si>
  <si>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</si>
  <si>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</si>
  <si>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</si>
  <si>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</si>
  <si>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</si>
  <si>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</si>
  <si>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</si>
  <si>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</si>
  <si>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</si>
  <si>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</si>
  <si>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</si>
  <si>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</si>
  <si>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</si>
  <si>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</si>
  <si>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</si>
  <si>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</si>
  <si>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</si>
  <si>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</si>
  <si>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</si>
  <si>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</si>
  <si>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</si>
  <si>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</si>
  <si>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</si>
  <si>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</si>
  <si>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</si>
  <si>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</si>
  <si>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</si>
  <si>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</si>
  <si>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</si>
  <si>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</si>
  <si>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</si>
  <si>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</si>
  <si>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</si>
  <si>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</si>
  <si>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</si>
  <si>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</si>
  <si>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</si>
  <si>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</si>
  <si>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</si>
  <si>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</si>
  <si>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</si>
  <si>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</si>
  <si>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</si>
  <si>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</si>
  <si>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</si>
  <si>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</si>
  <si>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</si>
  <si>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</si>
  <si>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</si>
  <si>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</si>
  <si>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</si>
  <si>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</si>
  <si>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</si>
  <si>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</si>
  <si>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</si>
  <si>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</si>
  <si>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</si>
  <si>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</si>
  <si>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</si>
  <si>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</si>
  <si>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</si>
  <si>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</si>
  <si>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</si>
  <si>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</si>
  <si>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</si>
  <si>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</si>
  <si>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</si>
  <si>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</si>
  <si>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</si>
  <si>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</si>
  <si>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</si>
  <si>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</si>
  <si>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</si>
  <si>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</si>
  <si>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</si>
  <si>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</si>
  <si>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</si>
  <si>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</si>
  <si>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</si>
  <si>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</si>
  <si>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</si>
  <si>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</si>
  <si>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</si>
  <si>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</si>
  <si>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</si>
  <si>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</si>
  <si>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</si>
  <si>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</si>
  <si>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</si>
  <si>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</si>
  <si>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</si>
  <si>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</si>
  <si>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</si>
  <si>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</si>
  <si>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</si>
  <si>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</si>
  <si>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</si>
  <si>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</si>
  <si>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</si>
  <si>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</si>
  <si>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</si>
  <si>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</si>
  <si>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</si>
  <si>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</si>
  <si>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</si>
  <si>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</si>
  <si>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</si>
  <si>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</si>
  <si>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</si>
  <si>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</si>
  <si>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</si>
  <si>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</si>
  <si>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</si>
  <si>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</si>
  <si>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</si>
  <si>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</si>
  <si>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</si>
  <si>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</si>
  <si>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</si>
  <si>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</si>
  <si>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</si>
  <si>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</si>
  <si>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</si>
  <si>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</si>
  <si>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</si>
  <si>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</si>
  <si>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</si>
  <si>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</si>
  <si>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</si>
  <si>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</si>
  <si>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</si>
  <si>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</si>
  <si>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</si>
  <si>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</si>
  <si>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</si>
  <si>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</si>
  <si>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</si>
  <si>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</si>
  <si>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</si>
  <si>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</si>
  <si>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</si>
  <si>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</si>
  <si>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</si>
  <si>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</si>
  <si>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</si>
  <si>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</si>
  <si>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</si>
  <si>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</si>
  <si>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</si>
  <si>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</si>
  <si>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</si>
  <si>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</si>
  <si>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</si>
  <si>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</si>
  <si>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</si>
  <si>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</si>
  <si>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</si>
  <si>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</si>
  <si>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</si>
  <si>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</si>
  <si>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</si>
  <si>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</si>
  <si>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</si>
  <si>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</si>
  <si>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</si>
  <si>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</si>
  <si>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</si>
  <si>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</si>
  <si>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</si>
  <si>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</si>
  <si>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</si>
  <si>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</si>
  <si>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</si>
  <si>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</si>
  <si>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</si>
  <si>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</si>
  <si>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</si>
  <si>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</si>
  <si>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</si>
  <si>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</si>
  <si>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</si>
  <si>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</si>
  <si>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</si>
  <si>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</si>
  <si>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</si>
  <si>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</si>
  <si>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</si>
  <si>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</si>
  <si>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</si>
  <si>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</si>
  <si>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</si>
  <si>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</si>
  <si>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</si>
  <si>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</si>
  <si>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</si>
  <si>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</si>
  <si>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</si>
  <si>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</si>
  <si>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</si>
  <si>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</si>
  <si>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</si>
  <si>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</si>
  <si>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</si>
  <si>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</si>
  <si>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</si>
  <si>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</si>
  <si>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</si>
  <si>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</si>
  <si>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</si>
  <si>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</si>
  <si>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</si>
  <si>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</si>
  <si>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</si>
  <si>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</si>
  <si>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</si>
  <si>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</si>
  <si>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</si>
  <si>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</si>
  <si>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</si>
  <si>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</si>
  <si>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</si>
  <si>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</si>
  <si>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</si>
  <si>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</si>
  <si>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</si>
  <si>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</si>
  <si>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</si>
  <si>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</si>
  <si>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</si>
  <si>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</si>
  <si>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</si>
  <si>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</si>
  <si>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</si>
  <si>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</si>
  <si>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</si>
  <si>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</si>
  <si>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</si>
  <si>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</si>
  <si>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</si>
  <si>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</si>
  <si>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</si>
  <si>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</si>
  <si>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</si>
  <si>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</si>
  <si>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</si>
  <si>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</si>
  <si>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</si>
  <si>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</si>
  <si>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</si>
  <si>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</si>
  <si>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</si>
  <si>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</si>
  <si>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</si>
  <si>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</si>
  <si>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</si>
  <si>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</si>
  <si>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</si>
  <si>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</si>
  <si>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</si>
  <si>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</si>
  <si>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</si>
  <si>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</si>
  <si>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</si>
  <si>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</si>
  <si>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</si>
  <si>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</si>
  <si>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</si>
  <si>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</si>
  <si>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</si>
  <si>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</si>
  <si>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</si>
  <si>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</si>
  <si>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</si>
  <si>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</si>
  <si>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</si>
  <si>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</si>
  <si>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</si>
  <si>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</si>
  <si>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</si>
  <si>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</si>
  <si>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</si>
  <si>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</si>
  <si>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</si>
  <si>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</si>
  <si>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</si>
  <si>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</si>
  <si>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</si>
  <si>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</si>
  <si>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</si>
  <si>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</si>
  <si>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</si>
  <si>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</si>
  <si>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</si>
  <si>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</si>
  <si>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</si>
  <si>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</si>
  <si>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</si>
  <si>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</si>
  <si>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</si>
  <si>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</si>
  <si>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</si>
  <si>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</si>
  <si>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</si>
  <si>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</si>
  <si>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</si>
  <si>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</si>
  <si>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</si>
  <si>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</si>
  <si>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</si>
  <si>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</si>
  <si>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</si>
  <si>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</si>
  <si>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</si>
  <si>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</si>
  <si>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</si>
  <si>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</si>
  <si>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</si>
  <si>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</si>
  <si>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</si>
  <si>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</si>
  <si>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</si>
  <si>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</si>
  <si>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</si>
  <si>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</si>
  <si>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</si>
  <si>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</si>
  <si>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</si>
  <si>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</si>
  <si>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</si>
  <si>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</si>
  <si>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</si>
  <si>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</si>
  <si>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</si>
  <si>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</si>
  <si>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</si>
  <si>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</si>
  <si>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</si>
  <si>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</si>
  <si>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</si>
  <si>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</si>
  <si>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</si>
  <si>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</si>
  <si>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</si>
  <si>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</si>
  <si>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</si>
  <si>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</si>
  <si>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</si>
  <si>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</si>
  <si>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</si>
  <si>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</si>
  <si>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</si>
  <si>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</si>
  <si>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</si>
  <si>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</si>
  <si>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</si>
  <si>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</si>
  <si>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</si>
  <si>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</si>
  <si>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</si>
  <si>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</si>
  <si>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</si>
  <si>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</si>
  <si>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</si>
  <si>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</si>
  <si>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</si>
  <si>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</si>
  <si>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</si>
  <si>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</si>
  <si>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</si>
  <si>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</si>
  <si>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</si>
  <si>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</si>
  <si>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</si>
  <si>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</si>
  <si>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</si>
  <si>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</si>
  <si>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</si>
  <si>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</si>
  <si>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</si>
  <si>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</si>
  <si>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</si>
  <si>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</si>
  <si>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</si>
  <si>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</si>
  <si>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</si>
  <si>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</si>
  <si>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</si>
  <si>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</si>
  <si>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</si>
  <si>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</si>
  <si>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</si>
  <si>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</si>
  <si>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</si>
  <si>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</si>
  <si>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</si>
  <si>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</si>
  <si>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</si>
  <si>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</si>
  <si>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</si>
  <si>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</si>
  <si>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</si>
  <si>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</si>
  <si>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</si>
  <si>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</si>
  <si>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</si>
  <si>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</si>
  <si>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</si>
  <si>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</si>
  <si>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</si>
  <si>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</si>
  <si>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</si>
  <si>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</si>
  <si>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</si>
  <si>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</si>
  <si>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</si>
  <si>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</si>
  <si>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</si>
  <si>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</si>
  <si>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</si>
  <si>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</si>
  <si>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</si>
  <si>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</si>
  <si>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</si>
  <si>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</si>
  <si>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</si>
  <si>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</si>
  <si>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</si>
  <si>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</si>
  <si>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</si>
  <si>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</si>
  <si>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</si>
  <si>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</si>
  <si>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</si>
  <si>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</si>
  <si>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</si>
  <si>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</si>
  <si>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</si>
  <si>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</si>
  <si>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</si>
  <si>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</si>
  <si>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</si>
  <si>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</si>
  <si>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</si>
  <si>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</si>
  <si>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</si>
  <si>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</si>
  <si>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</si>
  <si>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</si>
  <si>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</si>
  <si>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</si>
  <si>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</si>
  <si>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</si>
  <si>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</si>
  <si>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</si>
  <si>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</si>
  <si>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</si>
  <si>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</si>
  <si>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</si>
  <si>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</si>
  <si>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</si>
  <si>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</si>
  <si>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</si>
  <si>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</si>
  <si>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</si>
  <si>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</si>
  <si>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</si>
  <si>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</si>
  <si>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</si>
  <si>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</si>
  <si>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</si>
  <si>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</si>
  <si>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</si>
  <si>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</si>
  <si>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</si>
  <si>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</si>
  <si>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</si>
  <si>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</si>
  <si>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</si>
  <si>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</si>
  <si>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</si>
  <si>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</si>
  <si>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</si>
  <si>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</si>
  <si>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</si>
  <si>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</si>
  <si>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</si>
  <si>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</si>
  <si>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</si>
  <si>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</si>
  <si>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</si>
  <si>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</si>
  <si>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</si>
  <si>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</si>
  <si>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</si>
  <si>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</si>
  <si>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</si>
  <si>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</si>
  <si>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</si>
  <si>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</si>
  <si>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</si>
  <si>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</si>
  <si>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</si>
  <si>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</si>
  <si>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</si>
  <si>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</si>
  <si>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</si>
  <si>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</si>
  <si>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</si>
  <si>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</si>
  <si>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</si>
  <si>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</si>
  <si>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</si>
  <si>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</si>
  <si>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</si>
  <si>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</si>
  <si>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</si>
  <si>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</si>
  <si>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</si>
  <si>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</si>
  <si>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</si>
  <si>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</si>
  <si>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</si>
  <si>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</si>
  <si>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</si>
  <si>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</si>
  <si>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</si>
  <si>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</si>
  <si>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</si>
  <si>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</si>
  <si>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</si>
  <si>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</si>
  <si>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</si>
  <si>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</si>
  <si>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</si>
  <si>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</si>
  <si>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</si>
  <si>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</si>
  <si>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</si>
  <si>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</si>
  <si>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</si>
  <si>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</si>
  <si>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</si>
  <si>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</si>
  <si>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</si>
  <si>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</si>
  <si>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</si>
  <si>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</si>
  <si>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</si>
  <si>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</si>
  <si>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</si>
  <si>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</si>
  <si>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</si>
  <si>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</si>
  <si>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</si>
  <si>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</si>
  <si>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</si>
  <si>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</si>
  <si>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</si>
  <si>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</si>
  <si>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</si>
  <si>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</si>
  <si>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</si>
  <si>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</si>
  <si>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</si>
  <si>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</si>
  <si>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</si>
  <si>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</si>
  <si>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</si>
  <si>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</si>
  <si>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</si>
  <si>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</si>
  <si>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</si>
  <si>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</si>
  <si>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</si>
  <si>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</si>
  <si>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</si>
  <si>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</si>
  <si>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</si>
  <si>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</si>
  <si>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</si>
  <si>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</si>
  <si>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</si>
  <si>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</si>
  <si>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</si>
  <si>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</si>
  <si>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</si>
  <si>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</si>
  <si>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</si>
  <si>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</si>
  <si>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</si>
  <si>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</si>
  <si>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</si>
  <si>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</si>
  <si>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</si>
  <si>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</si>
  <si>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</si>
  <si>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</si>
  <si>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</si>
  <si>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</si>
  <si>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</si>
  <si>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</si>
  <si>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</si>
  <si>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</si>
  <si>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</si>
  <si>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</si>
  <si>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</si>
  <si>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</si>
  <si>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</si>
  <si>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</si>
  <si>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</si>
  <si>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</si>
  <si>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</si>
  <si>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</si>
  <si>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</si>
  <si>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</si>
  <si>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</si>
  <si>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</si>
  <si>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</si>
  <si>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</si>
  <si>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</si>
  <si>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</si>
  <si>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</si>
  <si>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</si>
  <si>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</si>
  <si>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</si>
  <si>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</si>
  <si>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</si>
  <si>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</si>
  <si>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</si>
  <si>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</si>
  <si>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</si>
  <si>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</si>
  <si>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</si>
  <si>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</si>
  <si>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</si>
  <si>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</si>
  <si>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</si>
  <si>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</si>
  <si>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</si>
  <si>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</si>
  <si>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</si>
  <si>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</si>
  <si>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</si>
  <si>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</si>
  <si>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</si>
  <si>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</si>
  <si>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</si>
  <si>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</si>
  <si>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</si>
  <si>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</si>
  <si>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</si>
  <si>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</si>
  <si>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</si>
  <si>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</si>
  <si>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</si>
  <si>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</si>
  <si>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</si>
  <si>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</si>
  <si>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</si>
  <si>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</si>
  <si>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</si>
  <si>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</si>
  <si>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</si>
  <si>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</si>
  <si>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</si>
  <si>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</si>
  <si>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</si>
  <si>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</si>
  <si>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</si>
  <si>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</si>
  <si>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</si>
  <si>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</si>
  <si>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</si>
  <si>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</si>
  <si>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</si>
  <si>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</si>
  <si>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</si>
  <si>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</si>
  <si>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</si>
  <si>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</si>
  <si>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</si>
  <si>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</si>
  <si>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</si>
  <si>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</si>
  <si>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</si>
  <si>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</si>
  <si>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</si>
  <si>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</si>
  <si>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</si>
  <si>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</si>
  <si>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</si>
  <si>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</si>
  <si>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</si>
  <si>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</si>
  <si>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</si>
  <si>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</si>
  <si>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</si>
  <si>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</si>
  <si>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</si>
  <si>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</si>
  <si>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</si>
  <si>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</si>
  <si>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</si>
  <si>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</si>
  <si>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</si>
  <si>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</si>
  <si>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</si>
  <si>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</si>
  <si>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</si>
  <si>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</si>
  <si>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</si>
  <si>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</si>
  <si>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</si>
  <si>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</si>
  <si>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</si>
  <si>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</si>
  <si>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</si>
  <si>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</si>
  <si>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</si>
  <si>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</si>
  <si>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</si>
  <si>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</si>
  <si>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</si>
  <si>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</si>
  <si>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</si>
  <si>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</si>
  <si>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</si>
  <si>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</si>
  <si>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</si>
  <si>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</si>
  <si>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</si>
  <si>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</si>
  <si>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</si>
  <si>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</si>
  <si>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</si>
  <si>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</si>
  <si>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</si>
  <si>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</si>
  <si>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</si>
  <si>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</si>
  <si>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</si>
  <si>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</si>
  <si>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</si>
  <si>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</si>
  <si>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</si>
  <si>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</si>
  <si>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</si>
  <si>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</si>
  <si>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</si>
  <si>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</si>
  <si>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</si>
  <si>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</si>
  <si>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</si>
  <si>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</si>
  <si>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</si>
  <si>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</si>
  <si>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</si>
  <si>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</si>
  <si>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</si>
  <si>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</si>
  <si>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</si>
  <si>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</si>
  <si>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</si>
  <si>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</si>
  <si>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</si>
  <si>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</si>
  <si>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</si>
  <si>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</si>
  <si>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</si>
  <si>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</si>
  <si>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</si>
  <si>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</si>
  <si>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</si>
  <si>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</si>
  <si>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</si>
  <si>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</si>
  <si>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</si>
  <si>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</si>
  <si>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</si>
  <si>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</si>
  <si>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</si>
  <si>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</si>
  <si>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</si>
  <si>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</si>
  <si>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</si>
  <si>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</si>
  <si>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</si>
  <si>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</si>
  <si>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</si>
  <si>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</si>
  <si>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</si>
  <si>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</si>
  <si>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</si>
  <si>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</si>
  <si>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</si>
  <si>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</si>
  <si>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</si>
  <si>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</si>
  <si>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</si>
  <si>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</si>
  <si>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</si>
  <si>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</si>
  <si>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</si>
  <si>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</si>
  <si>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</si>
  <si>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</si>
  <si>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</si>
  <si>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</si>
  <si>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</si>
  <si>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</si>
  <si>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</si>
  <si>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</si>
  <si>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</si>
  <si>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</si>
  <si>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</si>
  <si>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</si>
  <si>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</si>
  <si>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</si>
  <si>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</si>
  <si>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</si>
  <si>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</si>
  <si>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</si>
  <si>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</si>
  <si>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</si>
  <si>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</si>
  <si>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</si>
  <si>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</si>
  <si>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</si>
  <si>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</si>
  <si>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</si>
  <si>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</si>
  <si>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</si>
  <si>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</si>
  <si>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</si>
  <si>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</si>
  <si>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</si>
  <si>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</si>
  <si>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</si>
  <si>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</si>
  <si>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</si>
  <si>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</si>
  <si>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</si>
  <si>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</si>
  <si>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</si>
  <si>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</si>
  <si>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</si>
  <si>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</si>
  <si>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</si>
  <si>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</si>
  <si>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</si>
  <si>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</si>
  <si>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</si>
  <si>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</si>
  <si>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</si>
  <si>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</si>
  <si>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</si>
  <si>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</si>
  <si>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</si>
  <si>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</si>
  <si>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</si>
  <si>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</si>
  <si>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</si>
  <si>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</si>
  <si>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</si>
  <si>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</si>
  <si>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</si>
  <si>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</si>
  <si>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</si>
  <si>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</si>
  <si>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</si>
  <si>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</si>
  <si>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</si>
  <si>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</si>
  <si>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</si>
  <si>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</si>
  <si>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</si>
  <si>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</si>
  <si>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</si>
  <si>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</si>
  <si>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</si>
  <si>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</si>
  <si>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</si>
  <si>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</si>
  <si>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</si>
  <si>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</si>
  <si>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</si>
  <si>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</si>
  <si>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</si>
  <si>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</si>
  <si>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</si>
  <si>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</si>
  <si>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</si>
  <si>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</si>
  <si>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</si>
  <si>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</si>
  <si>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</si>
  <si>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</si>
  <si>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</si>
  <si>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</si>
  <si>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</si>
  <si>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</si>
  <si>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</si>
  <si>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</si>
  <si>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</si>
  <si>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</si>
  <si>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</si>
  <si>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</si>
  <si>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</si>
  <si>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</si>
  <si>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</si>
  <si>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</si>
  <si>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</si>
  <si>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</si>
  <si>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</si>
  <si>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</si>
  <si>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</si>
  <si>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</si>
  <si>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</si>
  <si>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</si>
  <si>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</si>
  <si>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</si>
  <si>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</si>
  <si>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</si>
  <si>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</si>
  <si>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</si>
  <si>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</si>
  <si>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</si>
  <si>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</si>
  <si>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</si>
  <si>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</si>
  <si>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</si>
  <si>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</si>
  <si>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</si>
  <si>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</si>
  <si>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</si>
  <si>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</si>
  <si>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</si>
  <si>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</si>
  <si>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</si>
  <si>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</si>
  <si>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</si>
  <si>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</si>
  <si>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</si>
  <si>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</si>
  <si>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</si>
  <si>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</si>
  <si>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</si>
  <si>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</si>
  <si>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</si>
  <si>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</si>
  <si>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</si>
  <si>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</si>
  <si>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</si>
  <si>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</si>
  <si>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</si>
  <si>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地上</t>
  </si>
  <si>
    <t>地下</t>
  </si>
  <si>
    <t>是</t>
  </si>
  <si>
    <t>商业</t>
    <phoneticPr fontId="7" type="noConversion"/>
  </si>
  <si>
    <t>车库</t>
    <phoneticPr fontId="7" type="noConversion"/>
  </si>
  <si>
    <t>仓储</t>
    <phoneticPr fontId="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</si>
  <si>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</si>
  <si>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</si>
  <si>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</si>
  <si>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</si>
  <si>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自定义容积率</t>
  </si>
  <si>
    <t>不临65条商业街</t>
  </si>
  <si>
    <t>通路</t>
  </si>
  <si>
    <t>通电</t>
  </si>
  <si>
    <t>通讯</t>
  </si>
  <si>
    <t>通下水</t>
  </si>
  <si>
    <t>平整</t>
  </si>
  <si>
    <t>与级别开发程度不一致</t>
  </si>
  <si>
    <t>楼层修正</t>
  </si>
  <si>
    <t>较好</t>
  </si>
  <si>
    <t>好</t>
  </si>
  <si>
    <t>未包含在土地购买价格中</t>
  </si>
  <si>
    <t>全部缴纳</t>
  </si>
  <si>
    <t>已包含在土地取得成本中</t>
  </si>
  <si>
    <t>成本法</t>
  </si>
  <si>
    <t>收益法（汇总）</t>
  </si>
  <si>
    <t>成新度</t>
  </si>
  <si>
    <t>收益法</t>
  </si>
  <si>
    <t>押一</t>
  </si>
  <si>
    <t>钢混</t>
  </si>
  <si>
    <t>非生产用房</t>
  </si>
  <si>
    <t>否</t>
  </si>
  <si>
    <t>收益法(仓储)</t>
  </si>
  <si>
    <t>收益法(仓储)</t>
    <phoneticPr fontId="16" type="noConversion"/>
  </si>
  <si>
    <t>收益法(车库)</t>
  </si>
  <si>
    <t>收益法(车库)</t>
    <phoneticPr fontId="16" type="noConversion"/>
  </si>
  <si>
    <t>直线</t>
    <phoneticPr fontId="3" type="noConversion"/>
  </si>
  <si>
    <t>观察</t>
    <phoneticPr fontId="3" type="noConversion"/>
  </si>
  <si>
    <t>项目模式</t>
  </si>
  <si>
    <t>售价</t>
  </si>
  <si>
    <r>
      <t>1</t>
    </r>
    <r>
      <rPr>
        <sz val="10"/>
        <color indexed="8"/>
        <rFont val="宋体"/>
        <family val="3"/>
        <charset val="134"/>
      </rPr>
      <t>层</t>
    </r>
    <phoneticPr fontId="8" type="noConversion"/>
  </si>
  <si>
    <r>
      <t>2</t>
    </r>
    <r>
      <rPr>
        <sz val="10"/>
        <color indexed="8"/>
        <rFont val="宋体"/>
        <family val="3"/>
        <charset val="134"/>
      </rPr>
      <t>层</t>
    </r>
    <phoneticPr fontId="8" type="noConversion"/>
  </si>
  <si>
    <r>
      <t>3</t>
    </r>
    <r>
      <rPr>
        <sz val="10"/>
        <color indexed="8"/>
        <rFont val="宋体"/>
        <family val="3"/>
        <charset val="134"/>
      </rPr>
      <t>层</t>
    </r>
    <phoneticPr fontId="8"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</si>
  <si>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8" type="noConversion"/>
  </si>
  <si>
    <t>成本法(车库)</t>
  </si>
  <si>
    <t>成本法(车库)</t>
    <phoneticPr fontId="16" type="noConversion"/>
  </si>
  <si>
    <t>1层</t>
  </si>
  <si>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</si>
  <si>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</si>
  <si>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</si>
  <si>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</si>
  <si>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r>
      <t>1</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</si>
  <si>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</si>
  <si>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2层</t>
  </si>
  <si>
    <t>3层</t>
  </si>
  <si>
    <t>地下1层</t>
  </si>
  <si>
    <t>典型户型修正</t>
  </si>
  <si>
    <t>成本法(仓储)</t>
  </si>
  <si>
    <t>成本法(仓储)</t>
    <phoneticPr fontId="16"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</si>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</sst>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0" fontId="176" fillId="0" borderId="1"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估价对象为房地产，为所有。根据《国有土地使用证》[]，估价对象（分摊）出让国有建设用地使用权面积为0平方米，建筑面积为26891.39平方米。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估价对象为房地产,属开发建设的，该项目尚在开发建设中。根据《国有土地使用证》[]，估价对象（分摊）出让国有建设用地使用权面积为0平方米，规划建筑面积为26891.39平方米。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2023年11月13日</v>
      </c>
    </row>
    <row r="13" spans="1:2" s="1203" customFormat="1">
      <c r="A13" s="1201" t="s">
        <v>529</v>
      </c>
      <c r="B13" s="1202" t="str">
        <f>'预评函-1'!A18</f>
        <v>本次估价的“房地产价值”是指在正常市场情况下，在价值时点2023年11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26891.389999999996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E22:F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3416</v>
      </c>
      <c r="C19" s="1547"/>
    </row>
    <row r="20" spans="1:3">
      <c r="A20" s="1546" t="s">
        <v>1048</v>
      </c>
      <c r="B20" s="1546" t="s">
        <v>3418</v>
      </c>
      <c r="C20" s="1547"/>
    </row>
    <row r="21" spans="1:3">
      <c r="A21" s="1546" t="s">
        <v>1049</v>
      </c>
      <c r="B21" s="1546" t="s">
        <v>3428</v>
      </c>
      <c r="C21" s="1547"/>
    </row>
    <row r="22" spans="1:3">
      <c r="A22" s="1546" t="s">
        <v>1050</v>
      </c>
      <c r="B22" s="1546" t="s">
        <v>3441</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6" t="s">
        <v>2583</v>
      </c>
      <c r="J2" s="3516"/>
      <c r="K2" s="3516"/>
      <c r="L2" s="3516"/>
      <c r="M2" s="3516"/>
      <c r="N2" s="3516"/>
      <c r="O2" s="3516"/>
      <c r="P2" s="3516"/>
      <c r="Q2" s="3516"/>
      <c r="R2" s="3516"/>
    </row>
    <row r="3" spans="1:18">
      <c r="A3" s="3020" t="s">
        <v>2504</v>
      </c>
      <c r="B3" s="3021">
        <f>项目基本情况!D3</f>
        <v>45243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v>
      </c>
      <c r="D5" s="3025">
        <f>IF(ISERROR(ROUND(POWER(1+E5,A5-C5)*(POWER(1+E5,C5)-1)/(POWER(1+E5,A5)-1),3)),0,ROUND(POWER(1+E5,A5-C5)*(POWER(1+E5,C5)-1)/(POWER(1+E5,A5)-1),4))</f>
        <v>0.14460000000000001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v>
      </c>
      <c r="D6" s="3025">
        <f>IF(ISERROR(ROUND(POWER(1+E6,A6-C6)*(POWER(1+E6,C6)-1)/(POWER(1+E6,A6)-1),3)),0,ROUND(POWER(1+E6,A6-C6)*(POWER(1+E6,C6)-1)/(POWER(1+E6,A6)-1),4))</f>
        <v>0.46760000000000002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33.119999999999997</v>
      </c>
      <c r="D7" s="3025">
        <f>IF(ISERROR(ROUND(POWER(1+E7,A7-C7)*(POWER(1+E7,C7)-1)/(POWER(1+E7,A7)-1),3)),0,ROUND(POWER(1+E7,A7-C7)*(POWER(1+E7,C7)-1)/(POWER(1+E7,A7)-1),4))</f>
        <v>0.77710000000000001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0" sqref="D4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5" t="str">
        <f>IF(B10="北京市","北京市",C10)&amp;F10&amp;IF(结果表!G1="在建","出让国有建设用地使用权及在建建筑物",IF(结果表!G1="土地","出让国有建设用地使用权",))&amp;B9&amp;"预评估"</f>
        <v>房地产抵押价值预评估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c r="C3" s="2374" t="s">
        <v>2170</v>
      </c>
      <c r="D3" s="2373">
        <v>45243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528" t="s">
        <v>2176</v>
      </c>
      <c r="E8" s="2391" t="s">
        <v>3382</v>
      </c>
      <c r="F8" s="2392"/>
      <c r="G8" s="2663"/>
      <c r="H8" s="2663"/>
      <c r="I8" s="2663"/>
      <c r="J8" s="2439"/>
      <c r="K8" s="2614"/>
      <c r="L8" s="2613"/>
      <c r="M8" s="2613"/>
      <c r="N8" s="2439"/>
      <c r="O8" s="2450"/>
      <c r="P8" s="2439"/>
      <c r="Q8" s="2439"/>
      <c r="R8" s="2439"/>
    </row>
    <row r="9" spans="1:30" ht="13.5" thickBot="1">
      <c r="A9" s="2393" t="s">
        <v>2177</v>
      </c>
      <c r="B9" s="2394" t="s">
        <v>3382</v>
      </c>
      <c r="C9" s="2395"/>
      <c r="D9" s="3529"/>
      <c r="E9" s="2394" t="s">
        <v>43</v>
      </c>
      <c r="F9" s="2396"/>
      <c r="G9" s="2665"/>
      <c r="H9" s="2665"/>
      <c r="I9" s="2665"/>
      <c r="J9" s="2439"/>
      <c r="K9" s="2616"/>
      <c r="L9" s="2613"/>
      <c r="M9" s="2613"/>
      <c r="N9" s="2439"/>
      <c r="O9" s="2450"/>
      <c r="P9" s="2439"/>
      <c r="Q9" s="2439"/>
      <c r="R9" s="2439"/>
    </row>
    <row r="10" spans="1:30" ht="13.5" thickTop="1">
      <c r="A10" s="2397" t="s">
        <v>2178</v>
      </c>
      <c r="B10" s="2398"/>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v>50811</v>
      </c>
      <c r="E13" s="856"/>
      <c r="F13" s="856">
        <v>54464</v>
      </c>
      <c r="G13" s="856">
        <f>F13</f>
        <v>54464</v>
      </c>
      <c r="H13" s="856"/>
      <c r="I13" s="856"/>
      <c r="J13" s="3062"/>
      <c r="K13" s="2613"/>
      <c r="L13" s="2613"/>
      <c r="M13" s="2439"/>
      <c r="N13" s="2450"/>
      <c r="O13" s="2439"/>
      <c r="P13" s="2439"/>
      <c r="Q13" s="2439"/>
      <c r="AD13" s="1745"/>
    </row>
    <row r="14" spans="1:30">
      <c r="A14" s="1081"/>
      <c r="B14" s="2407" t="s">
        <v>2190</v>
      </c>
      <c r="C14" s="2408"/>
      <c r="D14" s="2408">
        <v>40</v>
      </c>
      <c r="E14" s="2408"/>
      <c r="F14" s="2408">
        <v>50</v>
      </c>
      <c r="G14" s="2408">
        <v>50</v>
      </c>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15.25</v>
      </c>
      <c r="E15" s="2410" t="str">
        <f>IF(A13="出让",IF(E13="","",ROUNDDOWN(MIN((E13-$D$3)/365,E14),2)),E14)</f>
        <v/>
      </c>
      <c r="F15" s="2410">
        <f>IF(A13="出让",IF(F13="","",ROUNDDOWN(MIN((F13-$D$3)/365,F14),2)),F14)</f>
        <v>25.26</v>
      </c>
      <c r="G15" s="2410">
        <f>IF(A13="出让",IF(G13="","",ROUNDDOWN(MIN((G13-$D$3)/365,G14),2)),G14)</f>
        <v>25.26</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35"/>
      <c r="C16" s="3536"/>
      <c r="D16" s="3537"/>
      <c r="E16" s="2413" t="s">
        <v>2193</v>
      </c>
      <c r="F16" s="3538"/>
      <c r="G16" s="3539"/>
      <c r="H16" s="3539"/>
      <c r="I16" s="3540"/>
      <c r="J16" s="2439"/>
      <c r="K16" s="2617"/>
      <c r="L16" s="2451"/>
      <c r="M16" s="2451"/>
      <c r="N16" s="2509"/>
      <c r="O16" s="2451"/>
      <c r="P16" s="2509"/>
      <c r="Q16" s="2439"/>
      <c r="R16" s="2439"/>
    </row>
    <row r="17" spans="1:28">
      <c r="A17" s="313" t="s">
        <v>2194</v>
      </c>
      <c r="B17" s="302" t="s">
        <v>2195</v>
      </c>
      <c r="C17" s="8">
        <f>'数据-汇总表'!E3</f>
        <v>26891.389999999996</v>
      </c>
      <c r="D17" s="2322" t="s">
        <v>2196</v>
      </c>
      <c r="E17" s="3541" t="s">
        <v>2197</v>
      </c>
      <c r="F17" s="3542"/>
      <c r="G17" s="3542"/>
      <c r="H17" s="3542"/>
      <c r="I17" s="354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4" t="s">
        <v>2201</v>
      </c>
      <c r="F18" s="3545"/>
      <c r="G18" s="3545"/>
      <c r="H18" s="3545"/>
      <c r="I18" s="354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1" t="s">
        <v>2205</v>
      </c>
      <c r="C20" s="3532"/>
      <c r="D20" s="3533" t="s">
        <v>2206</v>
      </c>
      <c r="E20" s="3534"/>
      <c r="F20" s="2647" t="s">
        <v>1056</v>
      </c>
      <c r="G20" s="2664"/>
      <c r="H20" s="2664"/>
      <c r="I20" s="2664"/>
      <c r="J20" s="2439"/>
      <c r="K20" s="353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2217</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7" t="s">
        <v>2227</v>
      </c>
      <c r="T34" s="2428" t="str">
        <f>NUMBERSTRING(7-K34,1)&amp;"通"</f>
        <v>七通</v>
      </c>
      <c r="U34" s="2439"/>
      <c r="V34" s="2439"/>
    </row>
    <row r="35" spans="1:30">
      <c r="A35" s="2429"/>
      <c r="B35" s="3524" t="s">
        <v>2228</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168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26891.389999999996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26891.389999999996</v>
      </c>
      <c r="H5" s="13">
        <f t="shared" ref="H5:AT5" si="0">SUM(H13:H656)</f>
        <v>26891.389999999996</v>
      </c>
      <c r="I5" s="13">
        <f t="shared" si="0"/>
        <v>17646.37</v>
      </c>
      <c r="J5" s="13">
        <f t="shared" si="0"/>
        <v>0</v>
      </c>
      <c r="K5" s="13">
        <f t="shared" si="0"/>
        <v>760.17</v>
      </c>
      <c r="L5" s="13">
        <f t="shared" si="0"/>
        <v>0</v>
      </c>
      <c r="M5" s="13">
        <f t="shared" si="0"/>
        <v>7277.21</v>
      </c>
      <c r="N5" s="13">
        <f t="shared" si="0"/>
        <v>0</v>
      </c>
      <c r="O5" s="13">
        <f t="shared" si="0"/>
        <v>1207.6400000000001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26891.389999999996</v>
      </c>
      <c r="BA5" s="15">
        <f t="shared" si="1"/>
        <v>26891.389999999996</v>
      </c>
      <c r="BB5" s="15">
        <f t="shared" si="1"/>
        <v>17646.37</v>
      </c>
      <c r="BC5" s="15">
        <f t="shared" si="1"/>
        <v>760.17</v>
      </c>
      <c r="BD5" s="15">
        <f t="shared" si="1"/>
        <v>7277.21</v>
      </c>
      <c r="BE5" s="15">
        <f t="shared" si="1"/>
        <v>1207.6400000000001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t="s">
        <v>3384</v>
      </c>
      <c r="N9" s="809"/>
      <c r="O9" s="1603" t="s">
        <v>3384</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3336</v>
      </c>
      <c r="N10" s="809"/>
      <c r="O10" s="1609" t="s">
        <v>3337</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t="str">
        <f>O10</f>
        <v>仓储</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f>IF($C$3="是",ROUND($A$3*G13/$B$3,2),ROUND($A$3*(G13-AT13)/$B$3,2))</f>
        <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t="s">
        <v>3385</v>
      </c>
      <c r="E16" s="13">
        <f>IF($C$3="是",ROUND($A$3*G16/$B$3,2),ROUND($A$3*(G16-AT16)/$B$3,2))</f>
        <v>0</v>
      </c>
      <c r="F16" s="29"/>
      <c r="G16" s="30">
        <f>H16+AC16+AT16</f>
        <v>26891.389999999996</v>
      </c>
      <c r="H16" s="17">
        <f>SUMIF(I$12:AB$12,"总值",I16:AB16)</f>
        <v>26891.389999999996</v>
      </c>
      <c r="I16" s="1626">
        <f>4691.97+6439.65+6514.75</f>
        <v>17646.37</v>
      </c>
      <c r="J16" s="1626"/>
      <c r="K16" s="1626">
        <v>760.17</v>
      </c>
      <c r="L16" s="1626"/>
      <c r="M16" s="1626">
        <v>7277.21</v>
      </c>
      <c r="N16" s="1626"/>
      <c r="O16" s="1626">
        <v>1207.6400000000001</v>
      </c>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26891.389999999996</v>
      </c>
      <c r="BA16" s="13">
        <f>SUM(BB16:BK16)</f>
        <v>26891.389999999996</v>
      </c>
      <c r="BB16" s="13">
        <f>IF($D16="是",I16-J16,0)</f>
        <v>17646.37</v>
      </c>
      <c r="BC16" s="13">
        <f>IF($D16="是",K16-L16,0)</f>
        <v>760.17</v>
      </c>
      <c r="BD16" s="13">
        <f>IF($D16="是",M16-N16,0)</f>
        <v>7277.21</v>
      </c>
      <c r="BE16" s="13">
        <f>IF($D16="是",O16-P16,0)</f>
        <v>1207.6400000000001</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4" zoomScale="85" zoomScaleNormal="100" zoomScaleSheetLayoutView="85" workbookViewId="0">
      <selection activeCell="C22" sqref="C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9"/>
      <c r="G2" s="2650"/>
      <c r="H2" s="2651"/>
      <c r="I2" s="2325" t="s">
        <v>1132</v>
      </c>
      <c r="J2" s="2659"/>
      <c r="K2" s="2659"/>
      <c r="L2" s="2659"/>
      <c r="M2" s="2659"/>
      <c r="N2" s="2661"/>
      <c r="O2" s="2659"/>
      <c r="P2" s="2659"/>
    </row>
    <row r="3" spans="1:16" ht="15.75" thickBot="1">
      <c r="A3" s="3557" t="s">
        <v>1105</v>
      </c>
      <c r="B3" s="3557"/>
      <c r="C3" s="3557"/>
      <c r="D3" s="43">
        <f>'数据-基础表'!AY6</f>
        <v>0</v>
      </c>
      <c r="E3" s="43">
        <f>'数据-基础表'!AZ5</f>
        <v>26891.389999999996</v>
      </c>
      <c r="F3" s="2659"/>
      <c r="G3" s="1145"/>
      <c r="H3" s="1026" t="s">
        <v>1106</v>
      </c>
      <c r="I3" s="855" t="e">
        <f>ROUND('数据-基础表'!B3/'数据-基础表'!A3,2)</f>
        <v>#DIV/0!</v>
      </c>
      <c r="J3" s="2659"/>
      <c r="K3" s="2659"/>
      <c r="L3" s="2659"/>
      <c r="M3" s="2659"/>
      <c r="N3" s="2661"/>
      <c r="O3" s="2659"/>
      <c r="P3" s="2659"/>
    </row>
    <row r="4" spans="1:16" ht="15">
      <c r="A4" s="3558"/>
      <c r="B4" s="3559"/>
      <c r="C4" s="356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1" t="s">
        <v>1110</v>
      </c>
      <c r="C5" s="356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1" t="s">
        <v>1111</v>
      </c>
      <c r="C6" s="3561"/>
      <c r="D6" s="45">
        <f>ROUND($D$3*E6/$E$3,2)</f>
        <v>0</v>
      </c>
      <c r="E6" s="46">
        <f>E3-E5</f>
        <v>26891.389999999996</v>
      </c>
      <c r="F6" s="2659"/>
      <c r="G6" s="2653" t="s">
        <v>1112</v>
      </c>
      <c r="H6" s="1146" t="s">
        <v>1113</v>
      </c>
      <c r="I6" s="2654" t="e">
        <f>ROUND(F31/D31,2)</f>
        <v>#DIV/0!</v>
      </c>
      <c r="J6" s="2659"/>
      <c r="K6" s="2659"/>
      <c r="L6" s="2659"/>
      <c r="M6" s="2659"/>
      <c r="N6" s="2659"/>
      <c r="O6" s="2659"/>
      <c r="P6" s="2659"/>
    </row>
    <row r="7" spans="1:16" ht="15.75" thickBot="1">
      <c r="A7" s="3553"/>
      <c r="B7" s="3554"/>
      <c r="C7" s="355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17646.37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760.17</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1207.6400000000001</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7277.21</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26891.389999999996</v>
      </c>
      <c r="F16" s="2659"/>
      <c r="G16" s="2660"/>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18406.539999999997</v>
      </c>
      <c r="F19" s="2795">
        <f>'数据-基础表'!I16</f>
        <v>17646.37</v>
      </c>
      <c r="G19" s="2796">
        <f>'数据-基础表'!K16</f>
        <v>760.17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18406.539999999997</v>
      </c>
    </row>
    <row r="20" spans="1:19">
      <c r="A20" s="1670"/>
      <c r="B20" s="47" t="s">
        <v>1153</v>
      </c>
      <c r="C20" s="3417" t="s">
        <v>3387</v>
      </c>
      <c r="D20" s="45">
        <f t="shared" ref="D20:D26" si="6">ROUND($D$3*E20/$E$3,2)</f>
        <v>0</v>
      </c>
      <c r="E20" s="53">
        <f t="shared" si="1"/>
        <v>7277.21</v>
      </c>
      <c r="F20" s="2795"/>
      <c r="G20" s="2796">
        <f>'数据-基础表'!M16</f>
        <v>7277.21</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7277.21</v>
      </c>
    </row>
    <row r="21" spans="1:19">
      <c r="A21" s="1670"/>
      <c r="B21" s="47" t="s">
        <v>1153</v>
      </c>
      <c r="C21" s="3417" t="s">
        <v>3388</v>
      </c>
      <c r="D21" s="45">
        <f t="shared" si="6"/>
        <v>0</v>
      </c>
      <c r="E21" s="53">
        <f t="shared" si="1"/>
        <v>1207.6400000000001</v>
      </c>
      <c r="F21" s="2795"/>
      <c r="G21" s="2796">
        <f>'数据-基础表'!O16</f>
        <v>1207.6400000000001</v>
      </c>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1207.6400000000001</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26891.389999999996</v>
      </c>
      <c r="F27" s="1140">
        <f>IF(SUM(F19:F26)=E8,SUM(F19:F26),"地上面积有误")</f>
        <v>17646.37</v>
      </c>
      <c r="G27" s="1142">
        <f>SUM(G19:G26)</f>
        <v>9245.02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26891.389999999996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26891.389999999996</v>
      </c>
      <c r="F31" s="677">
        <f>F27+F30</f>
        <v>17646.37</v>
      </c>
      <c r="G31" s="678">
        <f>G27+G30</f>
        <v>9245.02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50811</v>
      </c>
      <c r="F6" s="64">
        <f>SUMIF(项目基本情况!C$12:I$12,C6,项目基本情况!C$15:I$15)</f>
        <v>15.25</v>
      </c>
      <c r="G6" s="65">
        <f>IF(ISERROR(ROUND(POWER(1+H6,D6-F6)*(POWER(1+H6,F6)-1)/(POWER(1+H6,D6)-1),3)),0,ROUND(POWER(1+H6,D6-F6)*(POWER(1+H6,F6)-1)/(POWER(1+H6,D6)-1),3))</f>
        <v>0.61199999999999999</v>
      </c>
      <c r="H6" s="732">
        <v>0.05</v>
      </c>
      <c r="I6" s="732">
        <v>5.5E-2</v>
      </c>
      <c r="J6" s="66">
        <v>7.0000000000000007E-2</v>
      </c>
      <c r="K6" s="1030">
        <f>SUMIF('数据-汇总表'!C$19:C$33,A6,'数据-汇总表'!E$19:E$33)</f>
        <v>18406.539999999997</v>
      </c>
      <c r="L6" s="733">
        <v>4000</v>
      </c>
      <c r="M6" s="67">
        <f t="shared" ref="M6:M14" si="0">ROUND(K6*L6/10000,0)</f>
        <v>7363</v>
      </c>
      <c r="N6" s="731">
        <f>N21</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10.8</v>
      </c>
      <c r="V6" s="70">
        <v>2.5000000000000001E-2</v>
      </c>
      <c r="W6" s="70">
        <v>0.1</v>
      </c>
      <c r="X6" s="1040"/>
      <c r="Y6" s="71">
        <f>N6</f>
        <v>0.79</v>
      </c>
      <c r="Z6" s="72"/>
      <c r="AA6" s="66"/>
      <c r="AB6" s="66"/>
      <c r="AC6" s="1040"/>
      <c r="AD6" s="73"/>
      <c r="AE6" s="1041">
        <f ca="1">IF(AN6="",0,SUMIF(INDIRECT("'"&amp;AN6&amp;"'"&amp;"!E:E"),$AE$5,INDIRECT("'"&amp;AN6&amp;"'"&amp;"!F:F")))</f>
        <v>15.25</v>
      </c>
      <c r="AF6" s="1348"/>
      <c r="AG6" s="138">
        <f>IF(AF6="",0,AE6-AF6)</f>
        <v>0</v>
      </c>
      <c r="AH6" s="74"/>
      <c r="AI6" s="76">
        <v>365</v>
      </c>
      <c r="AJ6" s="77"/>
      <c r="AK6" s="78">
        <v>0.01</v>
      </c>
      <c r="AL6" s="79">
        <v>1E-3</v>
      </c>
      <c r="AM6" s="80">
        <v>0.01</v>
      </c>
      <c r="AN6" s="1715" t="s">
        <v>3410</v>
      </c>
      <c r="AO6" s="52">
        <f ca="1">SUMIF(INDIRECT("'"&amp;AN6&amp;"'"&amp;"!A:A"),"总价",INDIRECT("'"&amp;AN6&amp;"'"&amp;"!B:B"))</f>
        <v>64130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3336</v>
      </c>
      <c r="D7" s="858">
        <f>SUMIF(项目基本情况!C$12:I$12,C7,项目基本情况!C$14:I$14)</f>
        <v>50</v>
      </c>
      <c r="E7" s="857">
        <f>IF(B7="","",SUMIF(项目基本情况!C$12:I$12,C7,项目基本情况!C$13:I$13))</f>
        <v>54464</v>
      </c>
      <c r="F7" s="64">
        <f>SUMIF(项目基本情况!C$12:I$12,C7,项目基本情况!C$15:I$15)</f>
        <v>25.26</v>
      </c>
      <c r="G7" s="65">
        <f t="shared" ref="G7:G11" si="2">IF(ISERROR(ROUND(POWER(1+H7,D7-F7)*(POWER(1+H7,F7)-1)/(POWER(1+H7,D7)-1),3)),0,ROUND(POWER(1+H7,D7-F7)*(POWER(1+H7,F7)-1)/(POWER(1+H7,D7)-1),3))</f>
        <v>0.755</v>
      </c>
      <c r="H7" s="732">
        <v>4.4999999999999998E-2</v>
      </c>
      <c r="I7" s="732">
        <v>0.05</v>
      </c>
      <c r="J7" s="66">
        <v>7.0000000000000007E-2</v>
      </c>
      <c r="K7" s="1030">
        <f>SUMIF('数据-汇总表'!C$19:C$33,A7,'数据-汇总表'!E$19:E$33)</f>
        <v>7277.21</v>
      </c>
      <c r="L7" s="733">
        <f>L6</f>
        <v>4000</v>
      </c>
      <c r="M7" s="67">
        <f t="shared" si="0"/>
        <v>2911</v>
      </c>
      <c r="N7" s="731">
        <f>N6</f>
        <v>0.79</v>
      </c>
      <c r="O7" s="67" t="str">
        <f t="shared" ref="O7:O14" si="3">IF($N$5="成新度","——",ROUND(M7*N7,0))</f>
        <v>——</v>
      </c>
      <c r="P7" s="68" t="str">
        <f t="shared" ref="P7:P14" si="4">IF($N$5="成新度","——",M7-O7)</f>
        <v>——</v>
      </c>
      <c r="Q7" s="734">
        <v>0.1</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1400</v>
      </c>
      <c r="V7" s="70">
        <v>2.5000000000000001E-2</v>
      </c>
      <c r="W7" s="70">
        <v>0.1</v>
      </c>
      <c r="X7" s="1040"/>
      <c r="Y7" s="71">
        <f>N7</f>
        <v>0.79</v>
      </c>
      <c r="Z7" s="72"/>
      <c r="AA7" s="66"/>
      <c r="AB7" s="66"/>
      <c r="AC7" s="1040"/>
      <c r="AD7" s="73"/>
      <c r="AE7" s="1041">
        <f t="shared" ref="AE7:AE13" ca="1" si="6">IF(AN7="",0,SUMIF(INDIRECT("'"&amp;AN7&amp;"'"&amp;"!E:E"),$AE$5,INDIRECT("'"&amp;AN7&amp;"'"&amp;"!F:F")))</f>
        <v>25.26</v>
      </c>
      <c r="AF7" s="1348"/>
      <c r="AG7" s="138">
        <f t="shared" ref="AG7:AG13" si="7">IF(AF7="",0,AE7-AF7)</f>
        <v>0</v>
      </c>
      <c r="AH7" s="74">
        <f>ROUNDDOWN('数据-汇总表'!G20/30,0)</f>
        <v>242</v>
      </c>
      <c r="AI7" s="76">
        <v>12</v>
      </c>
      <c r="AJ7" s="77"/>
      <c r="AK7" s="78">
        <v>5.0000000000000001E-3</v>
      </c>
      <c r="AL7" s="79">
        <v>1E-3</v>
      </c>
      <c r="AM7" s="80">
        <v>5.0000000000000001E-3</v>
      </c>
      <c r="AN7" s="1715" t="s">
        <v>3417</v>
      </c>
      <c r="AO7" s="52">
        <f t="shared" ref="AO7:AO13" ca="1" si="8">SUMIF(INDIRECT("'"&amp;AN7&amp;"'"&amp;"!A:A"),"总价",INDIRECT("'"&amp;AN7&amp;"'"&amp;"!B:B"))</f>
        <v>5364</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仓储</v>
      </c>
      <c r="B8" s="1713" t="str">
        <f t="shared" si="1"/>
        <v>经营性</v>
      </c>
      <c r="C8" s="1714" t="s">
        <v>3337</v>
      </c>
      <c r="D8" s="858">
        <f>SUMIF(项目基本情况!C$12:I$12,C8,项目基本情况!C$14:I$14)</f>
        <v>50</v>
      </c>
      <c r="E8" s="857">
        <f>IF(B8="","",SUMIF(项目基本情况!C$12:I$12,C8,项目基本情况!C$13:I$13))</f>
        <v>54464</v>
      </c>
      <c r="F8" s="64">
        <f>SUMIF(项目基本情况!C$12:I$12,C8,项目基本情况!C$15:I$15)</f>
        <v>25.26</v>
      </c>
      <c r="G8" s="65">
        <f t="shared" si="2"/>
        <v>0.755</v>
      </c>
      <c r="H8" s="732">
        <v>4.4999999999999998E-2</v>
      </c>
      <c r="I8" s="732">
        <v>0.05</v>
      </c>
      <c r="J8" s="66">
        <v>7.0000000000000007E-2</v>
      </c>
      <c r="K8" s="1030">
        <f>SUMIF('数据-汇总表'!C$19:C$33,A8,'数据-汇总表'!E$19:E$33)</f>
        <v>1207.6400000000001</v>
      </c>
      <c r="L8" s="733">
        <f>L6</f>
        <v>4000</v>
      </c>
      <c r="M8" s="67">
        <f>ROUND(K8*L8/10000,0)</f>
        <v>483</v>
      </c>
      <c r="N8" s="731">
        <f>N6</f>
        <v>0.79</v>
      </c>
      <c r="O8" s="67" t="str">
        <f t="shared" si="3"/>
        <v>——</v>
      </c>
      <c r="P8" s="68" t="str">
        <f t="shared" si="4"/>
        <v>——</v>
      </c>
      <c r="Q8" s="734">
        <v>0.1</v>
      </c>
      <c r="R8" s="69">
        <f ca="1">SUMIF('数据-汇总表'!C$19:C$33,A8,'数据-汇总表'!R$19:R$27)</f>
        <v>0</v>
      </c>
      <c r="S8" s="51">
        <f>IF('数据-汇总表'!$I$17="按面积比例",SUMIF('数据-汇总表'!C$19:C$33,A8,'数据-汇总表'!K$19:K$33),SUMIF('数据-汇总表'!C$19:C$33,A8,'数据-汇总表'!N$19:N$33))</f>
        <v>0</v>
      </c>
      <c r="T8" s="1172">
        <f t="shared" si="5"/>
        <v>0</v>
      </c>
      <c r="U8" s="3429">
        <v>3</v>
      </c>
      <c r="V8" s="735">
        <v>2.5000000000000001E-2</v>
      </c>
      <c r="W8" s="735">
        <v>0.1</v>
      </c>
      <c r="X8" s="1040"/>
      <c r="Y8" s="71">
        <f>N8</f>
        <v>0.79</v>
      </c>
      <c r="Z8" s="72"/>
      <c r="AA8" s="66"/>
      <c r="AB8" s="66"/>
      <c r="AC8" s="1040"/>
      <c r="AD8" s="73"/>
      <c r="AE8" s="1041">
        <f t="shared" ca="1" si="6"/>
        <v>25.26</v>
      </c>
      <c r="AF8" s="1348"/>
      <c r="AG8" s="138">
        <f t="shared" si="7"/>
        <v>0</v>
      </c>
      <c r="AH8" s="736"/>
      <c r="AI8" s="76">
        <v>365</v>
      </c>
      <c r="AJ8" s="77"/>
      <c r="AK8" s="737">
        <v>5.0000000000000001E-3</v>
      </c>
      <c r="AL8" s="738">
        <v>1E-3</v>
      </c>
      <c r="AM8" s="739">
        <v>5.0000000000000001E-3</v>
      </c>
      <c r="AN8" s="1715" t="s">
        <v>3415</v>
      </c>
      <c r="AO8" s="52">
        <f t="shared" ca="1" si="8"/>
        <v>1775</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0.65700000000000003</v>
      </c>
      <c r="H16" s="90">
        <f>ROUND(SUMPRODUCT(H6:H13,K6:K13)/SUMPRODUCT((H6:H13&gt;0)*(K6:K13)),3)</f>
        <v>4.8000000000000001E-2</v>
      </c>
      <c r="I16" s="91"/>
      <c r="J16" s="91"/>
      <c r="K16" s="92">
        <f>SUM(K6:K15)</f>
        <v>26891.389999999996</v>
      </c>
      <c r="L16" s="93">
        <f>ROUND(M16*10000/SUM(K6:K14),0)</f>
        <v>4000</v>
      </c>
      <c r="M16" s="93">
        <f>SUM(M6:M14)</f>
        <v>10757</v>
      </c>
      <c r="N16" s="94">
        <f>ROUND(SUMPRODUCT(M6:M14,N6:N14)/M16,3)</f>
        <v>0.79</v>
      </c>
      <c r="O16" s="93">
        <f>SUM(O6:O14)</f>
        <v>0</v>
      </c>
      <c r="P16" s="93">
        <f>SUM(P6:P14)</f>
        <v>0</v>
      </c>
      <c r="Q16" s="95">
        <f>ROUND(SUMPRODUCT(Q6:Q13,K6:K13)/SUMPRODUCT((Q6:Q13&gt;0)*(K6:K13)),2)</f>
        <v>0.13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3814" t="s">
        <v>3419</v>
      </c>
      <c r="N19" s="2671">
        <f>ROUND(1-(2023-2007)/60,2)</f>
        <v>0.73</v>
      </c>
      <c r="O19" s="2671"/>
      <c r="P19" s="2671"/>
      <c r="Q19" s="2671"/>
      <c r="R19" s="2671"/>
      <c r="S19" s="2671" t="s">
        <v>3389</v>
      </c>
      <c r="T19" s="2671">
        <v>4691.97</v>
      </c>
      <c r="U19" s="2671">
        <v>15</v>
      </c>
      <c r="V19" s="2671">
        <v>1</v>
      </c>
      <c r="W19" s="2671">
        <f>U19*T19</f>
        <v>70379.55</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3814" t="s">
        <v>3420</v>
      </c>
      <c r="N20" s="2671">
        <v>0.85</v>
      </c>
      <c r="O20" s="2671"/>
      <c r="P20" s="2671"/>
      <c r="Q20" s="2671"/>
      <c r="R20" s="2671"/>
      <c r="S20" s="2671" t="s">
        <v>3390</v>
      </c>
      <c r="T20" s="2671">
        <v>6439.65</v>
      </c>
      <c r="U20" s="2671">
        <f>U19*V20</f>
        <v>10.5</v>
      </c>
      <c r="V20" s="2671">
        <v>0.7</v>
      </c>
      <c r="W20" s="2671">
        <f t="shared" ref="W20:W22" si="12">U20*T20</f>
        <v>67616.324999999997</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f>(N19+N20)/2</f>
        <v>0.79</v>
      </c>
      <c r="O21" s="2671"/>
      <c r="P21" s="2671"/>
      <c r="Q21" s="2671"/>
      <c r="R21" s="2671"/>
      <c r="S21" s="2671" t="s">
        <v>3391</v>
      </c>
      <c r="T21" s="2671">
        <v>6514.75</v>
      </c>
      <c r="U21" s="2671">
        <f>U19*V21</f>
        <v>9</v>
      </c>
      <c r="V21" s="2671">
        <v>0.6</v>
      </c>
      <c r="W21" s="2671">
        <f t="shared" si="12"/>
        <v>58632.75</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t="s">
        <v>3392</v>
      </c>
      <c r="T22" s="2671">
        <v>760.17</v>
      </c>
      <c r="U22" s="2671">
        <f>U19*V22</f>
        <v>6</v>
      </c>
      <c r="V22" s="2671">
        <v>0.4</v>
      </c>
      <c r="W22" s="2671">
        <f t="shared" si="12"/>
        <v>4561.0199999999995</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f>SUM(T19:T22)</f>
        <v>18406.539999999997</v>
      </c>
      <c r="U23" s="2671">
        <f>W23/T23</f>
        <v>10.930334815777437</v>
      </c>
      <c r="V23" s="2671"/>
      <c r="W23" s="2671">
        <f>SUM(W19:W22)</f>
        <v>201189.64499999999</v>
      </c>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538</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C56</f>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2" t="s">
        <v>2285</v>
      </c>
      <c r="B1" s="3563"/>
      <c r="C1" s="3563"/>
      <c r="D1" s="3563"/>
      <c r="E1" s="3563"/>
      <c r="F1" s="3563"/>
      <c r="G1" s="356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3" sqref="K1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26891.389999999996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45243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90084</v>
      </c>
      <c r="C5" s="2512">
        <f ca="1">IF(B5=D14,结果表!H102,ROUND(B5*10000/$B$1,0))</f>
        <v>33499</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'结果表(商业)'!B118</f>
        <v>18406.539999999997</v>
      </c>
      <c r="C14" s="2518"/>
      <c r="D14" s="2518">
        <f ca="1">'结果表(商业)'!H118</f>
        <v>81985</v>
      </c>
      <c r="E14" s="2518">
        <f ca="1">ROUND(D14*10000/B14,0)</f>
        <v>44541</v>
      </c>
      <c r="F14" s="2518" t="e">
        <f ca="1">ROUND(D14*10000/C14,0)</f>
        <v>#DIV/0!</v>
      </c>
      <c r="G14" s="2518"/>
      <c r="H14" s="2518"/>
      <c r="I14" s="2518"/>
      <c r="J14" s="2687"/>
      <c r="K14" s="2688"/>
    </row>
    <row r="15" spans="1:11" ht="16.5">
      <c r="A15" s="2517" t="s">
        <v>649</v>
      </c>
      <c r="B15" s="2519">
        <f>'结果表(车库)'!B118</f>
        <v>7277.21</v>
      </c>
      <c r="C15" s="2519"/>
      <c r="D15" s="2519">
        <f ca="1">'结果表(车库)'!H118</f>
        <v>6370</v>
      </c>
      <c r="E15" s="2518">
        <f t="shared" ref="E15:E23" ca="1" si="0">ROUND(D15*10000/B15,0)</f>
        <v>8753</v>
      </c>
      <c r="F15" s="2518" t="e">
        <f t="shared" ref="F15:F23" ca="1" si="1">ROUND(D15*10000/C15,0)</f>
        <v>#DIV/0!</v>
      </c>
      <c r="G15" s="1331"/>
      <c r="H15" s="1331"/>
      <c r="I15" s="2519"/>
      <c r="J15" s="2687"/>
      <c r="K15" s="2688"/>
    </row>
    <row r="16" spans="1:11" ht="16.5">
      <c r="A16" s="2517" t="s">
        <v>648</v>
      </c>
      <c r="B16" s="2519">
        <f>'结果表(仓储)'!B118</f>
        <v>1207.6400000000001</v>
      </c>
      <c r="C16" s="2519"/>
      <c r="D16" s="2519">
        <f ca="1">'结果表(仓储)'!H118</f>
        <v>1729</v>
      </c>
      <c r="E16" s="2518">
        <f t="shared" ca="1" si="0"/>
        <v>14317</v>
      </c>
      <c r="F16" s="2518" t="e">
        <f t="shared" ca="1"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P21" sqref="P2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1989</v>
      </c>
    </row>
    <row r="2" spans="1:45" s="655" customFormat="1">
      <c r="A2" s="984"/>
      <c r="B2" s="651" t="s">
        <v>1065</v>
      </c>
      <c r="C2" s="652" t="str">
        <f t="shared" ref="C2:R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1">D6-$T5</f>
        <v>100</v>
      </c>
      <c r="F6" s="1316">
        <f t="shared" si="1"/>
        <v>100</v>
      </c>
      <c r="G6" s="1316">
        <f t="shared" si="1"/>
        <v>100</v>
      </c>
      <c r="H6" s="1316">
        <f t="shared" si="1"/>
        <v>100</v>
      </c>
      <c r="I6" s="1316">
        <f t="shared" si="1"/>
        <v>100</v>
      </c>
      <c r="J6" s="1316">
        <f t="shared" si="1"/>
        <v>100</v>
      </c>
      <c r="K6" s="1316">
        <f t="shared" si="1"/>
        <v>100</v>
      </c>
      <c r="L6" s="1316">
        <f t="shared" si="1"/>
        <v>100</v>
      </c>
      <c r="M6" s="1316">
        <f t="shared" si="1"/>
        <v>100</v>
      </c>
      <c r="N6" s="1316">
        <f t="shared" si="1"/>
        <v>100</v>
      </c>
      <c r="O6" s="1316">
        <f t="shared" si="1"/>
        <v>100</v>
      </c>
      <c r="P6" s="1316">
        <f t="shared" si="1"/>
        <v>100</v>
      </c>
      <c r="Q6" s="1316">
        <f t="shared" si="1"/>
        <v>100</v>
      </c>
      <c r="R6" s="1316">
        <f t="shared" si="1"/>
        <v>100</v>
      </c>
      <c r="S6" s="1316">
        <f t="shared" si="1"/>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2">D8-$T7</f>
        <v>100</v>
      </c>
      <c r="F8" s="1316">
        <f t="shared" si="2"/>
        <v>100</v>
      </c>
      <c r="G8" s="1316">
        <f t="shared" si="2"/>
        <v>100</v>
      </c>
      <c r="H8" s="1316">
        <f t="shared" si="2"/>
        <v>100</v>
      </c>
      <c r="I8" s="1316">
        <f t="shared" si="2"/>
        <v>100</v>
      </c>
      <c r="J8" s="1316">
        <f t="shared" si="2"/>
        <v>100</v>
      </c>
      <c r="K8" s="1316">
        <f t="shared" si="2"/>
        <v>100</v>
      </c>
      <c r="L8" s="1316">
        <f t="shared" si="2"/>
        <v>100</v>
      </c>
      <c r="M8" s="1316">
        <f t="shared" si="2"/>
        <v>100</v>
      </c>
      <c r="N8" s="1316">
        <f t="shared" si="2"/>
        <v>100</v>
      </c>
      <c r="O8" s="1316">
        <f t="shared" si="2"/>
        <v>100</v>
      </c>
      <c r="P8" s="1316">
        <f t="shared" si="2"/>
        <v>100</v>
      </c>
      <c r="Q8" s="1316">
        <f t="shared" si="2"/>
        <v>100</v>
      </c>
      <c r="R8" s="1316">
        <f t="shared" si="2"/>
        <v>100</v>
      </c>
      <c r="S8" s="1316">
        <f t="shared" si="2"/>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3">D10-$T9</f>
        <v>100</v>
      </c>
      <c r="F10" s="1326">
        <f t="shared" si="3"/>
        <v>100</v>
      </c>
      <c r="G10" s="1326">
        <f t="shared" si="3"/>
        <v>100</v>
      </c>
      <c r="H10" s="1326">
        <f t="shared" si="3"/>
        <v>100</v>
      </c>
      <c r="I10" s="1326">
        <f t="shared" si="3"/>
        <v>100</v>
      </c>
      <c r="J10" s="1326">
        <f t="shared" si="3"/>
        <v>100</v>
      </c>
      <c r="K10" s="1326">
        <f t="shared" si="3"/>
        <v>100</v>
      </c>
      <c r="L10" s="1326">
        <f t="shared" si="3"/>
        <v>100</v>
      </c>
      <c r="M10" s="1326">
        <f t="shared" si="3"/>
        <v>100</v>
      </c>
      <c r="N10" s="1326">
        <f t="shared" si="3"/>
        <v>100</v>
      </c>
      <c r="O10" s="1326">
        <f t="shared" si="3"/>
        <v>100</v>
      </c>
      <c r="P10" s="1326">
        <f t="shared" si="3"/>
        <v>100</v>
      </c>
      <c r="Q10" s="1326">
        <f t="shared" si="3"/>
        <v>100</v>
      </c>
      <c r="R10" s="1326">
        <f t="shared" si="3"/>
        <v>100</v>
      </c>
      <c r="S10" s="1326">
        <f t="shared" si="3"/>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4">D12-$T11</f>
        <v>100</v>
      </c>
      <c r="F12" s="902">
        <f t="shared" si="4"/>
        <v>100</v>
      </c>
      <c r="G12" s="902">
        <f t="shared" si="4"/>
        <v>100</v>
      </c>
      <c r="H12" s="902">
        <f t="shared" si="4"/>
        <v>100</v>
      </c>
      <c r="I12" s="902">
        <f t="shared" si="4"/>
        <v>100</v>
      </c>
      <c r="J12" s="902">
        <f t="shared" si="4"/>
        <v>100</v>
      </c>
      <c r="K12" s="902">
        <f t="shared" si="4"/>
        <v>100</v>
      </c>
      <c r="L12" s="902">
        <f t="shared" si="4"/>
        <v>100</v>
      </c>
      <c r="M12" s="902">
        <f t="shared" si="4"/>
        <v>100</v>
      </c>
      <c r="N12" s="902">
        <f t="shared" si="4"/>
        <v>100</v>
      </c>
      <c r="O12" s="902">
        <f t="shared" si="4"/>
        <v>100</v>
      </c>
      <c r="P12" s="902">
        <f t="shared" si="4"/>
        <v>100</v>
      </c>
      <c r="Q12" s="902">
        <f t="shared" si="4"/>
        <v>100</v>
      </c>
      <c r="R12" s="902">
        <f>Q12-$T11</f>
        <v>100</v>
      </c>
      <c r="S12" s="902">
        <f t="shared" si="4"/>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3434</v>
      </c>
      <c r="D17" s="1011" t="s">
        <v>3431</v>
      </c>
      <c r="E17" s="1011" t="s">
        <v>3432</v>
      </c>
      <c r="F17" s="1011" t="s">
        <v>3435</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40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107302</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58296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18406.539999999997</v>
      </c>
      <c r="C22" s="3757" t="s">
        <v>27</v>
      </c>
      <c r="D22" s="3758"/>
      <c r="E22" s="3758"/>
      <c r="F22" s="3758"/>
      <c r="G22" s="3758"/>
      <c r="H22" s="3758"/>
      <c r="I22" s="3758"/>
      <c r="J22" s="3758"/>
      <c r="K22" s="3758"/>
      <c r="L22" s="3758"/>
      <c r="M22" s="3758"/>
      <c r="N22" s="3758"/>
      <c r="O22" s="3758"/>
      <c r="P22" s="3758"/>
      <c r="Q22" s="3759"/>
      <c r="R22" s="663">
        <f>ROUND(S22*10000/B22,0)</f>
        <v>58296</v>
      </c>
      <c r="S22" s="21">
        <f>SUM(S24:S10000)</f>
        <v>107302</v>
      </c>
    </row>
    <row r="23" spans="1:45" s="9" customFormat="1" ht="24">
      <c r="A23" s="3449" t="s">
        <v>2100</v>
      </c>
      <c r="B23" s="3449" t="s">
        <v>2101</v>
      </c>
      <c r="C23" s="3449" t="s">
        <v>2102</v>
      </c>
      <c r="D23" s="3449" t="str">
        <f>B5</f>
        <v>修正项2</v>
      </c>
      <c r="E23" s="3449" t="s">
        <v>2102</v>
      </c>
      <c r="F23" s="3449" t="str">
        <f>B7</f>
        <v>修正项3</v>
      </c>
      <c r="G23" s="3449" t="s">
        <v>2102</v>
      </c>
      <c r="H23" s="3449" t="str">
        <f>B9</f>
        <v>修正项4</v>
      </c>
      <c r="I23" s="3449" t="s">
        <v>2102</v>
      </c>
      <c r="J23" s="3449" t="str">
        <f>B11</f>
        <v>修正项5</v>
      </c>
      <c r="K23" s="3449" t="s">
        <v>2102</v>
      </c>
      <c r="L23" s="3449" t="str">
        <f>B13</f>
        <v>修正项6</v>
      </c>
      <c r="M23" s="3449" t="s">
        <v>2102</v>
      </c>
      <c r="N23" s="3449" t="str">
        <f>B15</f>
        <v>修正项7</v>
      </c>
      <c r="O23" s="3449" t="s">
        <v>2102</v>
      </c>
      <c r="P23" s="3449" t="str">
        <f>B17</f>
        <v>楼层</v>
      </c>
      <c r="Q23" s="3449" t="s">
        <v>2102</v>
      </c>
      <c r="R23" s="3453" t="s">
        <v>2103</v>
      </c>
      <c r="S23" s="3449"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815" t="s">
        <v>3430</v>
      </c>
      <c r="B24" s="665">
        <f>'数据-取费表'!T19</f>
        <v>4691.97</v>
      </c>
      <c r="C24" s="2810">
        <v>1</v>
      </c>
      <c r="D24" s="2811"/>
      <c r="E24" s="2810">
        <v>1</v>
      </c>
      <c r="F24" s="2811"/>
      <c r="G24" s="2810">
        <v>1</v>
      </c>
      <c r="H24" s="2811"/>
      <c r="I24" s="2810">
        <v>1</v>
      </c>
      <c r="J24" s="2811"/>
      <c r="K24" s="2810">
        <v>1</v>
      </c>
      <c r="L24" s="2811"/>
      <c r="M24" s="2810">
        <v>1</v>
      </c>
      <c r="N24" s="2811"/>
      <c r="O24" s="2810">
        <v>1</v>
      </c>
      <c r="P24" s="2811" t="s">
        <v>3429</v>
      </c>
      <c r="Q24" s="2810">
        <v>1</v>
      </c>
      <c r="R24" s="668">
        <v>80000</v>
      </c>
      <c r="S24" s="666">
        <f t="shared" ref="S24:S87" si="5">ROUND(R24*B24/10000,0)</f>
        <v>37536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3431</v>
      </c>
      <c r="B25" s="665">
        <f>'数据-取费表'!T20</f>
        <v>6439.65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3436</v>
      </c>
      <c r="Q25" s="21">
        <f>(SUMIF($17:$17,P25,$18:$18)-SUMIF($17:$17,$P$24,$18:$18)+100)/100</f>
        <v>0.7</v>
      </c>
      <c r="R25" s="663">
        <f>IF(B25="",0,ROUND($R$24*C25*E25*G25*I25*K25*M25*O25*Q25,0))</f>
        <v>56000</v>
      </c>
      <c r="S25" s="316">
        <f t="shared" si="5"/>
        <v>36062</v>
      </c>
    </row>
    <row r="26" spans="1:45">
      <c r="A26" s="150" t="s">
        <v>3432</v>
      </c>
      <c r="B26" s="665">
        <f>'数据-取费表'!T21</f>
        <v>6514.75</v>
      </c>
      <c r="C26" s="21">
        <f t="shared" ref="C26:C89" si="6">IF(B26="",1,(LOOKUP(B26,$3:$3,$4:$4)-LOOKUP($B$24,$3:$3,$4:$4)+100)/100)</f>
        <v>1</v>
      </c>
      <c r="D26" s="667"/>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667" t="s">
        <v>3437</v>
      </c>
      <c r="Q26" s="21">
        <f t="shared" ref="Q26:Q89" si="13">(SUMIF($17:$17,P26,$18:$18)-SUMIF($17:$17,$P$24,$18:$18)+100)/100</f>
        <v>0.6</v>
      </c>
      <c r="R26" s="663">
        <f t="shared" ref="R26:R89" si="14">IF(B26="",0,ROUND($R$24*C26*E26*G26*I26*K26*M26*O26*Q26,0))</f>
        <v>48000</v>
      </c>
      <c r="S26" s="316">
        <f t="shared" si="5"/>
        <v>31271</v>
      </c>
    </row>
    <row r="27" spans="1:45">
      <c r="A27" s="150" t="s">
        <v>3433</v>
      </c>
      <c r="B27" s="665">
        <f>'数据-取费表'!T22</f>
        <v>760.17</v>
      </c>
      <c r="C27" s="21">
        <f t="shared" si="6"/>
        <v>1</v>
      </c>
      <c r="D27" s="667"/>
      <c r="E27" s="21">
        <f t="shared" si="7"/>
        <v>1</v>
      </c>
      <c r="F27" s="667"/>
      <c r="G27" s="21">
        <f t="shared" si="8"/>
        <v>1</v>
      </c>
      <c r="H27" s="667"/>
      <c r="I27" s="21">
        <f t="shared" si="9"/>
        <v>1</v>
      </c>
      <c r="J27" s="667"/>
      <c r="K27" s="21">
        <f t="shared" si="10"/>
        <v>1</v>
      </c>
      <c r="L27" s="667"/>
      <c r="M27" s="21">
        <f t="shared" si="11"/>
        <v>1</v>
      </c>
      <c r="N27" s="667"/>
      <c r="O27" s="21">
        <f t="shared" si="12"/>
        <v>1</v>
      </c>
      <c r="P27" s="667" t="s">
        <v>3438</v>
      </c>
      <c r="Q27" s="21">
        <f t="shared" si="13"/>
        <v>0.4</v>
      </c>
      <c r="R27" s="663">
        <f t="shared" si="14"/>
        <v>32000</v>
      </c>
      <c r="S27" s="316">
        <f t="shared" si="5"/>
        <v>2433</v>
      </c>
    </row>
    <row r="28" spans="1:45">
      <c r="A28" s="150"/>
      <c r="B28" s="54"/>
      <c r="C28" s="21">
        <f t="shared" si="6"/>
        <v>1</v>
      </c>
      <c r="D28" s="667"/>
      <c r="E28" s="21">
        <f t="shared" si="7"/>
        <v>1</v>
      </c>
      <c r="F28" s="667"/>
      <c r="G28" s="21">
        <f t="shared" si="8"/>
        <v>1</v>
      </c>
      <c r="H28" s="667"/>
      <c r="I28" s="21">
        <f t="shared" si="9"/>
        <v>1</v>
      </c>
      <c r="J28" s="667"/>
      <c r="K28" s="21">
        <f t="shared" si="10"/>
        <v>1</v>
      </c>
      <c r="L28" s="667"/>
      <c r="M28" s="21">
        <f t="shared" si="11"/>
        <v>1</v>
      </c>
      <c r="N28" s="667"/>
      <c r="O28" s="21">
        <f t="shared" si="12"/>
        <v>1</v>
      </c>
      <c r="P28" s="667"/>
      <c r="Q28" s="21">
        <f t="shared" si="13"/>
        <v>0</v>
      </c>
      <c r="R28" s="663">
        <f t="shared" si="14"/>
        <v>0</v>
      </c>
      <c r="S28" s="316">
        <f t="shared" si="5"/>
        <v>0</v>
      </c>
    </row>
    <row r="29" spans="1:45">
      <c r="A29" s="150"/>
      <c r="B29" s="54"/>
      <c r="C29" s="21">
        <f t="shared" si="6"/>
        <v>1</v>
      </c>
      <c r="D29" s="667"/>
      <c r="E29" s="21">
        <f t="shared" si="7"/>
        <v>1</v>
      </c>
      <c r="F29" s="667"/>
      <c r="G29" s="21">
        <f t="shared" si="8"/>
        <v>1</v>
      </c>
      <c r="H29" s="667"/>
      <c r="I29" s="21">
        <f t="shared" si="9"/>
        <v>1</v>
      </c>
      <c r="J29" s="667"/>
      <c r="K29" s="21">
        <f t="shared" si="10"/>
        <v>1</v>
      </c>
      <c r="L29" s="667"/>
      <c r="M29" s="21">
        <f t="shared" si="11"/>
        <v>1</v>
      </c>
      <c r="N29" s="667"/>
      <c r="O29" s="21">
        <f t="shared" si="12"/>
        <v>1</v>
      </c>
      <c r="P29" s="667"/>
      <c r="Q29" s="21">
        <f t="shared" si="13"/>
        <v>0</v>
      </c>
      <c r="R29" s="663">
        <f t="shared" si="14"/>
        <v>0</v>
      </c>
      <c r="S29" s="316">
        <f t="shared" si="5"/>
        <v>0</v>
      </c>
    </row>
    <row r="30" spans="1:45">
      <c r="A30" s="150"/>
      <c r="B30" s="54"/>
      <c r="C30" s="21">
        <f t="shared" si="6"/>
        <v>1</v>
      </c>
      <c r="D30" s="667"/>
      <c r="E30" s="21">
        <f t="shared" si="7"/>
        <v>1</v>
      </c>
      <c r="F30" s="667"/>
      <c r="G30" s="21">
        <f t="shared" si="8"/>
        <v>1</v>
      </c>
      <c r="H30" s="667"/>
      <c r="I30" s="21">
        <f t="shared" si="9"/>
        <v>1</v>
      </c>
      <c r="J30" s="667"/>
      <c r="K30" s="21">
        <f t="shared" si="10"/>
        <v>1</v>
      </c>
      <c r="L30" s="667"/>
      <c r="M30" s="21">
        <f t="shared" si="11"/>
        <v>1</v>
      </c>
      <c r="N30" s="667"/>
      <c r="O30" s="21">
        <f t="shared" si="12"/>
        <v>1</v>
      </c>
      <c r="P30" s="667"/>
      <c r="Q30" s="21">
        <f t="shared" si="13"/>
        <v>0</v>
      </c>
      <c r="R30" s="663">
        <f t="shared" si="14"/>
        <v>0</v>
      </c>
      <c r="S30" s="316">
        <f t="shared" si="5"/>
        <v>0</v>
      </c>
    </row>
    <row r="31" spans="1:45">
      <c r="A31" s="150"/>
      <c r="B31" s="54"/>
      <c r="C31" s="21">
        <f t="shared" si="6"/>
        <v>1</v>
      </c>
      <c r="D31" s="667"/>
      <c r="E31" s="21">
        <f t="shared" si="7"/>
        <v>1</v>
      </c>
      <c r="F31" s="667"/>
      <c r="G31" s="21">
        <f t="shared" si="8"/>
        <v>1</v>
      </c>
      <c r="H31" s="667"/>
      <c r="I31" s="21">
        <f t="shared" si="9"/>
        <v>1</v>
      </c>
      <c r="J31" s="667"/>
      <c r="K31" s="21">
        <f t="shared" si="10"/>
        <v>1</v>
      </c>
      <c r="L31" s="667"/>
      <c r="M31" s="21">
        <f t="shared" si="11"/>
        <v>1</v>
      </c>
      <c r="N31" s="667"/>
      <c r="O31" s="21">
        <f t="shared" si="12"/>
        <v>1</v>
      </c>
      <c r="P31" s="667"/>
      <c r="Q31" s="21">
        <f t="shared" si="13"/>
        <v>0</v>
      </c>
      <c r="R31" s="663">
        <f t="shared" si="14"/>
        <v>0</v>
      </c>
      <c r="S31" s="316">
        <f t="shared" si="5"/>
        <v>0</v>
      </c>
    </row>
    <row r="32" spans="1:45">
      <c r="A32" s="150"/>
      <c r="B32" s="54"/>
      <c r="C32" s="21">
        <f t="shared" si="6"/>
        <v>1</v>
      </c>
      <c r="D32" s="667"/>
      <c r="E32" s="21">
        <f t="shared" si="7"/>
        <v>1</v>
      </c>
      <c r="F32" s="667"/>
      <c r="G32" s="21">
        <f t="shared" si="8"/>
        <v>1</v>
      </c>
      <c r="H32" s="667"/>
      <c r="I32" s="21">
        <f t="shared" si="9"/>
        <v>1</v>
      </c>
      <c r="J32" s="667"/>
      <c r="K32" s="21">
        <f t="shared" si="10"/>
        <v>1</v>
      </c>
      <c r="L32" s="667"/>
      <c r="M32" s="21">
        <f t="shared" si="11"/>
        <v>1</v>
      </c>
      <c r="N32" s="667"/>
      <c r="O32" s="21">
        <f t="shared" si="12"/>
        <v>1</v>
      </c>
      <c r="P32" s="667"/>
      <c r="Q32" s="21">
        <f t="shared" si="13"/>
        <v>0</v>
      </c>
      <c r="R32" s="663">
        <f t="shared" si="14"/>
        <v>0</v>
      </c>
      <c r="S32" s="316">
        <f t="shared" si="5"/>
        <v>0</v>
      </c>
    </row>
    <row r="33" spans="1:19">
      <c r="A33" s="150"/>
      <c r="B33" s="54"/>
      <c r="C33" s="21">
        <f t="shared" si="6"/>
        <v>1</v>
      </c>
      <c r="D33" s="667"/>
      <c r="E33" s="21">
        <f t="shared" si="7"/>
        <v>1</v>
      </c>
      <c r="F33" s="667"/>
      <c r="G33" s="21">
        <f t="shared" si="8"/>
        <v>1</v>
      </c>
      <c r="H33" s="667"/>
      <c r="I33" s="21">
        <f t="shared" si="9"/>
        <v>1</v>
      </c>
      <c r="J33" s="667"/>
      <c r="K33" s="21">
        <f t="shared" si="10"/>
        <v>1</v>
      </c>
      <c r="L33" s="667"/>
      <c r="M33" s="21">
        <f t="shared" si="11"/>
        <v>1</v>
      </c>
      <c r="N33" s="667"/>
      <c r="O33" s="21">
        <f t="shared" si="12"/>
        <v>1</v>
      </c>
      <c r="P33" s="667"/>
      <c r="Q33" s="21">
        <f t="shared" si="13"/>
        <v>0</v>
      </c>
      <c r="R33" s="663">
        <f t="shared" si="14"/>
        <v>0</v>
      </c>
      <c r="S33" s="316">
        <f t="shared" si="5"/>
        <v>0</v>
      </c>
    </row>
    <row r="34" spans="1:19">
      <c r="A34" s="150"/>
      <c r="B34" s="54"/>
      <c r="C34" s="21">
        <f t="shared" si="6"/>
        <v>1</v>
      </c>
      <c r="D34" s="667"/>
      <c r="E34" s="21">
        <f t="shared" si="7"/>
        <v>1</v>
      </c>
      <c r="F34" s="667"/>
      <c r="G34" s="21">
        <f t="shared" si="8"/>
        <v>1</v>
      </c>
      <c r="H34" s="667"/>
      <c r="I34" s="21">
        <f t="shared" si="9"/>
        <v>1</v>
      </c>
      <c r="J34" s="667"/>
      <c r="K34" s="21">
        <f t="shared" si="10"/>
        <v>1</v>
      </c>
      <c r="L34" s="667"/>
      <c r="M34" s="21">
        <f t="shared" si="11"/>
        <v>1</v>
      </c>
      <c r="N34" s="667"/>
      <c r="O34" s="21">
        <f t="shared" si="12"/>
        <v>1</v>
      </c>
      <c r="P34" s="667"/>
      <c r="Q34" s="21">
        <f t="shared" si="13"/>
        <v>0</v>
      </c>
      <c r="R34" s="663">
        <f t="shared" si="14"/>
        <v>0</v>
      </c>
      <c r="S34" s="316">
        <f t="shared" si="5"/>
        <v>0</v>
      </c>
    </row>
    <row r="35" spans="1:19">
      <c r="A35" s="150"/>
      <c r="B35" s="54"/>
      <c r="C35" s="21">
        <f t="shared" si="6"/>
        <v>1</v>
      </c>
      <c r="D35" s="667"/>
      <c r="E35" s="21">
        <f t="shared" si="7"/>
        <v>1</v>
      </c>
      <c r="F35" s="667"/>
      <c r="G35" s="21">
        <f t="shared" si="8"/>
        <v>1</v>
      </c>
      <c r="H35" s="667"/>
      <c r="I35" s="21">
        <f t="shared" si="9"/>
        <v>1</v>
      </c>
      <c r="J35" s="667"/>
      <c r="K35" s="21">
        <f t="shared" si="10"/>
        <v>1</v>
      </c>
      <c r="L35" s="667"/>
      <c r="M35" s="21">
        <f t="shared" si="11"/>
        <v>1</v>
      </c>
      <c r="N35" s="667"/>
      <c r="O35" s="21">
        <f t="shared" si="12"/>
        <v>1</v>
      </c>
      <c r="P35" s="667"/>
      <c r="Q35" s="21">
        <f t="shared" si="13"/>
        <v>0</v>
      </c>
      <c r="R35" s="663">
        <f t="shared" si="14"/>
        <v>0</v>
      </c>
      <c r="S35" s="316">
        <f t="shared" si="5"/>
        <v>0</v>
      </c>
    </row>
    <row r="36" spans="1:19">
      <c r="A36" s="150"/>
      <c r="B36" s="54"/>
      <c r="C36" s="21">
        <f t="shared" si="6"/>
        <v>1</v>
      </c>
      <c r="D36" s="667"/>
      <c r="E36" s="21">
        <f t="shared" si="7"/>
        <v>1</v>
      </c>
      <c r="F36" s="667"/>
      <c r="G36" s="21">
        <f t="shared" si="8"/>
        <v>1</v>
      </c>
      <c r="H36" s="667"/>
      <c r="I36" s="21">
        <f t="shared" si="9"/>
        <v>1</v>
      </c>
      <c r="J36" s="667"/>
      <c r="K36" s="21">
        <f t="shared" si="10"/>
        <v>1</v>
      </c>
      <c r="L36" s="667"/>
      <c r="M36" s="21">
        <f t="shared" si="11"/>
        <v>1</v>
      </c>
      <c r="N36" s="667"/>
      <c r="O36" s="21">
        <f t="shared" si="12"/>
        <v>1</v>
      </c>
      <c r="P36" s="667"/>
      <c r="Q36" s="21">
        <f t="shared" si="13"/>
        <v>0</v>
      </c>
      <c r="R36" s="663">
        <f t="shared" si="14"/>
        <v>0</v>
      </c>
      <c r="S36" s="316">
        <f t="shared" si="5"/>
        <v>0</v>
      </c>
    </row>
    <row r="37" spans="1:19">
      <c r="A37" s="150"/>
      <c r="B37" s="54"/>
      <c r="C37" s="21">
        <f t="shared" si="6"/>
        <v>1</v>
      </c>
      <c r="D37" s="667"/>
      <c r="E37" s="21">
        <f t="shared" si="7"/>
        <v>1</v>
      </c>
      <c r="F37" s="667"/>
      <c r="G37" s="21">
        <f t="shared" si="8"/>
        <v>1</v>
      </c>
      <c r="H37" s="667"/>
      <c r="I37" s="21">
        <f t="shared" si="9"/>
        <v>1</v>
      </c>
      <c r="J37" s="667"/>
      <c r="K37" s="21">
        <f t="shared" si="10"/>
        <v>1</v>
      </c>
      <c r="L37" s="667"/>
      <c r="M37" s="21">
        <f t="shared" si="11"/>
        <v>1</v>
      </c>
      <c r="N37" s="667"/>
      <c r="O37" s="21">
        <f t="shared" si="12"/>
        <v>1</v>
      </c>
      <c r="P37" s="667"/>
      <c r="Q37" s="21">
        <f t="shared" si="13"/>
        <v>0</v>
      </c>
      <c r="R37" s="663">
        <f t="shared" si="14"/>
        <v>0</v>
      </c>
      <c r="S37" s="316">
        <f t="shared" si="5"/>
        <v>0</v>
      </c>
    </row>
    <row r="38" spans="1:19">
      <c r="A38" s="150"/>
      <c r="B38" s="54"/>
      <c r="C38" s="21">
        <f t="shared" si="6"/>
        <v>1</v>
      </c>
      <c r="D38" s="667"/>
      <c r="E38" s="21">
        <f t="shared" si="7"/>
        <v>1</v>
      </c>
      <c r="F38" s="667"/>
      <c r="G38" s="21">
        <f t="shared" si="8"/>
        <v>1</v>
      </c>
      <c r="H38" s="667"/>
      <c r="I38" s="21">
        <f t="shared" si="9"/>
        <v>1</v>
      </c>
      <c r="J38" s="667"/>
      <c r="K38" s="21">
        <f t="shared" si="10"/>
        <v>1</v>
      </c>
      <c r="L38" s="667"/>
      <c r="M38" s="21">
        <f t="shared" si="11"/>
        <v>1</v>
      </c>
      <c r="N38" s="667"/>
      <c r="O38" s="21">
        <f t="shared" si="12"/>
        <v>1</v>
      </c>
      <c r="P38" s="667"/>
      <c r="Q38" s="21">
        <f t="shared" si="13"/>
        <v>0</v>
      </c>
      <c r="R38" s="663">
        <f t="shared" si="14"/>
        <v>0</v>
      </c>
      <c r="S38" s="316">
        <f t="shared" si="5"/>
        <v>0</v>
      </c>
    </row>
    <row r="39" spans="1:19">
      <c r="A39" s="150"/>
      <c r="B39" s="54"/>
      <c r="C39" s="21">
        <f t="shared" si="6"/>
        <v>1</v>
      </c>
      <c r="D39" s="667"/>
      <c r="E39" s="21">
        <f t="shared" si="7"/>
        <v>1</v>
      </c>
      <c r="F39" s="667"/>
      <c r="G39" s="21">
        <f t="shared" si="8"/>
        <v>1</v>
      </c>
      <c r="H39" s="667"/>
      <c r="I39" s="21">
        <f t="shared" si="9"/>
        <v>1</v>
      </c>
      <c r="J39" s="667"/>
      <c r="K39" s="21">
        <f t="shared" si="10"/>
        <v>1</v>
      </c>
      <c r="L39" s="667"/>
      <c r="M39" s="21">
        <f t="shared" si="11"/>
        <v>1</v>
      </c>
      <c r="N39" s="667"/>
      <c r="O39" s="21">
        <f t="shared" si="12"/>
        <v>1</v>
      </c>
      <c r="P39" s="667"/>
      <c r="Q39" s="21">
        <f t="shared" si="13"/>
        <v>0</v>
      </c>
      <c r="R39" s="663">
        <f t="shared" si="14"/>
        <v>0</v>
      </c>
      <c r="S39" s="316">
        <f t="shared" si="5"/>
        <v>0</v>
      </c>
    </row>
    <row r="40" spans="1:19">
      <c r="A40" s="150"/>
      <c r="B40" s="54"/>
      <c r="C40" s="21">
        <f t="shared" si="6"/>
        <v>1</v>
      </c>
      <c r="D40" s="667"/>
      <c r="E40" s="21">
        <f t="shared" si="7"/>
        <v>1</v>
      </c>
      <c r="F40" s="667"/>
      <c r="G40" s="21">
        <f t="shared" si="8"/>
        <v>1</v>
      </c>
      <c r="H40" s="667"/>
      <c r="I40" s="21">
        <f t="shared" si="9"/>
        <v>1</v>
      </c>
      <c r="J40" s="667"/>
      <c r="K40" s="21">
        <f t="shared" si="10"/>
        <v>1</v>
      </c>
      <c r="L40" s="667"/>
      <c r="M40" s="21">
        <f t="shared" si="11"/>
        <v>1</v>
      </c>
      <c r="N40" s="667"/>
      <c r="O40" s="21">
        <f t="shared" si="12"/>
        <v>1</v>
      </c>
      <c r="P40" s="667"/>
      <c r="Q40" s="21">
        <f t="shared" si="13"/>
        <v>0</v>
      </c>
      <c r="R40" s="663">
        <f t="shared" si="14"/>
        <v>0</v>
      </c>
      <c r="S40" s="316">
        <f t="shared" si="5"/>
        <v>0</v>
      </c>
    </row>
    <row r="41" spans="1:19">
      <c r="A41" s="150"/>
      <c r="B41" s="54"/>
      <c r="C41" s="21">
        <f t="shared" si="6"/>
        <v>1</v>
      </c>
      <c r="D41" s="667"/>
      <c r="E41" s="21">
        <f t="shared" si="7"/>
        <v>1</v>
      </c>
      <c r="F41" s="667"/>
      <c r="G41" s="21">
        <f t="shared" si="8"/>
        <v>1</v>
      </c>
      <c r="H41" s="667"/>
      <c r="I41" s="21">
        <f t="shared" si="9"/>
        <v>1</v>
      </c>
      <c r="J41" s="667"/>
      <c r="K41" s="21">
        <f t="shared" si="10"/>
        <v>1</v>
      </c>
      <c r="L41" s="667"/>
      <c r="M41" s="21">
        <f t="shared" si="11"/>
        <v>1</v>
      </c>
      <c r="N41" s="667"/>
      <c r="O41" s="21">
        <f t="shared" si="12"/>
        <v>1</v>
      </c>
      <c r="P41" s="667"/>
      <c r="Q41" s="21">
        <f t="shared" si="13"/>
        <v>0</v>
      </c>
      <c r="R41" s="663">
        <f t="shared" si="14"/>
        <v>0</v>
      </c>
      <c r="S41" s="316">
        <f t="shared" si="5"/>
        <v>0</v>
      </c>
    </row>
    <row r="42" spans="1:19">
      <c r="A42" s="150"/>
      <c r="B42" s="54"/>
      <c r="C42" s="21">
        <f t="shared" si="6"/>
        <v>1</v>
      </c>
      <c r="D42" s="667"/>
      <c r="E42" s="21">
        <f t="shared" si="7"/>
        <v>1</v>
      </c>
      <c r="F42" s="667"/>
      <c r="G42" s="21">
        <f t="shared" si="8"/>
        <v>1</v>
      </c>
      <c r="H42" s="667"/>
      <c r="I42" s="21">
        <f t="shared" si="9"/>
        <v>1</v>
      </c>
      <c r="J42" s="667"/>
      <c r="K42" s="21">
        <f t="shared" si="10"/>
        <v>1</v>
      </c>
      <c r="L42" s="667"/>
      <c r="M42" s="21">
        <f t="shared" si="11"/>
        <v>1</v>
      </c>
      <c r="N42" s="667"/>
      <c r="O42" s="21">
        <f t="shared" si="12"/>
        <v>1</v>
      </c>
      <c r="P42" s="667"/>
      <c r="Q42" s="21">
        <f t="shared" si="13"/>
        <v>0</v>
      </c>
      <c r="R42" s="663">
        <f t="shared" si="14"/>
        <v>0</v>
      </c>
      <c r="S42" s="316">
        <f t="shared" si="5"/>
        <v>0</v>
      </c>
    </row>
    <row r="43" spans="1:19">
      <c r="A43" s="150"/>
      <c r="B43" s="54"/>
      <c r="C43" s="21">
        <f t="shared" si="6"/>
        <v>1</v>
      </c>
      <c r="D43" s="667"/>
      <c r="E43" s="21">
        <f t="shared" si="7"/>
        <v>1</v>
      </c>
      <c r="F43" s="667"/>
      <c r="G43" s="21">
        <f t="shared" si="8"/>
        <v>1</v>
      </c>
      <c r="H43" s="667"/>
      <c r="I43" s="21">
        <f t="shared" si="9"/>
        <v>1</v>
      </c>
      <c r="J43" s="667"/>
      <c r="K43" s="21">
        <f t="shared" si="10"/>
        <v>1</v>
      </c>
      <c r="L43" s="667"/>
      <c r="M43" s="21">
        <f t="shared" si="11"/>
        <v>1</v>
      </c>
      <c r="N43" s="667"/>
      <c r="O43" s="21">
        <f t="shared" si="12"/>
        <v>1</v>
      </c>
      <c r="P43" s="667"/>
      <c r="Q43" s="21">
        <f t="shared" si="13"/>
        <v>0</v>
      </c>
      <c r="R43" s="663">
        <f t="shared" si="14"/>
        <v>0</v>
      </c>
      <c r="S43" s="316">
        <f t="shared" si="5"/>
        <v>0</v>
      </c>
    </row>
    <row r="44" spans="1:19">
      <c r="A44" s="150"/>
      <c r="B44" s="54"/>
      <c r="C44" s="21">
        <f t="shared" si="6"/>
        <v>1</v>
      </c>
      <c r="D44" s="667"/>
      <c r="E44" s="21">
        <f t="shared" si="7"/>
        <v>1</v>
      </c>
      <c r="F44" s="667"/>
      <c r="G44" s="21">
        <f t="shared" si="8"/>
        <v>1</v>
      </c>
      <c r="H44" s="667"/>
      <c r="I44" s="21">
        <f t="shared" si="9"/>
        <v>1</v>
      </c>
      <c r="J44" s="667"/>
      <c r="K44" s="21">
        <f t="shared" si="10"/>
        <v>1</v>
      </c>
      <c r="L44" s="667"/>
      <c r="M44" s="21">
        <f t="shared" si="11"/>
        <v>1</v>
      </c>
      <c r="N44" s="667"/>
      <c r="O44" s="21">
        <f t="shared" si="12"/>
        <v>1</v>
      </c>
      <c r="P44" s="667"/>
      <c r="Q44" s="21">
        <f t="shared" si="13"/>
        <v>0</v>
      </c>
      <c r="R44" s="663">
        <f t="shared" si="14"/>
        <v>0</v>
      </c>
      <c r="S44" s="316">
        <f t="shared" si="5"/>
        <v>0</v>
      </c>
    </row>
    <row r="45" spans="1:19">
      <c r="A45" s="150"/>
      <c r="B45" s="54"/>
      <c r="C45" s="21">
        <f t="shared" si="6"/>
        <v>1</v>
      </c>
      <c r="D45" s="667"/>
      <c r="E45" s="21">
        <f t="shared" si="7"/>
        <v>1</v>
      </c>
      <c r="F45" s="667"/>
      <c r="G45" s="21">
        <f t="shared" si="8"/>
        <v>1</v>
      </c>
      <c r="H45" s="667"/>
      <c r="I45" s="21">
        <f t="shared" si="9"/>
        <v>1</v>
      </c>
      <c r="J45" s="667"/>
      <c r="K45" s="21">
        <f t="shared" si="10"/>
        <v>1</v>
      </c>
      <c r="L45" s="667"/>
      <c r="M45" s="21">
        <f t="shared" si="11"/>
        <v>1</v>
      </c>
      <c r="N45" s="667"/>
      <c r="O45" s="21">
        <f t="shared" si="12"/>
        <v>1</v>
      </c>
      <c r="P45" s="667"/>
      <c r="Q45" s="21">
        <f t="shared" si="13"/>
        <v>0</v>
      </c>
      <c r="R45" s="663">
        <f t="shared" si="14"/>
        <v>0</v>
      </c>
      <c r="S45" s="316">
        <f t="shared" si="5"/>
        <v>0</v>
      </c>
    </row>
    <row r="46" spans="1:19">
      <c r="A46" s="150"/>
      <c r="B46" s="54"/>
      <c r="C46" s="21">
        <f t="shared" si="6"/>
        <v>1</v>
      </c>
      <c r="D46" s="667"/>
      <c r="E46" s="21">
        <f t="shared" si="7"/>
        <v>1</v>
      </c>
      <c r="F46" s="667"/>
      <c r="G46" s="21">
        <f t="shared" si="8"/>
        <v>1</v>
      </c>
      <c r="H46" s="667"/>
      <c r="I46" s="21">
        <f t="shared" si="9"/>
        <v>1</v>
      </c>
      <c r="J46" s="667"/>
      <c r="K46" s="21">
        <f t="shared" si="10"/>
        <v>1</v>
      </c>
      <c r="L46" s="667"/>
      <c r="M46" s="21">
        <f t="shared" si="11"/>
        <v>1</v>
      </c>
      <c r="N46" s="667"/>
      <c r="O46" s="21">
        <f t="shared" si="12"/>
        <v>1</v>
      </c>
      <c r="P46" s="667"/>
      <c r="Q46" s="21">
        <f t="shared" si="13"/>
        <v>0</v>
      </c>
      <c r="R46" s="663">
        <f t="shared" si="14"/>
        <v>0</v>
      </c>
      <c r="S46" s="316">
        <f t="shared" si="5"/>
        <v>0</v>
      </c>
    </row>
    <row r="47" spans="1:19">
      <c r="A47" s="150"/>
      <c r="B47" s="54"/>
      <c r="C47" s="21">
        <f t="shared" si="6"/>
        <v>1</v>
      </c>
      <c r="D47" s="667"/>
      <c r="E47" s="21">
        <f t="shared" si="7"/>
        <v>1</v>
      </c>
      <c r="F47" s="667"/>
      <c r="G47" s="21">
        <f t="shared" si="8"/>
        <v>1</v>
      </c>
      <c r="H47" s="667"/>
      <c r="I47" s="21">
        <f t="shared" si="9"/>
        <v>1</v>
      </c>
      <c r="J47" s="667"/>
      <c r="K47" s="21">
        <f t="shared" si="10"/>
        <v>1</v>
      </c>
      <c r="L47" s="667"/>
      <c r="M47" s="21">
        <f t="shared" si="11"/>
        <v>1</v>
      </c>
      <c r="N47" s="667"/>
      <c r="O47" s="21">
        <f t="shared" si="12"/>
        <v>1</v>
      </c>
      <c r="P47" s="667"/>
      <c r="Q47" s="21">
        <f t="shared" si="13"/>
        <v>0</v>
      </c>
      <c r="R47" s="663">
        <f t="shared" si="14"/>
        <v>0</v>
      </c>
      <c r="S47" s="316">
        <f t="shared" si="5"/>
        <v>0</v>
      </c>
    </row>
    <row r="48" spans="1:19">
      <c r="A48" s="150"/>
      <c r="B48" s="54"/>
      <c r="C48" s="21">
        <f t="shared" si="6"/>
        <v>1</v>
      </c>
      <c r="D48" s="667"/>
      <c r="E48" s="21">
        <f t="shared" si="7"/>
        <v>1</v>
      </c>
      <c r="F48" s="667"/>
      <c r="G48" s="21">
        <f t="shared" si="8"/>
        <v>1</v>
      </c>
      <c r="H48" s="667"/>
      <c r="I48" s="21">
        <f t="shared" si="9"/>
        <v>1</v>
      </c>
      <c r="J48" s="667"/>
      <c r="K48" s="21">
        <f t="shared" si="10"/>
        <v>1</v>
      </c>
      <c r="L48" s="667"/>
      <c r="M48" s="21">
        <f t="shared" si="11"/>
        <v>1</v>
      </c>
      <c r="N48" s="667"/>
      <c r="O48" s="21">
        <f t="shared" si="12"/>
        <v>1</v>
      </c>
      <c r="P48" s="667"/>
      <c r="Q48" s="21">
        <f t="shared" si="13"/>
        <v>0</v>
      </c>
      <c r="R48" s="663">
        <f t="shared" si="14"/>
        <v>0</v>
      </c>
      <c r="S48" s="316">
        <f t="shared" si="5"/>
        <v>0</v>
      </c>
    </row>
    <row r="49" spans="1:19">
      <c r="A49" s="150"/>
      <c r="B49" s="54"/>
      <c r="C49" s="21">
        <f t="shared" si="6"/>
        <v>1</v>
      </c>
      <c r="D49" s="667"/>
      <c r="E49" s="21">
        <f t="shared" si="7"/>
        <v>1</v>
      </c>
      <c r="F49" s="667"/>
      <c r="G49" s="21">
        <f t="shared" si="8"/>
        <v>1</v>
      </c>
      <c r="H49" s="667"/>
      <c r="I49" s="21">
        <f t="shared" si="9"/>
        <v>1</v>
      </c>
      <c r="J49" s="667"/>
      <c r="K49" s="21">
        <f t="shared" si="10"/>
        <v>1</v>
      </c>
      <c r="L49" s="667"/>
      <c r="M49" s="21">
        <f t="shared" si="11"/>
        <v>1</v>
      </c>
      <c r="N49" s="667"/>
      <c r="O49" s="21">
        <f t="shared" si="12"/>
        <v>1</v>
      </c>
      <c r="P49" s="667"/>
      <c r="Q49" s="21">
        <f t="shared" si="13"/>
        <v>0</v>
      </c>
      <c r="R49" s="663">
        <f t="shared" si="14"/>
        <v>0</v>
      </c>
      <c r="S49" s="316">
        <f t="shared" si="5"/>
        <v>0</v>
      </c>
    </row>
    <row r="50" spans="1:19">
      <c r="A50" s="150"/>
      <c r="B50" s="54"/>
      <c r="C50" s="21">
        <f t="shared" si="6"/>
        <v>1</v>
      </c>
      <c r="D50" s="667"/>
      <c r="E50" s="21">
        <f t="shared" si="7"/>
        <v>1</v>
      </c>
      <c r="F50" s="667"/>
      <c r="G50" s="21">
        <f t="shared" si="8"/>
        <v>1</v>
      </c>
      <c r="H50" s="667"/>
      <c r="I50" s="21">
        <f t="shared" si="9"/>
        <v>1</v>
      </c>
      <c r="J50" s="667"/>
      <c r="K50" s="21">
        <f t="shared" si="10"/>
        <v>1</v>
      </c>
      <c r="L50" s="667"/>
      <c r="M50" s="21">
        <f t="shared" si="11"/>
        <v>1</v>
      </c>
      <c r="N50" s="667"/>
      <c r="O50" s="21">
        <f t="shared" si="12"/>
        <v>1</v>
      </c>
      <c r="P50" s="667"/>
      <c r="Q50" s="21">
        <f t="shared" si="13"/>
        <v>0</v>
      </c>
      <c r="R50" s="663">
        <f t="shared" si="14"/>
        <v>0</v>
      </c>
      <c r="S50" s="316">
        <f t="shared" si="5"/>
        <v>0</v>
      </c>
    </row>
    <row r="51" spans="1:19">
      <c r="A51" s="150"/>
      <c r="B51" s="54"/>
      <c r="C51" s="21">
        <f t="shared" si="6"/>
        <v>1</v>
      </c>
      <c r="D51" s="667"/>
      <c r="E51" s="21">
        <f t="shared" si="7"/>
        <v>1</v>
      </c>
      <c r="F51" s="667"/>
      <c r="G51" s="21">
        <f t="shared" si="8"/>
        <v>1</v>
      </c>
      <c r="H51" s="667"/>
      <c r="I51" s="21">
        <f t="shared" si="9"/>
        <v>1</v>
      </c>
      <c r="J51" s="667"/>
      <c r="K51" s="21">
        <f t="shared" si="10"/>
        <v>1</v>
      </c>
      <c r="L51" s="667"/>
      <c r="M51" s="21">
        <f t="shared" si="11"/>
        <v>1</v>
      </c>
      <c r="N51" s="667"/>
      <c r="O51" s="21">
        <f t="shared" si="12"/>
        <v>1</v>
      </c>
      <c r="P51" s="667"/>
      <c r="Q51" s="21">
        <f t="shared" si="13"/>
        <v>0</v>
      </c>
      <c r="R51" s="663">
        <f t="shared" si="14"/>
        <v>0</v>
      </c>
      <c r="S51" s="316">
        <f t="shared" si="5"/>
        <v>0</v>
      </c>
    </row>
    <row r="52" spans="1:19">
      <c r="A52" s="150"/>
      <c r="B52" s="54"/>
      <c r="C52" s="21">
        <f t="shared" si="6"/>
        <v>1</v>
      </c>
      <c r="D52" s="667"/>
      <c r="E52" s="21">
        <f t="shared" si="7"/>
        <v>1</v>
      </c>
      <c r="F52" s="667"/>
      <c r="G52" s="21">
        <f t="shared" si="8"/>
        <v>1</v>
      </c>
      <c r="H52" s="667"/>
      <c r="I52" s="21">
        <f t="shared" si="9"/>
        <v>1</v>
      </c>
      <c r="J52" s="667"/>
      <c r="K52" s="21">
        <f t="shared" si="10"/>
        <v>1</v>
      </c>
      <c r="L52" s="667"/>
      <c r="M52" s="21">
        <f t="shared" si="11"/>
        <v>1</v>
      </c>
      <c r="N52" s="667"/>
      <c r="O52" s="21">
        <f t="shared" si="12"/>
        <v>1</v>
      </c>
      <c r="P52" s="667"/>
      <c r="Q52" s="21">
        <f t="shared" si="13"/>
        <v>0</v>
      </c>
      <c r="R52" s="663">
        <f t="shared" si="14"/>
        <v>0</v>
      </c>
      <c r="S52" s="316">
        <f t="shared" si="5"/>
        <v>0</v>
      </c>
    </row>
    <row r="53" spans="1:19">
      <c r="A53" s="150"/>
      <c r="B53" s="54"/>
      <c r="C53" s="21">
        <f t="shared" si="6"/>
        <v>1</v>
      </c>
      <c r="D53" s="667"/>
      <c r="E53" s="21">
        <f t="shared" si="7"/>
        <v>1</v>
      </c>
      <c r="F53" s="667"/>
      <c r="G53" s="21">
        <f t="shared" si="8"/>
        <v>1</v>
      </c>
      <c r="H53" s="667"/>
      <c r="I53" s="21">
        <f t="shared" si="9"/>
        <v>1</v>
      </c>
      <c r="J53" s="667"/>
      <c r="K53" s="21">
        <f t="shared" si="10"/>
        <v>1</v>
      </c>
      <c r="L53" s="667"/>
      <c r="M53" s="21">
        <f t="shared" si="11"/>
        <v>1</v>
      </c>
      <c r="N53" s="667"/>
      <c r="O53" s="21">
        <f t="shared" si="12"/>
        <v>1</v>
      </c>
      <c r="P53" s="667"/>
      <c r="Q53" s="21">
        <f t="shared" si="13"/>
        <v>0</v>
      </c>
      <c r="R53" s="663">
        <f t="shared" si="14"/>
        <v>0</v>
      </c>
      <c r="S53" s="316">
        <f t="shared" si="5"/>
        <v>0</v>
      </c>
    </row>
    <row r="54" spans="1:19">
      <c r="A54" s="150"/>
      <c r="B54" s="54"/>
      <c r="C54" s="21">
        <f t="shared" si="6"/>
        <v>1</v>
      </c>
      <c r="D54" s="667"/>
      <c r="E54" s="21">
        <f t="shared" si="7"/>
        <v>1</v>
      </c>
      <c r="F54" s="667"/>
      <c r="G54" s="21">
        <f t="shared" si="8"/>
        <v>1</v>
      </c>
      <c r="H54" s="667"/>
      <c r="I54" s="21">
        <f t="shared" si="9"/>
        <v>1</v>
      </c>
      <c r="J54" s="667"/>
      <c r="K54" s="21">
        <f t="shared" si="10"/>
        <v>1</v>
      </c>
      <c r="L54" s="667"/>
      <c r="M54" s="21">
        <f t="shared" si="11"/>
        <v>1</v>
      </c>
      <c r="N54" s="667"/>
      <c r="O54" s="21">
        <f t="shared" si="12"/>
        <v>1</v>
      </c>
      <c r="P54" s="667"/>
      <c r="Q54" s="21">
        <f t="shared" si="13"/>
        <v>0</v>
      </c>
      <c r="R54" s="663">
        <f t="shared" si="14"/>
        <v>0</v>
      </c>
      <c r="S54" s="316">
        <f t="shared" si="5"/>
        <v>0</v>
      </c>
    </row>
    <row r="55" spans="1:19">
      <c r="A55" s="150"/>
      <c r="B55" s="54"/>
      <c r="C55" s="21">
        <f t="shared" si="6"/>
        <v>1</v>
      </c>
      <c r="D55" s="667"/>
      <c r="E55" s="21">
        <f t="shared" si="7"/>
        <v>1</v>
      </c>
      <c r="F55" s="667"/>
      <c r="G55" s="21">
        <f t="shared" si="8"/>
        <v>1</v>
      </c>
      <c r="H55" s="667"/>
      <c r="I55" s="21">
        <f t="shared" si="9"/>
        <v>1</v>
      </c>
      <c r="J55" s="667"/>
      <c r="K55" s="21">
        <f t="shared" si="10"/>
        <v>1</v>
      </c>
      <c r="L55" s="667"/>
      <c r="M55" s="21">
        <f t="shared" si="11"/>
        <v>1</v>
      </c>
      <c r="N55" s="667"/>
      <c r="O55" s="21">
        <f t="shared" si="12"/>
        <v>1</v>
      </c>
      <c r="P55" s="667"/>
      <c r="Q55" s="21">
        <f t="shared" si="13"/>
        <v>0</v>
      </c>
      <c r="R55" s="663">
        <f t="shared" si="14"/>
        <v>0</v>
      </c>
      <c r="S55" s="316">
        <f t="shared" si="5"/>
        <v>0</v>
      </c>
    </row>
    <row r="56" spans="1:19">
      <c r="A56" s="150"/>
      <c r="B56" s="54"/>
      <c r="C56" s="21">
        <f t="shared" si="6"/>
        <v>1</v>
      </c>
      <c r="D56" s="667"/>
      <c r="E56" s="21">
        <f t="shared" si="7"/>
        <v>1</v>
      </c>
      <c r="F56" s="667"/>
      <c r="G56" s="21">
        <f t="shared" si="8"/>
        <v>1</v>
      </c>
      <c r="H56" s="667"/>
      <c r="I56" s="21">
        <f t="shared" si="9"/>
        <v>1</v>
      </c>
      <c r="J56" s="667"/>
      <c r="K56" s="21">
        <f t="shared" si="10"/>
        <v>1</v>
      </c>
      <c r="L56" s="667"/>
      <c r="M56" s="21">
        <f t="shared" si="11"/>
        <v>1</v>
      </c>
      <c r="N56" s="667"/>
      <c r="O56" s="21">
        <f t="shared" si="12"/>
        <v>1</v>
      </c>
      <c r="P56" s="667"/>
      <c r="Q56" s="21">
        <f t="shared" si="13"/>
        <v>0</v>
      </c>
      <c r="R56" s="663">
        <f t="shared" si="14"/>
        <v>0</v>
      </c>
      <c r="S56" s="316">
        <f t="shared" si="5"/>
        <v>0</v>
      </c>
    </row>
    <row r="57" spans="1:19">
      <c r="A57" s="150"/>
      <c r="B57" s="54"/>
      <c r="C57" s="21">
        <f t="shared" si="6"/>
        <v>1</v>
      </c>
      <c r="D57" s="667"/>
      <c r="E57" s="21">
        <f t="shared" si="7"/>
        <v>1</v>
      </c>
      <c r="F57" s="667"/>
      <c r="G57" s="21">
        <f t="shared" si="8"/>
        <v>1</v>
      </c>
      <c r="H57" s="667"/>
      <c r="I57" s="21">
        <f t="shared" si="9"/>
        <v>1</v>
      </c>
      <c r="J57" s="667"/>
      <c r="K57" s="21">
        <f t="shared" si="10"/>
        <v>1</v>
      </c>
      <c r="L57" s="667"/>
      <c r="M57" s="21">
        <f t="shared" si="11"/>
        <v>1</v>
      </c>
      <c r="N57" s="667"/>
      <c r="O57" s="21">
        <f t="shared" si="12"/>
        <v>1</v>
      </c>
      <c r="P57" s="667"/>
      <c r="Q57" s="21">
        <f t="shared" si="13"/>
        <v>0</v>
      </c>
      <c r="R57" s="663">
        <f t="shared" si="14"/>
        <v>0</v>
      </c>
      <c r="S57" s="316">
        <f t="shared" si="5"/>
        <v>0</v>
      </c>
    </row>
    <row r="58" spans="1:19">
      <c r="A58" s="150"/>
      <c r="B58" s="54"/>
      <c r="C58" s="21">
        <f t="shared" si="6"/>
        <v>1</v>
      </c>
      <c r="D58" s="667"/>
      <c r="E58" s="21">
        <f t="shared" si="7"/>
        <v>1</v>
      </c>
      <c r="F58" s="667"/>
      <c r="G58" s="21">
        <f t="shared" si="8"/>
        <v>1</v>
      </c>
      <c r="H58" s="667"/>
      <c r="I58" s="21">
        <f t="shared" si="9"/>
        <v>1</v>
      </c>
      <c r="J58" s="667"/>
      <c r="K58" s="21">
        <f t="shared" si="10"/>
        <v>1</v>
      </c>
      <c r="L58" s="667"/>
      <c r="M58" s="21">
        <f t="shared" si="11"/>
        <v>1</v>
      </c>
      <c r="N58" s="667"/>
      <c r="O58" s="21">
        <f t="shared" si="12"/>
        <v>1</v>
      </c>
      <c r="P58" s="667"/>
      <c r="Q58" s="21">
        <f t="shared" si="13"/>
        <v>0</v>
      </c>
      <c r="R58" s="663">
        <f t="shared" si="14"/>
        <v>0</v>
      </c>
      <c r="S58" s="316">
        <f t="shared" si="5"/>
        <v>0</v>
      </c>
    </row>
    <row r="59" spans="1:19">
      <c r="A59" s="150"/>
      <c r="B59" s="54"/>
      <c r="C59" s="21">
        <f t="shared" si="6"/>
        <v>1</v>
      </c>
      <c r="D59" s="667"/>
      <c r="E59" s="21">
        <f t="shared" si="7"/>
        <v>1</v>
      </c>
      <c r="F59" s="667"/>
      <c r="G59" s="21">
        <f t="shared" si="8"/>
        <v>1</v>
      </c>
      <c r="H59" s="667"/>
      <c r="I59" s="21">
        <f t="shared" si="9"/>
        <v>1</v>
      </c>
      <c r="J59" s="667"/>
      <c r="K59" s="21">
        <f t="shared" si="10"/>
        <v>1</v>
      </c>
      <c r="L59" s="667"/>
      <c r="M59" s="21">
        <f t="shared" si="11"/>
        <v>1</v>
      </c>
      <c r="N59" s="667"/>
      <c r="O59" s="21">
        <f t="shared" si="12"/>
        <v>1</v>
      </c>
      <c r="P59" s="667"/>
      <c r="Q59" s="21">
        <f t="shared" si="13"/>
        <v>0</v>
      </c>
      <c r="R59" s="663">
        <f t="shared" si="14"/>
        <v>0</v>
      </c>
      <c r="S59" s="316">
        <f t="shared" si="5"/>
        <v>0</v>
      </c>
    </row>
    <row r="60" spans="1:19">
      <c r="A60" s="150"/>
      <c r="B60" s="54"/>
      <c r="C60" s="21">
        <f t="shared" si="6"/>
        <v>1</v>
      </c>
      <c r="D60" s="667"/>
      <c r="E60" s="21">
        <f t="shared" si="7"/>
        <v>1</v>
      </c>
      <c r="F60" s="667"/>
      <c r="G60" s="21">
        <f t="shared" si="8"/>
        <v>1</v>
      </c>
      <c r="H60" s="667"/>
      <c r="I60" s="21">
        <f t="shared" si="9"/>
        <v>1</v>
      </c>
      <c r="J60" s="667"/>
      <c r="K60" s="21">
        <f t="shared" si="10"/>
        <v>1</v>
      </c>
      <c r="L60" s="667"/>
      <c r="M60" s="21">
        <f t="shared" si="11"/>
        <v>1</v>
      </c>
      <c r="N60" s="667"/>
      <c r="O60" s="21">
        <f t="shared" si="12"/>
        <v>1</v>
      </c>
      <c r="P60" s="667"/>
      <c r="Q60" s="21">
        <f t="shared" si="13"/>
        <v>0</v>
      </c>
      <c r="R60" s="663">
        <f t="shared" si="14"/>
        <v>0</v>
      </c>
      <c r="S60" s="316">
        <f t="shared" si="5"/>
        <v>0</v>
      </c>
    </row>
    <row r="61" spans="1:19">
      <c r="A61" s="150"/>
      <c r="B61" s="54"/>
      <c r="C61" s="21">
        <f t="shared" si="6"/>
        <v>1</v>
      </c>
      <c r="D61" s="667"/>
      <c r="E61" s="21">
        <f t="shared" si="7"/>
        <v>1</v>
      </c>
      <c r="F61" s="667"/>
      <c r="G61" s="21">
        <f t="shared" si="8"/>
        <v>1</v>
      </c>
      <c r="H61" s="667"/>
      <c r="I61" s="21">
        <f t="shared" si="9"/>
        <v>1</v>
      </c>
      <c r="J61" s="667"/>
      <c r="K61" s="21">
        <f t="shared" si="10"/>
        <v>1</v>
      </c>
      <c r="L61" s="667"/>
      <c r="M61" s="21">
        <f t="shared" si="11"/>
        <v>1</v>
      </c>
      <c r="N61" s="667"/>
      <c r="O61" s="21">
        <f t="shared" si="12"/>
        <v>1</v>
      </c>
      <c r="P61" s="667"/>
      <c r="Q61" s="21">
        <f t="shared" si="13"/>
        <v>0</v>
      </c>
      <c r="R61" s="663">
        <f t="shared" si="14"/>
        <v>0</v>
      </c>
      <c r="S61" s="316">
        <f t="shared" si="5"/>
        <v>0</v>
      </c>
    </row>
    <row r="62" spans="1:19">
      <c r="A62" s="150"/>
      <c r="B62" s="54"/>
      <c r="C62" s="21">
        <f t="shared" si="6"/>
        <v>1</v>
      </c>
      <c r="D62" s="667"/>
      <c r="E62" s="21">
        <f t="shared" si="7"/>
        <v>1</v>
      </c>
      <c r="F62" s="667"/>
      <c r="G62" s="21">
        <f t="shared" si="8"/>
        <v>1</v>
      </c>
      <c r="H62" s="667"/>
      <c r="I62" s="21">
        <f t="shared" si="9"/>
        <v>1</v>
      </c>
      <c r="J62" s="667"/>
      <c r="K62" s="21">
        <f t="shared" si="10"/>
        <v>1</v>
      </c>
      <c r="L62" s="667"/>
      <c r="M62" s="21">
        <f t="shared" si="11"/>
        <v>1</v>
      </c>
      <c r="N62" s="667"/>
      <c r="O62" s="21">
        <f t="shared" si="12"/>
        <v>1</v>
      </c>
      <c r="P62" s="667"/>
      <c r="Q62" s="21">
        <f t="shared" si="13"/>
        <v>0</v>
      </c>
      <c r="R62" s="663">
        <f t="shared" si="14"/>
        <v>0</v>
      </c>
      <c r="S62" s="316">
        <f t="shared" si="5"/>
        <v>0</v>
      </c>
    </row>
    <row r="63" spans="1:19">
      <c r="A63" s="150"/>
      <c r="B63" s="54"/>
      <c r="C63" s="21">
        <f t="shared" si="6"/>
        <v>1</v>
      </c>
      <c r="D63" s="667"/>
      <c r="E63" s="21">
        <f t="shared" si="7"/>
        <v>1</v>
      </c>
      <c r="F63" s="667"/>
      <c r="G63" s="21">
        <f t="shared" si="8"/>
        <v>1</v>
      </c>
      <c r="H63" s="667"/>
      <c r="I63" s="21">
        <f t="shared" si="9"/>
        <v>1</v>
      </c>
      <c r="J63" s="667"/>
      <c r="K63" s="21">
        <f t="shared" si="10"/>
        <v>1</v>
      </c>
      <c r="L63" s="667"/>
      <c r="M63" s="21">
        <f t="shared" si="11"/>
        <v>1</v>
      </c>
      <c r="N63" s="667"/>
      <c r="O63" s="21">
        <f t="shared" si="12"/>
        <v>1</v>
      </c>
      <c r="P63" s="667"/>
      <c r="Q63" s="21">
        <f t="shared" si="13"/>
        <v>0</v>
      </c>
      <c r="R63" s="663">
        <f t="shared" si="14"/>
        <v>0</v>
      </c>
      <c r="S63" s="316">
        <f t="shared" si="5"/>
        <v>0</v>
      </c>
    </row>
    <row r="64" spans="1:19">
      <c r="A64" s="150"/>
      <c r="B64" s="54"/>
      <c r="C64" s="21">
        <f t="shared" si="6"/>
        <v>1</v>
      </c>
      <c r="D64" s="667"/>
      <c r="E64" s="21">
        <f t="shared" si="7"/>
        <v>1</v>
      </c>
      <c r="F64" s="667"/>
      <c r="G64" s="21">
        <f t="shared" si="8"/>
        <v>1</v>
      </c>
      <c r="H64" s="667"/>
      <c r="I64" s="21">
        <f t="shared" si="9"/>
        <v>1</v>
      </c>
      <c r="J64" s="667"/>
      <c r="K64" s="21">
        <f t="shared" si="10"/>
        <v>1</v>
      </c>
      <c r="L64" s="667"/>
      <c r="M64" s="21">
        <f t="shared" si="11"/>
        <v>1</v>
      </c>
      <c r="N64" s="667"/>
      <c r="O64" s="21">
        <f t="shared" si="12"/>
        <v>1</v>
      </c>
      <c r="P64" s="667"/>
      <c r="Q64" s="21">
        <f t="shared" si="13"/>
        <v>0</v>
      </c>
      <c r="R64" s="663">
        <f t="shared" si="14"/>
        <v>0</v>
      </c>
      <c r="S64" s="316">
        <f t="shared" si="5"/>
        <v>0</v>
      </c>
    </row>
    <row r="65" spans="1:19">
      <c r="A65" s="150"/>
      <c r="B65" s="54"/>
      <c r="C65" s="21">
        <f t="shared" si="6"/>
        <v>1</v>
      </c>
      <c r="D65" s="667"/>
      <c r="E65" s="21">
        <f t="shared" si="7"/>
        <v>1</v>
      </c>
      <c r="F65" s="667"/>
      <c r="G65" s="21">
        <f t="shared" si="8"/>
        <v>1</v>
      </c>
      <c r="H65" s="667"/>
      <c r="I65" s="21">
        <f t="shared" si="9"/>
        <v>1</v>
      </c>
      <c r="J65" s="667"/>
      <c r="K65" s="21">
        <f t="shared" si="10"/>
        <v>1</v>
      </c>
      <c r="L65" s="667"/>
      <c r="M65" s="21">
        <f t="shared" si="11"/>
        <v>1</v>
      </c>
      <c r="N65" s="667"/>
      <c r="O65" s="21">
        <f t="shared" si="12"/>
        <v>1</v>
      </c>
      <c r="P65" s="667"/>
      <c r="Q65" s="21">
        <f t="shared" si="13"/>
        <v>0</v>
      </c>
      <c r="R65" s="663">
        <f t="shared" si="14"/>
        <v>0</v>
      </c>
      <c r="S65" s="316">
        <f t="shared" si="5"/>
        <v>0</v>
      </c>
    </row>
    <row r="66" spans="1:19">
      <c r="A66" s="150"/>
      <c r="B66" s="54"/>
      <c r="C66" s="21">
        <f t="shared" si="6"/>
        <v>1</v>
      </c>
      <c r="D66" s="667"/>
      <c r="E66" s="21">
        <f t="shared" si="7"/>
        <v>1</v>
      </c>
      <c r="F66" s="667"/>
      <c r="G66" s="21">
        <f t="shared" si="8"/>
        <v>1</v>
      </c>
      <c r="H66" s="667"/>
      <c r="I66" s="21">
        <f t="shared" si="9"/>
        <v>1</v>
      </c>
      <c r="J66" s="667"/>
      <c r="K66" s="21">
        <f t="shared" si="10"/>
        <v>1</v>
      </c>
      <c r="L66" s="667"/>
      <c r="M66" s="21">
        <f t="shared" si="11"/>
        <v>1</v>
      </c>
      <c r="N66" s="667"/>
      <c r="O66" s="21">
        <f t="shared" si="12"/>
        <v>1</v>
      </c>
      <c r="P66" s="667"/>
      <c r="Q66" s="21">
        <f t="shared" si="13"/>
        <v>0</v>
      </c>
      <c r="R66" s="663">
        <f t="shared" si="14"/>
        <v>0</v>
      </c>
      <c r="S66" s="316">
        <f t="shared" si="5"/>
        <v>0</v>
      </c>
    </row>
    <row r="67" spans="1:19">
      <c r="A67" s="150"/>
      <c r="B67" s="54"/>
      <c r="C67" s="21">
        <f t="shared" si="6"/>
        <v>1</v>
      </c>
      <c r="D67" s="667"/>
      <c r="E67" s="21">
        <f t="shared" si="7"/>
        <v>1</v>
      </c>
      <c r="F67" s="667"/>
      <c r="G67" s="21">
        <f t="shared" si="8"/>
        <v>1</v>
      </c>
      <c r="H67" s="667"/>
      <c r="I67" s="21">
        <f t="shared" si="9"/>
        <v>1</v>
      </c>
      <c r="J67" s="667"/>
      <c r="K67" s="21">
        <f t="shared" si="10"/>
        <v>1</v>
      </c>
      <c r="L67" s="667"/>
      <c r="M67" s="21">
        <f t="shared" si="11"/>
        <v>1</v>
      </c>
      <c r="N67" s="667"/>
      <c r="O67" s="21">
        <f t="shared" si="12"/>
        <v>1</v>
      </c>
      <c r="P67" s="667"/>
      <c r="Q67" s="21">
        <f t="shared" si="13"/>
        <v>0</v>
      </c>
      <c r="R67" s="663">
        <f t="shared" si="14"/>
        <v>0</v>
      </c>
      <c r="S67" s="316">
        <f t="shared" si="5"/>
        <v>0</v>
      </c>
    </row>
    <row r="68" spans="1:19">
      <c r="A68" s="150"/>
      <c r="B68" s="54"/>
      <c r="C68" s="21">
        <f t="shared" si="6"/>
        <v>1</v>
      </c>
      <c r="D68" s="667"/>
      <c r="E68" s="21">
        <f t="shared" si="7"/>
        <v>1</v>
      </c>
      <c r="F68" s="667"/>
      <c r="G68" s="21">
        <f t="shared" si="8"/>
        <v>1</v>
      </c>
      <c r="H68" s="667"/>
      <c r="I68" s="21">
        <f t="shared" si="9"/>
        <v>1</v>
      </c>
      <c r="J68" s="667"/>
      <c r="K68" s="21">
        <f t="shared" si="10"/>
        <v>1</v>
      </c>
      <c r="L68" s="667"/>
      <c r="M68" s="21">
        <f t="shared" si="11"/>
        <v>1</v>
      </c>
      <c r="N68" s="667"/>
      <c r="O68" s="21">
        <f t="shared" si="12"/>
        <v>1</v>
      </c>
      <c r="P68" s="667"/>
      <c r="Q68" s="21">
        <f t="shared" si="13"/>
        <v>0</v>
      </c>
      <c r="R68" s="663">
        <f t="shared" si="14"/>
        <v>0</v>
      </c>
      <c r="S68" s="316">
        <f t="shared" si="5"/>
        <v>0</v>
      </c>
    </row>
    <row r="69" spans="1:19">
      <c r="A69" s="150"/>
      <c r="B69" s="54"/>
      <c r="C69" s="21">
        <f t="shared" si="6"/>
        <v>1</v>
      </c>
      <c r="D69" s="667"/>
      <c r="E69" s="21">
        <f t="shared" si="7"/>
        <v>1</v>
      </c>
      <c r="F69" s="667"/>
      <c r="G69" s="21">
        <f t="shared" si="8"/>
        <v>1</v>
      </c>
      <c r="H69" s="667"/>
      <c r="I69" s="21">
        <f t="shared" si="9"/>
        <v>1</v>
      </c>
      <c r="J69" s="667"/>
      <c r="K69" s="21">
        <f t="shared" si="10"/>
        <v>1</v>
      </c>
      <c r="L69" s="667"/>
      <c r="M69" s="21">
        <f t="shared" si="11"/>
        <v>1</v>
      </c>
      <c r="N69" s="667"/>
      <c r="O69" s="21">
        <f t="shared" si="12"/>
        <v>1</v>
      </c>
      <c r="P69" s="667"/>
      <c r="Q69" s="21">
        <f t="shared" si="13"/>
        <v>0</v>
      </c>
      <c r="R69" s="663">
        <f t="shared" si="14"/>
        <v>0</v>
      </c>
      <c r="S69" s="316">
        <f t="shared" si="5"/>
        <v>0</v>
      </c>
    </row>
    <row r="70" spans="1:19">
      <c r="A70" s="150"/>
      <c r="B70" s="54"/>
      <c r="C70" s="21">
        <f t="shared" si="6"/>
        <v>1</v>
      </c>
      <c r="D70" s="667"/>
      <c r="E70" s="21">
        <f t="shared" si="7"/>
        <v>1</v>
      </c>
      <c r="F70" s="667"/>
      <c r="G70" s="21">
        <f t="shared" si="8"/>
        <v>1</v>
      </c>
      <c r="H70" s="667"/>
      <c r="I70" s="21">
        <f t="shared" si="9"/>
        <v>1</v>
      </c>
      <c r="J70" s="667"/>
      <c r="K70" s="21">
        <f t="shared" si="10"/>
        <v>1</v>
      </c>
      <c r="L70" s="667"/>
      <c r="M70" s="21">
        <f t="shared" si="11"/>
        <v>1</v>
      </c>
      <c r="N70" s="667"/>
      <c r="O70" s="21">
        <f t="shared" si="12"/>
        <v>1</v>
      </c>
      <c r="P70" s="667"/>
      <c r="Q70" s="21">
        <f t="shared" si="13"/>
        <v>0</v>
      </c>
      <c r="R70" s="663">
        <f t="shared" si="14"/>
        <v>0</v>
      </c>
      <c r="S70" s="316">
        <f t="shared" si="5"/>
        <v>0</v>
      </c>
    </row>
    <row r="71" spans="1:19">
      <c r="A71" s="150"/>
      <c r="B71" s="54"/>
      <c r="C71" s="21">
        <f t="shared" si="6"/>
        <v>1</v>
      </c>
      <c r="D71" s="667"/>
      <c r="E71" s="21">
        <f t="shared" si="7"/>
        <v>1</v>
      </c>
      <c r="F71" s="667"/>
      <c r="G71" s="21">
        <f t="shared" si="8"/>
        <v>1</v>
      </c>
      <c r="H71" s="667"/>
      <c r="I71" s="21">
        <f t="shared" si="9"/>
        <v>1</v>
      </c>
      <c r="J71" s="667"/>
      <c r="K71" s="21">
        <f t="shared" si="10"/>
        <v>1</v>
      </c>
      <c r="L71" s="667"/>
      <c r="M71" s="21">
        <f t="shared" si="11"/>
        <v>1</v>
      </c>
      <c r="N71" s="667"/>
      <c r="O71" s="21">
        <f t="shared" si="12"/>
        <v>1</v>
      </c>
      <c r="P71" s="667"/>
      <c r="Q71" s="21">
        <f t="shared" si="13"/>
        <v>0</v>
      </c>
      <c r="R71" s="663">
        <f t="shared" si="14"/>
        <v>0</v>
      </c>
      <c r="S71" s="316">
        <f t="shared" si="5"/>
        <v>0</v>
      </c>
    </row>
    <row r="72" spans="1:19">
      <c r="A72" s="150"/>
      <c r="B72" s="54"/>
      <c r="C72" s="21">
        <f t="shared" si="6"/>
        <v>1</v>
      </c>
      <c r="D72" s="667"/>
      <c r="E72" s="21">
        <f t="shared" si="7"/>
        <v>1</v>
      </c>
      <c r="F72" s="667"/>
      <c r="G72" s="21">
        <f t="shared" si="8"/>
        <v>1</v>
      </c>
      <c r="H72" s="667"/>
      <c r="I72" s="21">
        <f t="shared" si="9"/>
        <v>1</v>
      </c>
      <c r="J72" s="667"/>
      <c r="K72" s="21">
        <f t="shared" si="10"/>
        <v>1</v>
      </c>
      <c r="L72" s="667"/>
      <c r="M72" s="21">
        <f t="shared" si="11"/>
        <v>1</v>
      </c>
      <c r="N72" s="667"/>
      <c r="O72" s="21">
        <f t="shared" si="12"/>
        <v>1</v>
      </c>
      <c r="P72" s="667"/>
      <c r="Q72" s="21">
        <f t="shared" si="13"/>
        <v>0</v>
      </c>
      <c r="R72" s="663">
        <f t="shared" si="14"/>
        <v>0</v>
      </c>
      <c r="S72" s="316">
        <f t="shared" si="5"/>
        <v>0</v>
      </c>
    </row>
    <row r="73" spans="1:19">
      <c r="A73" s="150"/>
      <c r="B73" s="54"/>
      <c r="C73" s="21">
        <f t="shared" si="6"/>
        <v>1</v>
      </c>
      <c r="D73" s="667"/>
      <c r="E73" s="21">
        <f t="shared" si="7"/>
        <v>1</v>
      </c>
      <c r="F73" s="667"/>
      <c r="G73" s="21">
        <f t="shared" si="8"/>
        <v>1</v>
      </c>
      <c r="H73" s="667"/>
      <c r="I73" s="21">
        <f t="shared" si="9"/>
        <v>1</v>
      </c>
      <c r="J73" s="667"/>
      <c r="K73" s="21">
        <f t="shared" si="10"/>
        <v>1</v>
      </c>
      <c r="L73" s="667"/>
      <c r="M73" s="21">
        <f t="shared" si="11"/>
        <v>1</v>
      </c>
      <c r="N73" s="667"/>
      <c r="O73" s="21">
        <f t="shared" si="12"/>
        <v>1</v>
      </c>
      <c r="P73" s="667"/>
      <c r="Q73" s="21">
        <f t="shared" si="13"/>
        <v>0</v>
      </c>
      <c r="R73" s="663">
        <f t="shared" si="14"/>
        <v>0</v>
      </c>
      <c r="S73" s="316">
        <f t="shared" si="5"/>
        <v>0</v>
      </c>
    </row>
    <row r="74" spans="1:19">
      <c r="A74" s="150"/>
      <c r="B74" s="54"/>
      <c r="C74" s="21">
        <f t="shared" si="6"/>
        <v>1</v>
      </c>
      <c r="D74" s="667"/>
      <c r="E74" s="21">
        <f t="shared" si="7"/>
        <v>1</v>
      </c>
      <c r="F74" s="667"/>
      <c r="G74" s="21">
        <f t="shared" si="8"/>
        <v>1</v>
      </c>
      <c r="H74" s="667"/>
      <c r="I74" s="21">
        <f t="shared" si="9"/>
        <v>1</v>
      </c>
      <c r="J74" s="667"/>
      <c r="K74" s="21">
        <f t="shared" si="10"/>
        <v>1</v>
      </c>
      <c r="L74" s="667"/>
      <c r="M74" s="21">
        <f t="shared" si="11"/>
        <v>1</v>
      </c>
      <c r="N74" s="667"/>
      <c r="O74" s="21">
        <f t="shared" si="12"/>
        <v>1</v>
      </c>
      <c r="P74" s="667"/>
      <c r="Q74" s="21">
        <f t="shared" si="13"/>
        <v>0</v>
      </c>
      <c r="R74" s="663">
        <f t="shared" si="14"/>
        <v>0</v>
      </c>
      <c r="S74" s="316">
        <f t="shared" si="5"/>
        <v>0</v>
      </c>
    </row>
    <row r="75" spans="1:19">
      <c r="A75" s="150"/>
      <c r="B75" s="54"/>
      <c r="C75" s="21">
        <f t="shared" si="6"/>
        <v>1</v>
      </c>
      <c r="D75" s="667"/>
      <c r="E75" s="21">
        <f t="shared" si="7"/>
        <v>1</v>
      </c>
      <c r="F75" s="667"/>
      <c r="G75" s="21">
        <f t="shared" si="8"/>
        <v>1</v>
      </c>
      <c r="H75" s="667"/>
      <c r="I75" s="21">
        <f t="shared" si="9"/>
        <v>1</v>
      </c>
      <c r="J75" s="667"/>
      <c r="K75" s="21">
        <f t="shared" si="10"/>
        <v>1</v>
      </c>
      <c r="L75" s="667"/>
      <c r="M75" s="21">
        <f t="shared" si="11"/>
        <v>1</v>
      </c>
      <c r="N75" s="667"/>
      <c r="O75" s="21">
        <f t="shared" si="12"/>
        <v>1</v>
      </c>
      <c r="P75" s="667"/>
      <c r="Q75" s="21">
        <f t="shared" si="13"/>
        <v>0</v>
      </c>
      <c r="R75" s="663">
        <f t="shared" si="14"/>
        <v>0</v>
      </c>
      <c r="S75" s="316">
        <f t="shared" si="5"/>
        <v>0</v>
      </c>
    </row>
    <row r="76" spans="1:19">
      <c r="A76" s="150"/>
      <c r="B76" s="54"/>
      <c r="C76" s="21">
        <f t="shared" si="6"/>
        <v>1</v>
      </c>
      <c r="D76" s="667"/>
      <c r="E76" s="21">
        <f t="shared" si="7"/>
        <v>1</v>
      </c>
      <c r="F76" s="667"/>
      <c r="G76" s="21">
        <f t="shared" si="8"/>
        <v>1</v>
      </c>
      <c r="H76" s="667"/>
      <c r="I76" s="21">
        <f t="shared" si="9"/>
        <v>1</v>
      </c>
      <c r="J76" s="667"/>
      <c r="K76" s="21">
        <f t="shared" si="10"/>
        <v>1</v>
      </c>
      <c r="L76" s="667"/>
      <c r="M76" s="21">
        <f t="shared" si="11"/>
        <v>1</v>
      </c>
      <c r="N76" s="667"/>
      <c r="O76" s="21">
        <f t="shared" si="12"/>
        <v>1</v>
      </c>
      <c r="P76" s="667"/>
      <c r="Q76" s="21">
        <f t="shared" si="13"/>
        <v>0</v>
      </c>
      <c r="R76" s="663">
        <f t="shared" si="14"/>
        <v>0</v>
      </c>
      <c r="S76" s="316">
        <f t="shared" si="5"/>
        <v>0</v>
      </c>
    </row>
    <row r="77" spans="1:19">
      <c r="A77" s="150"/>
      <c r="B77" s="54"/>
      <c r="C77" s="21">
        <f t="shared" si="6"/>
        <v>1</v>
      </c>
      <c r="D77" s="667"/>
      <c r="E77" s="21">
        <f t="shared" si="7"/>
        <v>1</v>
      </c>
      <c r="F77" s="667"/>
      <c r="G77" s="21">
        <f t="shared" si="8"/>
        <v>1</v>
      </c>
      <c r="H77" s="667"/>
      <c r="I77" s="21">
        <f t="shared" si="9"/>
        <v>1</v>
      </c>
      <c r="J77" s="667"/>
      <c r="K77" s="21">
        <f t="shared" si="10"/>
        <v>1</v>
      </c>
      <c r="L77" s="667"/>
      <c r="M77" s="21">
        <f t="shared" si="11"/>
        <v>1</v>
      </c>
      <c r="N77" s="667"/>
      <c r="O77" s="21">
        <f t="shared" si="12"/>
        <v>1</v>
      </c>
      <c r="P77" s="667"/>
      <c r="Q77" s="21">
        <f t="shared" si="13"/>
        <v>0</v>
      </c>
      <c r="R77" s="663">
        <f t="shared" si="14"/>
        <v>0</v>
      </c>
      <c r="S77" s="316">
        <f t="shared" si="5"/>
        <v>0</v>
      </c>
    </row>
    <row r="78" spans="1:19">
      <c r="A78" s="150"/>
      <c r="B78" s="54"/>
      <c r="C78" s="21">
        <f t="shared" si="6"/>
        <v>1</v>
      </c>
      <c r="D78" s="667"/>
      <c r="E78" s="21">
        <f t="shared" si="7"/>
        <v>1</v>
      </c>
      <c r="F78" s="667"/>
      <c r="G78" s="21">
        <f t="shared" si="8"/>
        <v>1</v>
      </c>
      <c r="H78" s="667"/>
      <c r="I78" s="21">
        <f t="shared" si="9"/>
        <v>1</v>
      </c>
      <c r="J78" s="667"/>
      <c r="K78" s="21">
        <f t="shared" si="10"/>
        <v>1</v>
      </c>
      <c r="L78" s="667"/>
      <c r="M78" s="21">
        <f t="shared" si="11"/>
        <v>1</v>
      </c>
      <c r="N78" s="667"/>
      <c r="O78" s="21">
        <f t="shared" si="12"/>
        <v>1</v>
      </c>
      <c r="P78" s="667"/>
      <c r="Q78" s="21">
        <f t="shared" si="13"/>
        <v>0</v>
      </c>
      <c r="R78" s="663">
        <f t="shared" si="14"/>
        <v>0</v>
      </c>
      <c r="S78" s="316">
        <f t="shared" si="5"/>
        <v>0</v>
      </c>
    </row>
    <row r="79" spans="1:19">
      <c r="A79" s="150"/>
      <c r="B79" s="54"/>
      <c r="C79" s="21">
        <f t="shared" si="6"/>
        <v>1</v>
      </c>
      <c r="D79" s="667"/>
      <c r="E79" s="21">
        <f t="shared" si="7"/>
        <v>1</v>
      </c>
      <c r="F79" s="667"/>
      <c r="G79" s="21">
        <f t="shared" si="8"/>
        <v>1</v>
      </c>
      <c r="H79" s="667"/>
      <c r="I79" s="21">
        <f t="shared" si="9"/>
        <v>1</v>
      </c>
      <c r="J79" s="667"/>
      <c r="K79" s="21">
        <f t="shared" si="10"/>
        <v>1</v>
      </c>
      <c r="L79" s="667"/>
      <c r="M79" s="21">
        <f t="shared" si="11"/>
        <v>1</v>
      </c>
      <c r="N79" s="667"/>
      <c r="O79" s="21">
        <f t="shared" si="12"/>
        <v>1</v>
      </c>
      <c r="P79" s="667"/>
      <c r="Q79" s="21">
        <f t="shared" si="13"/>
        <v>0</v>
      </c>
      <c r="R79" s="663">
        <f t="shared" si="14"/>
        <v>0</v>
      </c>
      <c r="S79" s="316">
        <f t="shared" si="5"/>
        <v>0</v>
      </c>
    </row>
    <row r="80" spans="1:19">
      <c r="A80" s="150"/>
      <c r="B80" s="54"/>
      <c r="C80" s="21">
        <f t="shared" si="6"/>
        <v>1</v>
      </c>
      <c r="D80" s="667"/>
      <c r="E80" s="21">
        <f t="shared" si="7"/>
        <v>1</v>
      </c>
      <c r="F80" s="667"/>
      <c r="G80" s="21">
        <f t="shared" si="8"/>
        <v>1</v>
      </c>
      <c r="H80" s="667"/>
      <c r="I80" s="21">
        <f t="shared" si="9"/>
        <v>1</v>
      </c>
      <c r="J80" s="667"/>
      <c r="K80" s="21">
        <f t="shared" si="10"/>
        <v>1</v>
      </c>
      <c r="L80" s="667"/>
      <c r="M80" s="21">
        <f t="shared" si="11"/>
        <v>1</v>
      </c>
      <c r="N80" s="667"/>
      <c r="O80" s="21">
        <f t="shared" si="12"/>
        <v>1</v>
      </c>
      <c r="P80" s="667"/>
      <c r="Q80" s="21">
        <f t="shared" si="13"/>
        <v>0</v>
      </c>
      <c r="R80" s="663">
        <f t="shared" si="14"/>
        <v>0</v>
      </c>
      <c r="S80" s="316">
        <f t="shared" si="5"/>
        <v>0</v>
      </c>
    </row>
    <row r="81" spans="1:19">
      <c r="A81" s="150"/>
      <c r="B81" s="54"/>
      <c r="C81" s="21">
        <f t="shared" si="6"/>
        <v>1</v>
      </c>
      <c r="D81" s="667"/>
      <c r="E81" s="21">
        <f t="shared" si="7"/>
        <v>1</v>
      </c>
      <c r="F81" s="667"/>
      <c r="G81" s="21">
        <f t="shared" si="8"/>
        <v>1</v>
      </c>
      <c r="H81" s="667"/>
      <c r="I81" s="21">
        <f t="shared" si="9"/>
        <v>1</v>
      </c>
      <c r="J81" s="667"/>
      <c r="K81" s="21">
        <f t="shared" si="10"/>
        <v>1</v>
      </c>
      <c r="L81" s="667"/>
      <c r="M81" s="21">
        <f t="shared" si="11"/>
        <v>1</v>
      </c>
      <c r="N81" s="667"/>
      <c r="O81" s="21">
        <f t="shared" si="12"/>
        <v>1</v>
      </c>
      <c r="P81" s="667"/>
      <c r="Q81" s="21">
        <f t="shared" si="13"/>
        <v>0</v>
      </c>
      <c r="R81" s="663">
        <f t="shared" si="14"/>
        <v>0</v>
      </c>
      <c r="S81" s="316">
        <f t="shared" si="5"/>
        <v>0</v>
      </c>
    </row>
    <row r="82" spans="1:19">
      <c r="A82" s="150"/>
      <c r="B82" s="54"/>
      <c r="C82" s="21">
        <f t="shared" si="6"/>
        <v>1</v>
      </c>
      <c r="D82" s="667"/>
      <c r="E82" s="21">
        <f t="shared" si="7"/>
        <v>1</v>
      </c>
      <c r="F82" s="667"/>
      <c r="G82" s="21">
        <f t="shared" si="8"/>
        <v>1</v>
      </c>
      <c r="H82" s="667"/>
      <c r="I82" s="21">
        <f t="shared" si="9"/>
        <v>1</v>
      </c>
      <c r="J82" s="667"/>
      <c r="K82" s="21">
        <f t="shared" si="10"/>
        <v>1</v>
      </c>
      <c r="L82" s="667"/>
      <c r="M82" s="21">
        <f t="shared" si="11"/>
        <v>1</v>
      </c>
      <c r="N82" s="667"/>
      <c r="O82" s="21">
        <f t="shared" si="12"/>
        <v>1</v>
      </c>
      <c r="P82" s="667"/>
      <c r="Q82" s="21">
        <f t="shared" si="13"/>
        <v>0</v>
      </c>
      <c r="R82" s="663">
        <f t="shared" si="14"/>
        <v>0</v>
      </c>
      <c r="S82" s="316">
        <f t="shared" si="5"/>
        <v>0</v>
      </c>
    </row>
    <row r="83" spans="1:19">
      <c r="A83" s="150"/>
      <c r="B83" s="54"/>
      <c r="C83" s="21">
        <f t="shared" si="6"/>
        <v>1</v>
      </c>
      <c r="D83" s="667"/>
      <c r="E83" s="21">
        <f t="shared" si="7"/>
        <v>1</v>
      </c>
      <c r="F83" s="667"/>
      <c r="G83" s="21">
        <f t="shared" si="8"/>
        <v>1</v>
      </c>
      <c r="H83" s="667"/>
      <c r="I83" s="21">
        <f t="shared" si="9"/>
        <v>1</v>
      </c>
      <c r="J83" s="667"/>
      <c r="K83" s="21">
        <f t="shared" si="10"/>
        <v>1</v>
      </c>
      <c r="L83" s="667"/>
      <c r="M83" s="21">
        <f t="shared" si="11"/>
        <v>1</v>
      </c>
      <c r="N83" s="667"/>
      <c r="O83" s="21">
        <f t="shared" si="12"/>
        <v>1</v>
      </c>
      <c r="P83" s="667"/>
      <c r="Q83" s="21">
        <f t="shared" si="13"/>
        <v>0</v>
      </c>
      <c r="R83" s="663">
        <f t="shared" si="14"/>
        <v>0</v>
      </c>
      <c r="S83" s="316">
        <f t="shared" si="5"/>
        <v>0</v>
      </c>
    </row>
    <row r="84" spans="1:19">
      <c r="A84" s="150"/>
      <c r="B84" s="54"/>
      <c r="C84" s="21">
        <f t="shared" si="6"/>
        <v>1</v>
      </c>
      <c r="D84" s="667"/>
      <c r="E84" s="21">
        <f t="shared" si="7"/>
        <v>1</v>
      </c>
      <c r="F84" s="667"/>
      <c r="G84" s="21">
        <f t="shared" si="8"/>
        <v>1</v>
      </c>
      <c r="H84" s="667"/>
      <c r="I84" s="21">
        <f t="shared" si="9"/>
        <v>1</v>
      </c>
      <c r="J84" s="667"/>
      <c r="K84" s="21">
        <f t="shared" si="10"/>
        <v>1</v>
      </c>
      <c r="L84" s="667"/>
      <c r="M84" s="21">
        <f t="shared" si="11"/>
        <v>1</v>
      </c>
      <c r="N84" s="667"/>
      <c r="O84" s="21">
        <f t="shared" si="12"/>
        <v>1</v>
      </c>
      <c r="P84" s="667"/>
      <c r="Q84" s="21">
        <f t="shared" si="13"/>
        <v>0</v>
      </c>
      <c r="R84" s="663">
        <f t="shared" si="14"/>
        <v>0</v>
      </c>
      <c r="S84" s="316">
        <f t="shared" si="5"/>
        <v>0</v>
      </c>
    </row>
    <row r="85" spans="1:19">
      <c r="A85" s="150"/>
      <c r="B85" s="54"/>
      <c r="C85" s="21">
        <f t="shared" si="6"/>
        <v>1</v>
      </c>
      <c r="D85" s="667"/>
      <c r="E85" s="21">
        <f t="shared" si="7"/>
        <v>1</v>
      </c>
      <c r="F85" s="667"/>
      <c r="G85" s="21">
        <f t="shared" si="8"/>
        <v>1</v>
      </c>
      <c r="H85" s="667"/>
      <c r="I85" s="21">
        <f t="shared" si="9"/>
        <v>1</v>
      </c>
      <c r="J85" s="667"/>
      <c r="K85" s="21">
        <f t="shared" si="10"/>
        <v>1</v>
      </c>
      <c r="L85" s="667"/>
      <c r="M85" s="21">
        <f t="shared" si="11"/>
        <v>1</v>
      </c>
      <c r="N85" s="667"/>
      <c r="O85" s="21">
        <f t="shared" si="12"/>
        <v>1</v>
      </c>
      <c r="P85" s="667"/>
      <c r="Q85" s="21">
        <f t="shared" si="13"/>
        <v>0</v>
      </c>
      <c r="R85" s="663">
        <f t="shared" si="14"/>
        <v>0</v>
      </c>
      <c r="S85" s="316">
        <f t="shared" si="5"/>
        <v>0</v>
      </c>
    </row>
    <row r="86" spans="1:19">
      <c r="A86" s="150"/>
      <c r="B86" s="54"/>
      <c r="C86" s="21">
        <f t="shared" si="6"/>
        <v>1</v>
      </c>
      <c r="D86" s="667"/>
      <c r="E86" s="21">
        <f t="shared" si="7"/>
        <v>1</v>
      </c>
      <c r="F86" s="667"/>
      <c r="G86" s="21">
        <f t="shared" si="8"/>
        <v>1</v>
      </c>
      <c r="H86" s="667"/>
      <c r="I86" s="21">
        <f t="shared" si="9"/>
        <v>1</v>
      </c>
      <c r="J86" s="667"/>
      <c r="K86" s="21">
        <f t="shared" si="10"/>
        <v>1</v>
      </c>
      <c r="L86" s="667"/>
      <c r="M86" s="21">
        <f t="shared" si="11"/>
        <v>1</v>
      </c>
      <c r="N86" s="667"/>
      <c r="O86" s="21">
        <f t="shared" si="12"/>
        <v>1</v>
      </c>
      <c r="P86" s="667"/>
      <c r="Q86" s="21">
        <f t="shared" si="13"/>
        <v>0</v>
      </c>
      <c r="R86" s="663">
        <f t="shared" si="14"/>
        <v>0</v>
      </c>
      <c r="S86" s="316">
        <f t="shared" si="5"/>
        <v>0</v>
      </c>
    </row>
    <row r="87" spans="1:19">
      <c r="A87" s="150"/>
      <c r="B87" s="54"/>
      <c r="C87" s="21">
        <f t="shared" si="6"/>
        <v>1</v>
      </c>
      <c r="D87" s="667"/>
      <c r="E87" s="21">
        <f t="shared" si="7"/>
        <v>1</v>
      </c>
      <c r="F87" s="667"/>
      <c r="G87" s="21">
        <f t="shared" si="8"/>
        <v>1</v>
      </c>
      <c r="H87" s="667"/>
      <c r="I87" s="21">
        <f t="shared" si="9"/>
        <v>1</v>
      </c>
      <c r="J87" s="667"/>
      <c r="K87" s="21">
        <f t="shared" si="10"/>
        <v>1</v>
      </c>
      <c r="L87" s="667"/>
      <c r="M87" s="21">
        <f t="shared" si="11"/>
        <v>1</v>
      </c>
      <c r="N87" s="667"/>
      <c r="O87" s="21">
        <f t="shared" si="12"/>
        <v>1</v>
      </c>
      <c r="P87" s="667"/>
      <c r="Q87" s="21">
        <f t="shared" si="13"/>
        <v>0</v>
      </c>
      <c r="R87" s="663">
        <f t="shared" si="14"/>
        <v>0</v>
      </c>
      <c r="S87" s="316">
        <f t="shared" si="5"/>
        <v>0</v>
      </c>
    </row>
    <row r="88" spans="1:19">
      <c r="A88" s="150"/>
      <c r="B88" s="54"/>
      <c r="C88" s="21">
        <f t="shared" si="6"/>
        <v>1</v>
      </c>
      <c r="D88" s="667"/>
      <c r="E88" s="21">
        <f t="shared" si="7"/>
        <v>1</v>
      </c>
      <c r="F88" s="667"/>
      <c r="G88" s="21">
        <f t="shared" si="8"/>
        <v>1</v>
      </c>
      <c r="H88" s="667"/>
      <c r="I88" s="21">
        <f t="shared" si="9"/>
        <v>1</v>
      </c>
      <c r="J88" s="667"/>
      <c r="K88" s="21">
        <f t="shared" si="10"/>
        <v>1</v>
      </c>
      <c r="L88" s="667"/>
      <c r="M88" s="21">
        <f t="shared" si="11"/>
        <v>1</v>
      </c>
      <c r="N88" s="667"/>
      <c r="O88" s="21">
        <f t="shared" si="12"/>
        <v>1</v>
      </c>
      <c r="P88" s="667"/>
      <c r="Q88" s="21">
        <f t="shared" si="13"/>
        <v>0</v>
      </c>
      <c r="R88" s="663">
        <f t="shared" si="14"/>
        <v>0</v>
      </c>
      <c r="S88" s="316">
        <f t="shared" ref="S88:S151" si="15">ROUND(R88*B88/10000,0)</f>
        <v>0</v>
      </c>
    </row>
    <row r="89" spans="1:19">
      <c r="A89" s="150"/>
      <c r="B89" s="54"/>
      <c r="C89" s="21">
        <f t="shared" si="6"/>
        <v>1</v>
      </c>
      <c r="D89" s="667"/>
      <c r="E89" s="21">
        <f t="shared" si="7"/>
        <v>1</v>
      </c>
      <c r="F89" s="667"/>
      <c r="G89" s="21">
        <f t="shared" si="8"/>
        <v>1</v>
      </c>
      <c r="H89" s="667"/>
      <c r="I89" s="21">
        <f t="shared" si="9"/>
        <v>1</v>
      </c>
      <c r="J89" s="667"/>
      <c r="K89" s="21">
        <f t="shared" si="10"/>
        <v>1</v>
      </c>
      <c r="L89" s="667"/>
      <c r="M89" s="21">
        <f t="shared" si="11"/>
        <v>1</v>
      </c>
      <c r="N89" s="667"/>
      <c r="O89" s="21">
        <f t="shared" si="12"/>
        <v>1</v>
      </c>
      <c r="P89" s="667"/>
      <c r="Q89" s="21">
        <f t="shared" si="13"/>
        <v>0</v>
      </c>
      <c r="R89" s="663">
        <f t="shared" si="14"/>
        <v>0</v>
      </c>
      <c r="S89" s="316">
        <f t="shared" si="15"/>
        <v>0</v>
      </c>
    </row>
    <row r="90" spans="1:19">
      <c r="A90" s="150"/>
      <c r="B90" s="54"/>
      <c r="C90" s="21">
        <f t="shared" ref="C90:C153" si="16">IF(B90="",1,(LOOKUP(B90,$3:$3,$4:$4)-LOOKUP($B$24,$3:$3,$4:$4)+100)/100)</f>
        <v>1</v>
      </c>
      <c r="D90" s="667"/>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667"/>
      <c r="Q90" s="21">
        <f t="shared" ref="Q90:Q153" si="23">(SUMIF($17:$17,P90,$18:$18)-SUMIF($17:$17,$P$24,$18:$18)+100)/100</f>
        <v>0</v>
      </c>
      <c r="R90" s="663">
        <f t="shared" ref="R90:R153" si="24">IF(B90="",0,ROUND($R$24*C90*E90*G90*I90*K90*M90*O90*Q90,0))</f>
        <v>0</v>
      </c>
      <c r="S90" s="316">
        <f t="shared" si="15"/>
        <v>0</v>
      </c>
    </row>
    <row r="91" spans="1:19">
      <c r="A91" s="150"/>
      <c r="B91" s="54"/>
      <c r="C91" s="21">
        <f t="shared" si="16"/>
        <v>1</v>
      </c>
      <c r="D91" s="667"/>
      <c r="E91" s="21">
        <f t="shared" si="17"/>
        <v>1</v>
      </c>
      <c r="F91" s="667"/>
      <c r="G91" s="21">
        <f t="shared" si="18"/>
        <v>1</v>
      </c>
      <c r="H91" s="667"/>
      <c r="I91" s="21">
        <f t="shared" si="19"/>
        <v>1</v>
      </c>
      <c r="J91" s="667"/>
      <c r="K91" s="21">
        <f t="shared" si="20"/>
        <v>1</v>
      </c>
      <c r="L91" s="667"/>
      <c r="M91" s="21">
        <f t="shared" si="21"/>
        <v>1</v>
      </c>
      <c r="N91" s="667"/>
      <c r="O91" s="21">
        <f t="shared" si="22"/>
        <v>1</v>
      </c>
      <c r="P91" s="667"/>
      <c r="Q91" s="21">
        <f t="shared" si="23"/>
        <v>0</v>
      </c>
      <c r="R91" s="663">
        <f t="shared" si="24"/>
        <v>0</v>
      </c>
      <c r="S91" s="316">
        <f t="shared" si="15"/>
        <v>0</v>
      </c>
    </row>
    <row r="92" spans="1:19">
      <c r="A92" s="150"/>
      <c r="B92" s="54"/>
      <c r="C92" s="21">
        <f t="shared" si="16"/>
        <v>1</v>
      </c>
      <c r="D92" s="667"/>
      <c r="E92" s="21">
        <f t="shared" si="17"/>
        <v>1</v>
      </c>
      <c r="F92" s="667"/>
      <c r="G92" s="21">
        <f t="shared" si="18"/>
        <v>1</v>
      </c>
      <c r="H92" s="667"/>
      <c r="I92" s="21">
        <f t="shared" si="19"/>
        <v>1</v>
      </c>
      <c r="J92" s="667"/>
      <c r="K92" s="21">
        <f t="shared" si="20"/>
        <v>1</v>
      </c>
      <c r="L92" s="667"/>
      <c r="M92" s="21">
        <f t="shared" si="21"/>
        <v>1</v>
      </c>
      <c r="N92" s="667"/>
      <c r="O92" s="21">
        <f t="shared" si="22"/>
        <v>1</v>
      </c>
      <c r="P92" s="667"/>
      <c r="Q92" s="21">
        <f t="shared" si="23"/>
        <v>0</v>
      </c>
      <c r="R92" s="663">
        <f t="shared" si="24"/>
        <v>0</v>
      </c>
      <c r="S92" s="316">
        <f t="shared" si="15"/>
        <v>0</v>
      </c>
    </row>
    <row r="93" spans="1:19">
      <c r="A93" s="150"/>
      <c r="B93" s="54"/>
      <c r="C93" s="21">
        <f t="shared" si="16"/>
        <v>1</v>
      </c>
      <c r="D93" s="667"/>
      <c r="E93" s="21">
        <f t="shared" si="17"/>
        <v>1</v>
      </c>
      <c r="F93" s="667"/>
      <c r="G93" s="21">
        <f t="shared" si="18"/>
        <v>1</v>
      </c>
      <c r="H93" s="667"/>
      <c r="I93" s="21">
        <f t="shared" si="19"/>
        <v>1</v>
      </c>
      <c r="J93" s="667"/>
      <c r="K93" s="21">
        <f t="shared" si="20"/>
        <v>1</v>
      </c>
      <c r="L93" s="667"/>
      <c r="M93" s="21">
        <f t="shared" si="21"/>
        <v>1</v>
      </c>
      <c r="N93" s="667"/>
      <c r="O93" s="21">
        <f t="shared" si="22"/>
        <v>1</v>
      </c>
      <c r="P93" s="667"/>
      <c r="Q93" s="21">
        <f t="shared" si="23"/>
        <v>0</v>
      </c>
      <c r="R93" s="663">
        <f t="shared" si="24"/>
        <v>0</v>
      </c>
      <c r="S93" s="316">
        <f t="shared" si="15"/>
        <v>0</v>
      </c>
    </row>
    <row r="94" spans="1:19">
      <c r="A94" s="150"/>
      <c r="B94" s="54"/>
      <c r="C94" s="21">
        <f t="shared" si="16"/>
        <v>1</v>
      </c>
      <c r="D94" s="667"/>
      <c r="E94" s="21">
        <f t="shared" si="17"/>
        <v>1</v>
      </c>
      <c r="F94" s="667"/>
      <c r="G94" s="21">
        <f t="shared" si="18"/>
        <v>1</v>
      </c>
      <c r="H94" s="667"/>
      <c r="I94" s="21">
        <f t="shared" si="19"/>
        <v>1</v>
      </c>
      <c r="J94" s="667"/>
      <c r="K94" s="21">
        <f t="shared" si="20"/>
        <v>1</v>
      </c>
      <c r="L94" s="667"/>
      <c r="M94" s="21">
        <f t="shared" si="21"/>
        <v>1</v>
      </c>
      <c r="N94" s="667"/>
      <c r="O94" s="21">
        <f t="shared" si="22"/>
        <v>1</v>
      </c>
      <c r="P94" s="667"/>
      <c r="Q94" s="21">
        <f t="shared" si="23"/>
        <v>0</v>
      </c>
      <c r="R94" s="663">
        <f t="shared" si="24"/>
        <v>0</v>
      </c>
      <c r="S94" s="316">
        <f t="shared" si="15"/>
        <v>0</v>
      </c>
    </row>
    <row r="95" spans="1:19">
      <c r="A95" s="150"/>
      <c r="B95" s="54"/>
      <c r="C95" s="21">
        <f t="shared" si="16"/>
        <v>1</v>
      </c>
      <c r="D95" s="667"/>
      <c r="E95" s="21">
        <f t="shared" si="17"/>
        <v>1</v>
      </c>
      <c r="F95" s="667"/>
      <c r="G95" s="21">
        <f t="shared" si="18"/>
        <v>1</v>
      </c>
      <c r="H95" s="667"/>
      <c r="I95" s="21">
        <f t="shared" si="19"/>
        <v>1</v>
      </c>
      <c r="J95" s="667"/>
      <c r="K95" s="21">
        <f t="shared" si="20"/>
        <v>1</v>
      </c>
      <c r="L95" s="667"/>
      <c r="M95" s="21">
        <f t="shared" si="21"/>
        <v>1</v>
      </c>
      <c r="N95" s="667"/>
      <c r="O95" s="21">
        <f t="shared" si="22"/>
        <v>1</v>
      </c>
      <c r="P95" s="667"/>
      <c r="Q95" s="21">
        <f t="shared" si="23"/>
        <v>0</v>
      </c>
      <c r="R95" s="663">
        <f t="shared" si="24"/>
        <v>0</v>
      </c>
      <c r="S95" s="316">
        <f t="shared" si="15"/>
        <v>0</v>
      </c>
    </row>
    <row r="96" spans="1:19">
      <c r="A96" s="150"/>
      <c r="B96" s="54"/>
      <c r="C96" s="21">
        <f t="shared" si="16"/>
        <v>1</v>
      </c>
      <c r="D96" s="667"/>
      <c r="E96" s="21">
        <f t="shared" si="17"/>
        <v>1</v>
      </c>
      <c r="F96" s="667"/>
      <c r="G96" s="21">
        <f t="shared" si="18"/>
        <v>1</v>
      </c>
      <c r="H96" s="667"/>
      <c r="I96" s="21">
        <f t="shared" si="19"/>
        <v>1</v>
      </c>
      <c r="J96" s="667"/>
      <c r="K96" s="21">
        <f t="shared" si="20"/>
        <v>1</v>
      </c>
      <c r="L96" s="667"/>
      <c r="M96" s="21">
        <f t="shared" si="21"/>
        <v>1</v>
      </c>
      <c r="N96" s="667"/>
      <c r="O96" s="21">
        <f t="shared" si="22"/>
        <v>1</v>
      </c>
      <c r="P96" s="667"/>
      <c r="Q96" s="21">
        <f t="shared" si="23"/>
        <v>0</v>
      </c>
      <c r="R96" s="663">
        <f t="shared" si="24"/>
        <v>0</v>
      </c>
      <c r="S96" s="316">
        <f t="shared" si="15"/>
        <v>0</v>
      </c>
    </row>
    <row r="97" spans="1:19">
      <c r="A97" s="150"/>
      <c r="B97" s="54"/>
      <c r="C97" s="21">
        <f t="shared" si="16"/>
        <v>1</v>
      </c>
      <c r="D97" s="667"/>
      <c r="E97" s="21">
        <f t="shared" si="17"/>
        <v>1</v>
      </c>
      <c r="F97" s="667"/>
      <c r="G97" s="21">
        <f t="shared" si="18"/>
        <v>1</v>
      </c>
      <c r="H97" s="667"/>
      <c r="I97" s="21">
        <f t="shared" si="19"/>
        <v>1</v>
      </c>
      <c r="J97" s="667"/>
      <c r="K97" s="21">
        <f t="shared" si="20"/>
        <v>1</v>
      </c>
      <c r="L97" s="667"/>
      <c r="M97" s="21">
        <f t="shared" si="21"/>
        <v>1</v>
      </c>
      <c r="N97" s="667"/>
      <c r="O97" s="21">
        <f t="shared" si="22"/>
        <v>1</v>
      </c>
      <c r="P97" s="667"/>
      <c r="Q97" s="21">
        <f t="shared" si="23"/>
        <v>0</v>
      </c>
      <c r="R97" s="663">
        <f t="shared" si="24"/>
        <v>0</v>
      </c>
      <c r="S97" s="316">
        <f t="shared" si="15"/>
        <v>0</v>
      </c>
    </row>
    <row r="98" spans="1:19">
      <c r="A98" s="150"/>
      <c r="B98" s="54"/>
      <c r="C98" s="21">
        <f t="shared" si="16"/>
        <v>1</v>
      </c>
      <c r="D98" s="667"/>
      <c r="E98" s="21">
        <f t="shared" si="17"/>
        <v>1</v>
      </c>
      <c r="F98" s="667"/>
      <c r="G98" s="21">
        <f t="shared" si="18"/>
        <v>1</v>
      </c>
      <c r="H98" s="667"/>
      <c r="I98" s="21">
        <f t="shared" si="19"/>
        <v>1</v>
      </c>
      <c r="J98" s="667"/>
      <c r="K98" s="21">
        <f t="shared" si="20"/>
        <v>1</v>
      </c>
      <c r="L98" s="667"/>
      <c r="M98" s="21">
        <f t="shared" si="21"/>
        <v>1</v>
      </c>
      <c r="N98" s="667"/>
      <c r="O98" s="21">
        <f t="shared" si="22"/>
        <v>1</v>
      </c>
      <c r="P98" s="667"/>
      <c r="Q98" s="21">
        <f t="shared" si="23"/>
        <v>0</v>
      </c>
      <c r="R98" s="663">
        <f t="shared" si="24"/>
        <v>0</v>
      </c>
      <c r="S98" s="316">
        <f t="shared" si="15"/>
        <v>0</v>
      </c>
    </row>
    <row r="99" spans="1:19">
      <c r="A99" s="150"/>
      <c r="B99" s="54"/>
      <c r="C99" s="21">
        <f t="shared" si="16"/>
        <v>1</v>
      </c>
      <c r="D99" s="667"/>
      <c r="E99" s="21">
        <f t="shared" si="17"/>
        <v>1</v>
      </c>
      <c r="F99" s="667"/>
      <c r="G99" s="21">
        <f t="shared" si="18"/>
        <v>1</v>
      </c>
      <c r="H99" s="667"/>
      <c r="I99" s="21">
        <f t="shared" si="19"/>
        <v>1</v>
      </c>
      <c r="J99" s="667"/>
      <c r="K99" s="21">
        <f t="shared" si="20"/>
        <v>1</v>
      </c>
      <c r="L99" s="667"/>
      <c r="M99" s="21">
        <f t="shared" si="21"/>
        <v>1</v>
      </c>
      <c r="N99" s="667"/>
      <c r="O99" s="21">
        <f t="shared" si="22"/>
        <v>1</v>
      </c>
      <c r="P99" s="667"/>
      <c r="Q99" s="21">
        <f t="shared" si="23"/>
        <v>0</v>
      </c>
      <c r="R99" s="663">
        <f t="shared" si="24"/>
        <v>0</v>
      </c>
      <c r="S99" s="316">
        <f t="shared" si="15"/>
        <v>0</v>
      </c>
    </row>
    <row r="100" spans="1:19">
      <c r="A100" s="150"/>
      <c r="B100" s="54"/>
      <c r="C100" s="21">
        <f t="shared" si="16"/>
        <v>1</v>
      </c>
      <c r="D100" s="667"/>
      <c r="E100" s="21">
        <f t="shared" si="17"/>
        <v>1</v>
      </c>
      <c r="F100" s="667"/>
      <c r="G100" s="21">
        <f t="shared" si="18"/>
        <v>1</v>
      </c>
      <c r="H100" s="667"/>
      <c r="I100" s="21">
        <f t="shared" si="19"/>
        <v>1</v>
      </c>
      <c r="J100" s="667"/>
      <c r="K100" s="21">
        <f t="shared" si="20"/>
        <v>1</v>
      </c>
      <c r="L100" s="667"/>
      <c r="M100" s="21">
        <f t="shared" si="21"/>
        <v>1</v>
      </c>
      <c r="N100" s="667"/>
      <c r="O100" s="21">
        <f t="shared" si="22"/>
        <v>1</v>
      </c>
      <c r="P100" s="667"/>
      <c r="Q100" s="21">
        <f t="shared" si="23"/>
        <v>0</v>
      </c>
      <c r="R100" s="663">
        <f t="shared" si="24"/>
        <v>0</v>
      </c>
      <c r="S100" s="316">
        <f t="shared" si="15"/>
        <v>0</v>
      </c>
    </row>
    <row r="101" spans="1:19">
      <c r="A101" s="150"/>
      <c r="B101" s="54"/>
      <c r="C101" s="21">
        <f t="shared" si="16"/>
        <v>1</v>
      </c>
      <c r="D101" s="667"/>
      <c r="E101" s="21">
        <f t="shared" si="17"/>
        <v>1</v>
      </c>
      <c r="F101" s="667"/>
      <c r="G101" s="21">
        <f t="shared" si="18"/>
        <v>1</v>
      </c>
      <c r="H101" s="667"/>
      <c r="I101" s="21">
        <f t="shared" si="19"/>
        <v>1</v>
      </c>
      <c r="J101" s="667"/>
      <c r="K101" s="21">
        <f t="shared" si="20"/>
        <v>1</v>
      </c>
      <c r="L101" s="667"/>
      <c r="M101" s="21">
        <f t="shared" si="21"/>
        <v>1</v>
      </c>
      <c r="N101" s="667"/>
      <c r="O101" s="21">
        <f t="shared" si="22"/>
        <v>1</v>
      </c>
      <c r="P101" s="667"/>
      <c r="Q101" s="21">
        <f t="shared" si="23"/>
        <v>0</v>
      </c>
      <c r="R101" s="663">
        <f t="shared" si="24"/>
        <v>0</v>
      </c>
      <c r="S101" s="316">
        <f t="shared" si="15"/>
        <v>0</v>
      </c>
    </row>
    <row r="102" spans="1:19">
      <c r="A102" s="150"/>
      <c r="B102" s="54"/>
      <c r="C102" s="21">
        <f t="shared" si="16"/>
        <v>1</v>
      </c>
      <c r="D102" s="667"/>
      <c r="E102" s="21">
        <f t="shared" si="17"/>
        <v>1</v>
      </c>
      <c r="F102" s="667"/>
      <c r="G102" s="21">
        <f t="shared" si="18"/>
        <v>1</v>
      </c>
      <c r="H102" s="667"/>
      <c r="I102" s="21">
        <f t="shared" si="19"/>
        <v>1</v>
      </c>
      <c r="J102" s="667"/>
      <c r="K102" s="21">
        <f t="shared" si="20"/>
        <v>1</v>
      </c>
      <c r="L102" s="667"/>
      <c r="M102" s="21">
        <f t="shared" si="21"/>
        <v>1</v>
      </c>
      <c r="N102" s="667"/>
      <c r="O102" s="21">
        <f t="shared" si="22"/>
        <v>1</v>
      </c>
      <c r="P102" s="667"/>
      <c r="Q102" s="21">
        <f t="shared" si="23"/>
        <v>0</v>
      </c>
      <c r="R102" s="663">
        <f t="shared" si="24"/>
        <v>0</v>
      </c>
      <c r="S102" s="316">
        <f t="shared" si="15"/>
        <v>0</v>
      </c>
    </row>
    <row r="103" spans="1:19">
      <c r="A103" s="150"/>
      <c r="B103" s="54"/>
      <c r="C103" s="21">
        <f t="shared" si="16"/>
        <v>1</v>
      </c>
      <c r="D103" s="667"/>
      <c r="E103" s="21">
        <f t="shared" si="17"/>
        <v>1</v>
      </c>
      <c r="F103" s="667"/>
      <c r="G103" s="21">
        <f t="shared" si="18"/>
        <v>1</v>
      </c>
      <c r="H103" s="667"/>
      <c r="I103" s="21">
        <f t="shared" si="19"/>
        <v>1</v>
      </c>
      <c r="J103" s="667"/>
      <c r="K103" s="21">
        <f t="shared" si="20"/>
        <v>1</v>
      </c>
      <c r="L103" s="667"/>
      <c r="M103" s="21">
        <f t="shared" si="21"/>
        <v>1</v>
      </c>
      <c r="N103" s="667"/>
      <c r="O103" s="21">
        <f t="shared" si="22"/>
        <v>1</v>
      </c>
      <c r="P103" s="667"/>
      <c r="Q103" s="21">
        <f t="shared" si="23"/>
        <v>0</v>
      </c>
      <c r="R103" s="663">
        <f t="shared" si="24"/>
        <v>0</v>
      </c>
      <c r="S103" s="316">
        <f t="shared" si="15"/>
        <v>0</v>
      </c>
    </row>
    <row r="104" spans="1:19">
      <c r="A104" s="150"/>
      <c r="B104" s="54"/>
      <c r="C104" s="21">
        <f t="shared" si="16"/>
        <v>1</v>
      </c>
      <c r="D104" s="667"/>
      <c r="E104" s="21">
        <f t="shared" si="17"/>
        <v>1</v>
      </c>
      <c r="F104" s="667"/>
      <c r="G104" s="21">
        <f t="shared" si="18"/>
        <v>1</v>
      </c>
      <c r="H104" s="667"/>
      <c r="I104" s="21">
        <f t="shared" si="19"/>
        <v>1</v>
      </c>
      <c r="J104" s="667"/>
      <c r="K104" s="21">
        <f t="shared" si="20"/>
        <v>1</v>
      </c>
      <c r="L104" s="667"/>
      <c r="M104" s="21">
        <f t="shared" si="21"/>
        <v>1</v>
      </c>
      <c r="N104" s="667"/>
      <c r="O104" s="21">
        <f t="shared" si="22"/>
        <v>1</v>
      </c>
      <c r="P104" s="667"/>
      <c r="Q104" s="21">
        <f t="shared" si="23"/>
        <v>0</v>
      </c>
      <c r="R104" s="663">
        <f t="shared" si="24"/>
        <v>0</v>
      </c>
      <c r="S104" s="316">
        <f t="shared" si="15"/>
        <v>0</v>
      </c>
    </row>
    <row r="105" spans="1:19">
      <c r="A105" s="150"/>
      <c r="B105" s="54"/>
      <c r="C105" s="21">
        <f t="shared" si="16"/>
        <v>1</v>
      </c>
      <c r="D105" s="667"/>
      <c r="E105" s="21">
        <f t="shared" si="17"/>
        <v>1</v>
      </c>
      <c r="F105" s="667"/>
      <c r="G105" s="21">
        <f t="shared" si="18"/>
        <v>1</v>
      </c>
      <c r="H105" s="667"/>
      <c r="I105" s="21">
        <f t="shared" si="19"/>
        <v>1</v>
      </c>
      <c r="J105" s="667"/>
      <c r="K105" s="21">
        <f t="shared" si="20"/>
        <v>1</v>
      </c>
      <c r="L105" s="667"/>
      <c r="M105" s="21">
        <f t="shared" si="21"/>
        <v>1</v>
      </c>
      <c r="N105" s="667"/>
      <c r="O105" s="21">
        <f t="shared" si="22"/>
        <v>1</v>
      </c>
      <c r="P105" s="667"/>
      <c r="Q105" s="21">
        <f t="shared" si="23"/>
        <v>0</v>
      </c>
      <c r="R105" s="663">
        <f t="shared" si="24"/>
        <v>0</v>
      </c>
      <c r="S105" s="316">
        <f t="shared" si="15"/>
        <v>0</v>
      </c>
    </row>
    <row r="106" spans="1:19">
      <c r="A106" s="150"/>
      <c r="B106" s="54"/>
      <c r="C106" s="21">
        <f t="shared" si="16"/>
        <v>1</v>
      </c>
      <c r="D106" s="667"/>
      <c r="E106" s="21">
        <f t="shared" si="17"/>
        <v>1</v>
      </c>
      <c r="F106" s="667"/>
      <c r="G106" s="21">
        <f t="shared" si="18"/>
        <v>1</v>
      </c>
      <c r="H106" s="667"/>
      <c r="I106" s="21">
        <f t="shared" si="19"/>
        <v>1</v>
      </c>
      <c r="J106" s="667"/>
      <c r="K106" s="21">
        <f t="shared" si="20"/>
        <v>1</v>
      </c>
      <c r="L106" s="667"/>
      <c r="M106" s="21">
        <f t="shared" si="21"/>
        <v>1</v>
      </c>
      <c r="N106" s="667"/>
      <c r="O106" s="21">
        <f t="shared" si="22"/>
        <v>1</v>
      </c>
      <c r="P106" s="667"/>
      <c r="Q106" s="21">
        <f t="shared" si="23"/>
        <v>0</v>
      </c>
      <c r="R106" s="663">
        <f t="shared" si="24"/>
        <v>0</v>
      </c>
      <c r="S106" s="316">
        <f t="shared" si="15"/>
        <v>0</v>
      </c>
    </row>
    <row r="107" spans="1:19">
      <c r="A107" s="150"/>
      <c r="B107" s="54"/>
      <c r="C107" s="21">
        <f t="shared" si="16"/>
        <v>1</v>
      </c>
      <c r="D107" s="667"/>
      <c r="E107" s="21">
        <f t="shared" si="17"/>
        <v>1</v>
      </c>
      <c r="F107" s="667"/>
      <c r="G107" s="21">
        <f t="shared" si="18"/>
        <v>1</v>
      </c>
      <c r="H107" s="667"/>
      <c r="I107" s="21">
        <f t="shared" si="19"/>
        <v>1</v>
      </c>
      <c r="J107" s="667"/>
      <c r="K107" s="21">
        <f t="shared" si="20"/>
        <v>1</v>
      </c>
      <c r="L107" s="667"/>
      <c r="M107" s="21">
        <f t="shared" si="21"/>
        <v>1</v>
      </c>
      <c r="N107" s="667"/>
      <c r="O107" s="21">
        <f t="shared" si="22"/>
        <v>1</v>
      </c>
      <c r="P107" s="667"/>
      <c r="Q107" s="21">
        <f t="shared" si="23"/>
        <v>0</v>
      </c>
      <c r="R107" s="663">
        <f t="shared" si="24"/>
        <v>0</v>
      </c>
      <c r="S107" s="316">
        <f t="shared" si="15"/>
        <v>0</v>
      </c>
    </row>
    <row r="108" spans="1:19">
      <c r="A108" s="150"/>
      <c r="B108" s="54"/>
      <c r="C108" s="21">
        <f t="shared" si="16"/>
        <v>1</v>
      </c>
      <c r="D108" s="667"/>
      <c r="E108" s="21">
        <f t="shared" si="17"/>
        <v>1</v>
      </c>
      <c r="F108" s="667"/>
      <c r="G108" s="21">
        <f t="shared" si="18"/>
        <v>1</v>
      </c>
      <c r="H108" s="667"/>
      <c r="I108" s="21">
        <f t="shared" si="19"/>
        <v>1</v>
      </c>
      <c r="J108" s="667"/>
      <c r="K108" s="21">
        <f t="shared" si="20"/>
        <v>1</v>
      </c>
      <c r="L108" s="667"/>
      <c r="M108" s="21">
        <f t="shared" si="21"/>
        <v>1</v>
      </c>
      <c r="N108" s="667"/>
      <c r="O108" s="21">
        <f t="shared" si="22"/>
        <v>1</v>
      </c>
      <c r="P108" s="667"/>
      <c r="Q108" s="21">
        <f t="shared" si="23"/>
        <v>0</v>
      </c>
      <c r="R108" s="663">
        <f t="shared" si="24"/>
        <v>0</v>
      </c>
      <c r="S108" s="316">
        <f t="shared" si="15"/>
        <v>0</v>
      </c>
    </row>
    <row r="109" spans="1:19">
      <c r="A109" s="150"/>
      <c r="B109" s="54"/>
      <c r="C109" s="21">
        <f t="shared" si="16"/>
        <v>1</v>
      </c>
      <c r="D109" s="667"/>
      <c r="E109" s="21">
        <f t="shared" si="17"/>
        <v>1</v>
      </c>
      <c r="F109" s="667"/>
      <c r="G109" s="21">
        <f t="shared" si="18"/>
        <v>1</v>
      </c>
      <c r="H109" s="667"/>
      <c r="I109" s="21">
        <f t="shared" si="19"/>
        <v>1</v>
      </c>
      <c r="J109" s="667"/>
      <c r="K109" s="21">
        <f t="shared" si="20"/>
        <v>1</v>
      </c>
      <c r="L109" s="667"/>
      <c r="M109" s="21">
        <f t="shared" si="21"/>
        <v>1</v>
      </c>
      <c r="N109" s="667"/>
      <c r="O109" s="21">
        <f t="shared" si="22"/>
        <v>1</v>
      </c>
      <c r="P109" s="667"/>
      <c r="Q109" s="21">
        <f t="shared" si="23"/>
        <v>0</v>
      </c>
      <c r="R109" s="663">
        <f t="shared" si="24"/>
        <v>0</v>
      </c>
      <c r="S109" s="316">
        <f t="shared" si="15"/>
        <v>0</v>
      </c>
    </row>
    <row r="110" spans="1:19">
      <c r="A110" s="150"/>
      <c r="B110" s="54"/>
      <c r="C110" s="21">
        <f t="shared" si="16"/>
        <v>1</v>
      </c>
      <c r="D110" s="667"/>
      <c r="E110" s="21">
        <f t="shared" si="17"/>
        <v>1</v>
      </c>
      <c r="F110" s="667"/>
      <c r="G110" s="21">
        <f t="shared" si="18"/>
        <v>1</v>
      </c>
      <c r="H110" s="667"/>
      <c r="I110" s="21">
        <f t="shared" si="19"/>
        <v>1</v>
      </c>
      <c r="J110" s="667"/>
      <c r="K110" s="21">
        <f t="shared" si="20"/>
        <v>1</v>
      </c>
      <c r="L110" s="667"/>
      <c r="M110" s="21">
        <f t="shared" si="21"/>
        <v>1</v>
      </c>
      <c r="N110" s="667"/>
      <c r="O110" s="21">
        <f t="shared" si="22"/>
        <v>1</v>
      </c>
      <c r="P110" s="667"/>
      <c r="Q110" s="21">
        <f t="shared" si="23"/>
        <v>0</v>
      </c>
      <c r="R110" s="663">
        <f t="shared" si="24"/>
        <v>0</v>
      </c>
      <c r="S110" s="316">
        <f t="shared" si="15"/>
        <v>0</v>
      </c>
    </row>
    <row r="111" spans="1:19">
      <c r="A111" s="150"/>
      <c r="B111" s="54"/>
      <c r="C111" s="21">
        <f t="shared" si="16"/>
        <v>1</v>
      </c>
      <c r="D111" s="667"/>
      <c r="E111" s="21">
        <f t="shared" si="17"/>
        <v>1</v>
      </c>
      <c r="F111" s="667"/>
      <c r="G111" s="21">
        <f t="shared" si="18"/>
        <v>1</v>
      </c>
      <c r="H111" s="667"/>
      <c r="I111" s="21">
        <f t="shared" si="19"/>
        <v>1</v>
      </c>
      <c r="J111" s="667"/>
      <c r="K111" s="21">
        <f t="shared" si="20"/>
        <v>1</v>
      </c>
      <c r="L111" s="667"/>
      <c r="M111" s="21">
        <f t="shared" si="21"/>
        <v>1</v>
      </c>
      <c r="N111" s="667"/>
      <c r="O111" s="21">
        <f t="shared" si="22"/>
        <v>1</v>
      </c>
      <c r="P111" s="667"/>
      <c r="Q111" s="21">
        <f t="shared" si="23"/>
        <v>0</v>
      </c>
      <c r="R111" s="663">
        <f t="shared" si="24"/>
        <v>0</v>
      </c>
      <c r="S111" s="316">
        <f t="shared" si="15"/>
        <v>0</v>
      </c>
    </row>
    <row r="112" spans="1:19">
      <c r="A112" s="150"/>
      <c r="B112" s="54"/>
      <c r="C112" s="21">
        <f t="shared" si="16"/>
        <v>1</v>
      </c>
      <c r="D112" s="667"/>
      <c r="E112" s="21">
        <f t="shared" si="17"/>
        <v>1</v>
      </c>
      <c r="F112" s="667"/>
      <c r="G112" s="21">
        <f t="shared" si="18"/>
        <v>1</v>
      </c>
      <c r="H112" s="667"/>
      <c r="I112" s="21">
        <f t="shared" si="19"/>
        <v>1</v>
      </c>
      <c r="J112" s="667"/>
      <c r="K112" s="21">
        <f t="shared" si="20"/>
        <v>1</v>
      </c>
      <c r="L112" s="667"/>
      <c r="M112" s="21">
        <f t="shared" si="21"/>
        <v>1</v>
      </c>
      <c r="N112" s="667"/>
      <c r="O112" s="21">
        <f t="shared" si="22"/>
        <v>1</v>
      </c>
      <c r="P112" s="667"/>
      <c r="Q112" s="21">
        <f t="shared" si="23"/>
        <v>0</v>
      </c>
      <c r="R112" s="663">
        <f t="shared" si="24"/>
        <v>0</v>
      </c>
      <c r="S112" s="316">
        <f t="shared" si="15"/>
        <v>0</v>
      </c>
    </row>
    <row r="113" spans="1:19">
      <c r="A113" s="150"/>
      <c r="B113" s="54"/>
      <c r="C113" s="21">
        <f t="shared" si="16"/>
        <v>1</v>
      </c>
      <c r="D113" s="667"/>
      <c r="E113" s="21">
        <f t="shared" si="17"/>
        <v>1</v>
      </c>
      <c r="F113" s="667"/>
      <c r="G113" s="21">
        <f t="shared" si="18"/>
        <v>1</v>
      </c>
      <c r="H113" s="667"/>
      <c r="I113" s="21">
        <f t="shared" si="19"/>
        <v>1</v>
      </c>
      <c r="J113" s="667"/>
      <c r="K113" s="21">
        <f t="shared" si="20"/>
        <v>1</v>
      </c>
      <c r="L113" s="667"/>
      <c r="M113" s="21">
        <f t="shared" si="21"/>
        <v>1</v>
      </c>
      <c r="N113" s="667"/>
      <c r="O113" s="21">
        <f t="shared" si="22"/>
        <v>1</v>
      </c>
      <c r="P113" s="667"/>
      <c r="Q113" s="21">
        <f t="shared" si="23"/>
        <v>0</v>
      </c>
      <c r="R113" s="663">
        <f t="shared" si="24"/>
        <v>0</v>
      </c>
      <c r="S113" s="316">
        <f t="shared" si="15"/>
        <v>0</v>
      </c>
    </row>
    <row r="114" spans="1:19">
      <c r="A114" s="150"/>
      <c r="B114" s="54"/>
      <c r="C114" s="21">
        <f t="shared" si="16"/>
        <v>1</v>
      </c>
      <c r="D114" s="667"/>
      <c r="E114" s="21">
        <f t="shared" si="17"/>
        <v>1</v>
      </c>
      <c r="F114" s="667"/>
      <c r="G114" s="21">
        <f t="shared" si="18"/>
        <v>1</v>
      </c>
      <c r="H114" s="667"/>
      <c r="I114" s="21">
        <f t="shared" si="19"/>
        <v>1</v>
      </c>
      <c r="J114" s="667"/>
      <c r="K114" s="21">
        <f t="shared" si="20"/>
        <v>1</v>
      </c>
      <c r="L114" s="667"/>
      <c r="M114" s="21">
        <f t="shared" si="21"/>
        <v>1</v>
      </c>
      <c r="N114" s="667"/>
      <c r="O114" s="21">
        <f t="shared" si="22"/>
        <v>1</v>
      </c>
      <c r="P114" s="667"/>
      <c r="Q114" s="21">
        <f t="shared" si="23"/>
        <v>0</v>
      </c>
      <c r="R114" s="663">
        <f t="shared" si="24"/>
        <v>0</v>
      </c>
      <c r="S114" s="316">
        <f t="shared" si="15"/>
        <v>0</v>
      </c>
    </row>
    <row r="115" spans="1:19">
      <c r="A115" s="150"/>
      <c r="B115" s="54"/>
      <c r="C115" s="21">
        <f t="shared" si="16"/>
        <v>1</v>
      </c>
      <c r="D115" s="667"/>
      <c r="E115" s="21">
        <f t="shared" si="17"/>
        <v>1</v>
      </c>
      <c r="F115" s="667"/>
      <c r="G115" s="21">
        <f t="shared" si="18"/>
        <v>1</v>
      </c>
      <c r="H115" s="667"/>
      <c r="I115" s="21">
        <f t="shared" si="19"/>
        <v>1</v>
      </c>
      <c r="J115" s="667"/>
      <c r="K115" s="21">
        <f t="shared" si="20"/>
        <v>1</v>
      </c>
      <c r="L115" s="667"/>
      <c r="M115" s="21">
        <f t="shared" si="21"/>
        <v>1</v>
      </c>
      <c r="N115" s="667"/>
      <c r="O115" s="21">
        <f t="shared" si="22"/>
        <v>1</v>
      </c>
      <c r="P115" s="667"/>
      <c r="Q115" s="21">
        <f t="shared" si="23"/>
        <v>0</v>
      </c>
      <c r="R115" s="663">
        <f t="shared" si="24"/>
        <v>0</v>
      </c>
      <c r="S115" s="316">
        <f t="shared" si="15"/>
        <v>0</v>
      </c>
    </row>
    <row r="116" spans="1:19">
      <c r="A116" s="150"/>
      <c r="B116" s="54"/>
      <c r="C116" s="21">
        <f t="shared" si="16"/>
        <v>1</v>
      </c>
      <c r="D116" s="667"/>
      <c r="E116" s="21">
        <f t="shared" si="17"/>
        <v>1</v>
      </c>
      <c r="F116" s="667"/>
      <c r="G116" s="21">
        <f t="shared" si="18"/>
        <v>1</v>
      </c>
      <c r="H116" s="667"/>
      <c r="I116" s="21">
        <f t="shared" si="19"/>
        <v>1</v>
      </c>
      <c r="J116" s="667"/>
      <c r="K116" s="21">
        <f t="shared" si="20"/>
        <v>1</v>
      </c>
      <c r="L116" s="667"/>
      <c r="M116" s="21">
        <f t="shared" si="21"/>
        <v>1</v>
      </c>
      <c r="N116" s="667"/>
      <c r="O116" s="21">
        <f t="shared" si="22"/>
        <v>1</v>
      </c>
      <c r="P116" s="667"/>
      <c r="Q116" s="21">
        <f t="shared" si="23"/>
        <v>0</v>
      </c>
      <c r="R116" s="663">
        <f t="shared" si="24"/>
        <v>0</v>
      </c>
      <c r="S116" s="316">
        <f t="shared" si="15"/>
        <v>0</v>
      </c>
    </row>
    <row r="117" spans="1:19">
      <c r="A117" s="150"/>
      <c r="B117" s="54"/>
      <c r="C117" s="21">
        <f t="shared" si="16"/>
        <v>1</v>
      </c>
      <c r="D117" s="667"/>
      <c r="E117" s="21">
        <f t="shared" si="17"/>
        <v>1</v>
      </c>
      <c r="F117" s="667"/>
      <c r="G117" s="21">
        <f t="shared" si="18"/>
        <v>1</v>
      </c>
      <c r="H117" s="667"/>
      <c r="I117" s="21">
        <f t="shared" si="19"/>
        <v>1</v>
      </c>
      <c r="J117" s="667"/>
      <c r="K117" s="21">
        <f t="shared" si="20"/>
        <v>1</v>
      </c>
      <c r="L117" s="667"/>
      <c r="M117" s="21">
        <f t="shared" si="21"/>
        <v>1</v>
      </c>
      <c r="N117" s="667"/>
      <c r="O117" s="21">
        <f t="shared" si="22"/>
        <v>1</v>
      </c>
      <c r="P117" s="667"/>
      <c r="Q117" s="21">
        <f t="shared" si="23"/>
        <v>0</v>
      </c>
      <c r="R117" s="663">
        <f t="shared" si="24"/>
        <v>0</v>
      </c>
      <c r="S117" s="316">
        <f t="shared" si="15"/>
        <v>0</v>
      </c>
    </row>
    <row r="118" spans="1:19">
      <c r="A118" s="150"/>
      <c r="B118" s="54"/>
      <c r="C118" s="21">
        <f t="shared" si="16"/>
        <v>1</v>
      </c>
      <c r="D118" s="667"/>
      <c r="E118" s="21">
        <f t="shared" si="17"/>
        <v>1</v>
      </c>
      <c r="F118" s="667"/>
      <c r="G118" s="21">
        <f t="shared" si="18"/>
        <v>1</v>
      </c>
      <c r="H118" s="667"/>
      <c r="I118" s="21">
        <f t="shared" si="19"/>
        <v>1</v>
      </c>
      <c r="J118" s="667"/>
      <c r="K118" s="21">
        <f t="shared" si="20"/>
        <v>1</v>
      </c>
      <c r="L118" s="667"/>
      <c r="M118" s="21">
        <f t="shared" si="21"/>
        <v>1</v>
      </c>
      <c r="N118" s="667"/>
      <c r="O118" s="21">
        <f t="shared" si="22"/>
        <v>1</v>
      </c>
      <c r="P118" s="667"/>
      <c r="Q118" s="21">
        <f t="shared" si="23"/>
        <v>0</v>
      </c>
      <c r="R118" s="663">
        <f t="shared" si="24"/>
        <v>0</v>
      </c>
      <c r="S118" s="316">
        <f t="shared" si="15"/>
        <v>0</v>
      </c>
    </row>
    <row r="119" spans="1:19">
      <c r="A119" s="150"/>
      <c r="B119" s="54"/>
      <c r="C119" s="21">
        <f t="shared" si="16"/>
        <v>1</v>
      </c>
      <c r="D119" s="667"/>
      <c r="E119" s="21">
        <f t="shared" si="17"/>
        <v>1</v>
      </c>
      <c r="F119" s="667"/>
      <c r="G119" s="21">
        <f t="shared" si="18"/>
        <v>1</v>
      </c>
      <c r="H119" s="667"/>
      <c r="I119" s="21">
        <f t="shared" si="19"/>
        <v>1</v>
      </c>
      <c r="J119" s="667"/>
      <c r="K119" s="21">
        <f t="shared" si="20"/>
        <v>1</v>
      </c>
      <c r="L119" s="667"/>
      <c r="M119" s="21">
        <f t="shared" si="21"/>
        <v>1</v>
      </c>
      <c r="N119" s="667"/>
      <c r="O119" s="21">
        <f t="shared" si="22"/>
        <v>1</v>
      </c>
      <c r="P119" s="667"/>
      <c r="Q119" s="21">
        <f t="shared" si="23"/>
        <v>0</v>
      </c>
      <c r="R119" s="663">
        <f t="shared" si="24"/>
        <v>0</v>
      </c>
      <c r="S119" s="316">
        <f t="shared" si="15"/>
        <v>0</v>
      </c>
    </row>
    <row r="120" spans="1:19">
      <c r="A120" s="150"/>
      <c r="B120" s="54"/>
      <c r="C120" s="21">
        <f t="shared" si="16"/>
        <v>1</v>
      </c>
      <c r="D120" s="667"/>
      <c r="E120" s="21">
        <f t="shared" si="17"/>
        <v>1</v>
      </c>
      <c r="F120" s="667"/>
      <c r="G120" s="21">
        <f t="shared" si="18"/>
        <v>1</v>
      </c>
      <c r="H120" s="667"/>
      <c r="I120" s="21">
        <f t="shared" si="19"/>
        <v>1</v>
      </c>
      <c r="J120" s="667"/>
      <c r="K120" s="21">
        <f t="shared" si="20"/>
        <v>1</v>
      </c>
      <c r="L120" s="667"/>
      <c r="M120" s="21">
        <f t="shared" si="21"/>
        <v>1</v>
      </c>
      <c r="N120" s="667"/>
      <c r="O120" s="21">
        <f t="shared" si="22"/>
        <v>1</v>
      </c>
      <c r="P120" s="667"/>
      <c r="Q120" s="21">
        <f t="shared" si="23"/>
        <v>0</v>
      </c>
      <c r="R120" s="663">
        <f t="shared" si="24"/>
        <v>0</v>
      </c>
      <c r="S120" s="316">
        <f t="shared" si="15"/>
        <v>0</v>
      </c>
    </row>
    <row r="121" spans="1:19">
      <c r="A121" s="150"/>
      <c r="B121" s="54"/>
      <c r="C121" s="21">
        <f t="shared" si="16"/>
        <v>1</v>
      </c>
      <c r="D121" s="667"/>
      <c r="E121" s="21">
        <f t="shared" si="17"/>
        <v>1</v>
      </c>
      <c r="F121" s="667"/>
      <c r="G121" s="21">
        <f t="shared" si="18"/>
        <v>1</v>
      </c>
      <c r="H121" s="667"/>
      <c r="I121" s="21">
        <f t="shared" si="19"/>
        <v>1</v>
      </c>
      <c r="J121" s="667"/>
      <c r="K121" s="21">
        <f t="shared" si="20"/>
        <v>1</v>
      </c>
      <c r="L121" s="667"/>
      <c r="M121" s="21">
        <f t="shared" si="21"/>
        <v>1</v>
      </c>
      <c r="N121" s="667"/>
      <c r="O121" s="21">
        <f t="shared" si="22"/>
        <v>1</v>
      </c>
      <c r="P121" s="667"/>
      <c r="Q121" s="21">
        <f t="shared" si="23"/>
        <v>0</v>
      </c>
      <c r="R121" s="663">
        <f t="shared" si="24"/>
        <v>0</v>
      </c>
      <c r="S121" s="316">
        <f t="shared" si="15"/>
        <v>0</v>
      </c>
    </row>
    <row r="122" spans="1:19">
      <c r="A122" s="150"/>
      <c r="B122" s="54"/>
      <c r="C122" s="21">
        <f t="shared" si="16"/>
        <v>1</v>
      </c>
      <c r="D122" s="667"/>
      <c r="E122" s="21">
        <f t="shared" si="17"/>
        <v>1</v>
      </c>
      <c r="F122" s="667"/>
      <c r="G122" s="21">
        <f t="shared" si="18"/>
        <v>1</v>
      </c>
      <c r="H122" s="667"/>
      <c r="I122" s="21">
        <f t="shared" si="19"/>
        <v>1</v>
      </c>
      <c r="J122" s="667"/>
      <c r="K122" s="21">
        <f t="shared" si="20"/>
        <v>1</v>
      </c>
      <c r="L122" s="667"/>
      <c r="M122" s="21">
        <f t="shared" si="21"/>
        <v>1</v>
      </c>
      <c r="N122" s="667"/>
      <c r="O122" s="21">
        <f t="shared" si="22"/>
        <v>1</v>
      </c>
      <c r="P122" s="667"/>
      <c r="Q122" s="21">
        <f t="shared" si="23"/>
        <v>0</v>
      </c>
      <c r="R122" s="663">
        <f t="shared" si="24"/>
        <v>0</v>
      </c>
      <c r="S122" s="316">
        <f t="shared" si="15"/>
        <v>0</v>
      </c>
    </row>
    <row r="123" spans="1:19">
      <c r="A123" s="150"/>
      <c r="B123" s="54"/>
      <c r="C123" s="21">
        <f t="shared" si="16"/>
        <v>1</v>
      </c>
      <c r="D123" s="667"/>
      <c r="E123" s="21">
        <f t="shared" si="17"/>
        <v>1</v>
      </c>
      <c r="F123" s="667"/>
      <c r="G123" s="21">
        <f t="shared" si="18"/>
        <v>1</v>
      </c>
      <c r="H123" s="667"/>
      <c r="I123" s="21">
        <f t="shared" si="19"/>
        <v>1</v>
      </c>
      <c r="J123" s="667"/>
      <c r="K123" s="21">
        <f t="shared" si="20"/>
        <v>1</v>
      </c>
      <c r="L123" s="667"/>
      <c r="M123" s="21">
        <f t="shared" si="21"/>
        <v>1</v>
      </c>
      <c r="N123" s="667"/>
      <c r="O123" s="21">
        <f t="shared" si="22"/>
        <v>1</v>
      </c>
      <c r="P123" s="667"/>
      <c r="Q123" s="21">
        <f t="shared" si="23"/>
        <v>0</v>
      </c>
      <c r="R123" s="663">
        <f t="shared" si="24"/>
        <v>0</v>
      </c>
      <c r="S123" s="316">
        <f t="shared" si="15"/>
        <v>0</v>
      </c>
    </row>
    <row r="124" spans="1:19">
      <c r="A124" s="150"/>
      <c r="B124" s="54"/>
      <c r="C124" s="21">
        <f t="shared" si="16"/>
        <v>1</v>
      </c>
      <c r="D124" s="667"/>
      <c r="E124" s="21">
        <f t="shared" si="17"/>
        <v>1</v>
      </c>
      <c r="F124" s="667"/>
      <c r="G124" s="21">
        <f t="shared" si="18"/>
        <v>1</v>
      </c>
      <c r="H124" s="667"/>
      <c r="I124" s="21">
        <f t="shared" si="19"/>
        <v>1</v>
      </c>
      <c r="J124" s="667"/>
      <c r="K124" s="21">
        <f t="shared" si="20"/>
        <v>1</v>
      </c>
      <c r="L124" s="667"/>
      <c r="M124" s="21">
        <f t="shared" si="21"/>
        <v>1</v>
      </c>
      <c r="N124" s="667"/>
      <c r="O124" s="21">
        <f t="shared" si="22"/>
        <v>1</v>
      </c>
      <c r="P124" s="667"/>
      <c r="Q124" s="21">
        <f t="shared" si="23"/>
        <v>0</v>
      </c>
      <c r="R124" s="663">
        <f t="shared" si="24"/>
        <v>0</v>
      </c>
      <c r="S124" s="316">
        <f t="shared" si="15"/>
        <v>0</v>
      </c>
    </row>
    <row r="125" spans="1:19">
      <c r="A125" s="150"/>
      <c r="B125" s="54"/>
      <c r="C125" s="21">
        <f t="shared" si="16"/>
        <v>1</v>
      </c>
      <c r="D125" s="667"/>
      <c r="E125" s="21">
        <f t="shared" si="17"/>
        <v>1</v>
      </c>
      <c r="F125" s="667"/>
      <c r="G125" s="21">
        <f t="shared" si="18"/>
        <v>1</v>
      </c>
      <c r="H125" s="667"/>
      <c r="I125" s="21">
        <f t="shared" si="19"/>
        <v>1</v>
      </c>
      <c r="J125" s="667"/>
      <c r="K125" s="21">
        <f t="shared" si="20"/>
        <v>1</v>
      </c>
      <c r="L125" s="667"/>
      <c r="M125" s="21">
        <f t="shared" si="21"/>
        <v>1</v>
      </c>
      <c r="N125" s="667"/>
      <c r="O125" s="21">
        <f t="shared" si="22"/>
        <v>1</v>
      </c>
      <c r="P125" s="667"/>
      <c r="Q125" s="21">
        <f t="shared" si="23"/>
        <v>0</v>
      </c>
      <c r="R125" s="663">
        <f t="shared" si="24"/>
        <v>0</v>
      </c>
      <c r="S125" s="316">
        <f t="shared" si="15"/>
        <v>0</v>
      </c>
    </row>
    <row r="126" spans="1:19">
      <c r="A126" s="150"/>
      <c r="B126" s="54"/>
      <c r="C126" s="21">
        <f t="shared" si="16"/>
        <v>1</v>
      </c>
      <c r="D126" s="667"/>
      <c r="E126" s="21">
        <f t="shared" si="17"/>
        <v>1</v>
      </c>
      <c r="F126" s="667"/>
      <c r="G126" s="21">
        <f t="shared" si="18"/>
        <v>1</v>
      </c>
      <c r="H126" s="667"/>
      <c r="I126" s="21">
        <f t="shared" si="19"/>
        <v>1</v>
      </c>
      <c r="J126" s="667"/>
      <c r="K126" s="21">
        <f t="shared" si="20"/>
        <v>1</v>
      </c>
      <c r="L126" s="667"/>
      <c r="M126" s="21">
        <f t="shared" si="21"/>
        <v>1</v>
      </c>
      <c r="N126" s="667"/>
      <c r="O126" s="21">
        <f t="shared" si="22"/>
        <v>1</v>
      </c>
      <c r="P126" s="667"/>
      <c r="Q126" s="21">
        <f t="shared" si="23"/>
        <v>0</v>
      </c>
      <c r="R126" s="663">
        <f t="shared" si="24"/>
        <v>0</v>
      </c>
      <c r="S126" s="316">
        <f t="shared" si="15"/>
        <v>0</v>
      </c>
    </row>
    <row r="127" spans="1:19">
      <c r="A127" s="150"/>
      <c r="B127" s="54"/>
      <c r="C127" s="21">
        <f t="shared" si="16"/>
        <v>1</v>
      </c>
      <c r="D127" s="667"/>
      <c r="E127" s="21">
        <f t="shared" si="17"/>
        <v>1</v>
      </c>
      <c r="F127" s="667"/>
      <c r="G127" s="21">
        <f t="shared" si="18"/>
        <v>1</v>
      </c>
      <c r="H127" s="667"/>
      <c r="I127" s="21">
        <f t="shared" si="19"/>
        <v>1</v>
      </c>
      <c r="J127" s="667"/>
      <c r="K127" s="21">
        <f t="shared" si="20"/>
        <v>1</v>
      </c>
      <c r="L127" s="667"/>
      <c r="M127" s="21">
        <f t="shared" si="21"/>
        <v>1</v>
      </c>
      <c r="N127" s="667"/>
      <c r="O127" s="21">
        <f t="shared" si="22"/>
        <v>1</v>
      </c>
      <c r="P127" s="667"/>
      <c r="Q127" s="21">
        <f t="shared" si="23"/>
        <v>0</v>
      </c>
      <c r="R127" s="663">
        <f t="shared" si="24"/>
        <v>0</v>
      </c>
      <c r="S127" s="316">
        <f t="shared" si="15"/>
        <v>0</v>
      </c>
    </row>
    <row r="128" spans="1:19">
      <c r="A128" s="150"/>
      <c r="B128" s="54"/>
      <c r="C128" s="21">
        <f t="shared" si="16"/>
        <v>1</v>
      </c>
      <c r="D128" s="667"/>
      <c r="E128" s="21">
        <f t="shared" si="17"/>
        <v>1</v>
      </c>
      <c r="F128" s="667"/>
      <c r="G128" s="21">
        <f t="shared" si="18"/>
        <v>1</v>
      </c>
      <c r="H128" s="667"/>
      <c r="I128" s="21">
        <f t="shared" si="19"/>
        <v>1</v>
      </c>
      <c r="J128" s="667"/>
      <c r="K128" s="21">
        <f t="shared" si="20"/>
        <v>1</v>
      </c>
      <c r="L128" s="667"/>
      <c r="M128" s="21">
        <f t="shared" si="21"/>
        <v>1</v>
      </c>
      <c r="N128" s="667"/>
      <c r="O128" s="21">
        <f t="shared" si="22"/>
        <v>1</v>
      </c>
      <c r="P128" s="667"/>
      <c r="Q128" s="21">
        <f t="shared" si="23"/>
        <v>0</v>
      </c>
      <c r="R128" s="663">
        <f t="shared" si="24"/>
        <v>0</v>
      </c>
      <c r="S128" s="316">
        <f t="shared" si="15"/>
        <v>0</v>
      </c>
    </row>
    <row r="129" spans="1:19">
      <c r="A129" s="150"/>
      <c r="B129" s="54"/>
      <c r="C129" s="21">
        <f t="shared" si="16"/>
        <v>1</v>
      </c>
      <c r="D129" s="667"/>
      <c r="E129" s="21">
        <f t="shared" si="17"/>
        <v>1</v>
      </c>
      <c r="F129" s="667"/>
      <c r="G129" s="21">
        <f t="shared" si="18"/>
        <v>1</v>
      </c>
      <c r="H129" s="667"/>
      <c r="I129" s="21">
        <f t="shared" si="19"/>
        <v>1</v>
      </c>
      <c r="J129" s="667"/>
      <c r="K129" s="21">
        <f t="shared" si="20"/>
        <v>1</v>
      </c>
      <c r="L129" s="667"/>
      <c r="M129" s="21">
        <f t="shared" si="21"/>
        <v>1</v>
      </c>
      <c r="N129" s="667"/>
      <c r="O129" s="21">
        <f t="shared" si="22"/>
        <v>1</v>
      </c>
      <c r="P129" s="667"/>
      <c r="Q129" s="21">
        <f t="shared" si="23"/>
        <v>0</v>
      </c>
      <c r="R129" s="663">
        <f t="shared" si="24"/>
        <v>0</v>
      </c>
      <c r="S129" s="316">
        <f t="shared" si="15"/>
        <v>0</v>
      </c>
    </row>
    <row r="130" spans="1:19">
      <c r="A130" s="150"/>
      <c r="B130" s="54"/>
      <c r="C130" s="21">
        <f t="shared" si="16"/>
        <v>1</v>
      </c>
      <c r="D130" s="667"/>
      <c r="E130" s="21">
        <f t="shared" si="17"/>
        <v>1</v>
      </c>
      <c r="F130" s="667"/>
      <c r="G130" s="21">
        <f t="shared" si="18"/>
        <v>1</v>
      </c>
      <c r="H130" s="667"/>
      <c r="I130" s="21">
        <f t="shared" si="19"/>
        <v>1</v>
      </c>
      <c r="J130" s="667"/>
      <c r="K130" s="21">
        <f t="shared" si="20"/>
        <v>1</v>
      </c>
      <c r="L130" s="667"/>
      <c r="M130" s="21">
        <f t="shared" si="21"/>
        <v>1</v>
      </c>
      <c r="N130" s="667"/>
      <c r="O130" s="21">
        <f t="shared" si="22"/>
        <v>1</v>
      </c>
      <c r="P130" s="667"/>
      <c r="Q130" s="21">
        <f t="shared" si="23"/>
        <v>0</v>
      </c>
      <c r="R130" s="663">
        <f t="shared" si="24"/>
        <v>0</v>
      </c>
      <c r="S130" s="316">
        <f t="shared" si="15"/>
        <v>0</v>
      </c>
    </row>
    <row r="131" spans="1:19">
      <c r="A131" s="150"/>
      <c r="B131" s="54"/>
      <c r="C131" s="21">
        <f t="shared" si="16"/>
        <v>1</v>
      </c>
      <c r="D131" s="667"/>
      <c r="E131" s="21">
        <f t="shared" si="17"/>
        <v>1</v>
      </c>
      <c r="F131" s="667"/>
      <c r="G131" s="21">
        <f t="shared" si="18"/>
        <v>1</v>
      </c>
      <c r="H131" s="667"/>
      <c r="I131" s="21">
        <f t="shared" si="19"/>
        <v>1</v>
      </c>
      <c r="J131" s="667"/>
      <c r="K131" s="21">
        <f t="shared" si="20"/>
        <v>1</v>
      </c>
      <c r="L131" s="667"/>
      <c r="M131" s="21">
        <f t="shared" si="21"/>
        <v>1</v>
      </c>
      <c r="N131" s="667"/>
      <c r="O131" s="21">
        <f t="shared" si="22"/>
        <v>1</v>
      </c>
      <c r="P131" s="667"/>
      <c r="Q131" s="21">
        <f t="shared" si="23"/>
        <v>0</v>
      </c>
      <c r="R131" s="663">
        <f t="shared" si="24"/>
        <v>0</v>
      </c>
      <c r="S131" s="316">
        <f t="shared" si="15"/>
        <v>0</v>
      </c>
    </row>
    <row r="132" spans="1:19">
      <c r="A132" s="150"/>
      <c r="B132" s="54"/>
      <c r="C132" s="21">
        <f t="shared" si="16"/>
        <v>1</v>
      </c>
      <c r="D132" s="667"/>
      <c r="E132" s="21">
        <f t="shared" si="17"/>
        <v>1</v>
      </c>
      <c r="F132" s="667"/>
      <c r="G132" s="21">
        <f t="shared" si="18"/>
        <v>1</v>
      </c>
      <c r="H132" s="667"/>
      <c r="I132" s="21">
        <f t="shared" si="19"/>
        <v>1</v>
      </c>
      <c r="J132" s="667"/>
      <c r="K132" s="21">
        <f t="shared" si="20"/>
        <v>1</v>
      </c>
      <c r="L132" s="667"/>
      <c r="M132" s="21">
        <f t="shared" si="21"/>
        <v>1</v>
      </c>
      <c r="N132" s="667"/>
      <c r="O132" s="21">
        <f t="shared" si="22"/>
        <v>1</v>
      </c>
      <c r="P132" s="667"/>
      <c r="Q132" s="21">
        <f t="shared" si="23"/>
        <v>0</v>
      </c>
      <c r="R132" s="663">
        <f t="shared" si="24"/>
        <v>0</v>
      </c>
      <c r="S132" s="316">
        <f t="shared" si="15"/>
        <v>0</v>
      </c>
    </row>
    <row r="133" spans="1:19">
      <c r="A133" s="150"/>
      <c r="B133" s="54"/>
      <c r="C133" s="21">
        <f t="shared" si="16"/>
        <v>1</v>
      </c>
      <c r="D133" s="667"/>
      <c r="E133" s="21">
        <f t="shared" si="17"/>
        <v>1</v>
      </c>
      <c r="F133" s="667"/>
      <c r="G133" s="21">
        <f t="shared" si="18"/>
        <v>1</v>
      </c>
      <c r="H133" s="667"/>
      <c r="I133" s="21">
        <f t="shared" si="19"/>
        <v>1</v>
      </c>
      <c r="J133" s="667"/>
      <c r="K133" s="21">
        <f t="shared" si="20"/>
        <v>1</v>
      </c>
      <c r="L133" s="667"/>
      <c r="M133" s="21">
        <f t="shared" si="21"/>
        <v>1</v>
      </c>
      <c r="N133" s="667"/>
      <c r="O133" s="21">
        <f t="shared" si="22"/>
        <v>1</v>
      </c>
      <c r="P133" s="667"/>
      <c r="Q133" s="21">
        <f t="shared" si="23"/>
        <v>0</v>
      </c>
      <c r="R133" s="663">
        <f t="shared" si="24"/>
        <v>0</v>
      </c>
      <c r="S133" s="316">
        <f t="shared" si="15"/>
        <v>0</v>
      </c>
    </row>
    <row r="134" spans="1:19">
      <c r="A134" s="150"/>
      <c r="B134" s="54"/>
      <c r="C134" s="21">
        <f t="shared" si="16"/>
        <v>1</v>
      </c>
      <c r="D134" s="667"/>
      <c r="E134" s="21">
        <f t="shared" si="17"/>
        <v>1</v>
      </c>
      <c r="F134" s="667"/>
      <c r="G134" s="21">
        <f t="shared" si="18"/>
        <v>1</v>
      </c>
      <c r="H134" s="667"/>
      <c r="I134" s="21">
        <f t="shared" si="19"/>
        <v>1</v>
      </c>
      <c r="J134" s="667"/>
      <c r="K134" s="21">
        <f t="shared" si="20"/>
        <v>1</v>
      </c>
      <c r="L134" s="667"/>
      <c r="M134" s="21">
        <f t="shared" si="21"/>
        <v>1</v>
      </c>
      <c r="N134" s="667"/>
      <c r="O134" s="21">
        <f t="shared" si="22"/>
        <v>1</v>
      </c>
      <c r="P134" s="667"/>
      <c r="Q134" s="21">
        <f t="shared" si="23"/>
        <v>0</v>
      </c>
      <c r="R134" s="663">
        <f t="shared" si="24"/>
        <v>0</v>
      </c>
      <c r="S134" s="316">
        <f t="shared" si="15"/>
        <v>0</v>
      </c>
    </row>
    <row r="135" spans="1:19">
      <c r="A135" s="150"/>
      <c r="B135" s="54"/>
      <c r="C135" s="21">
        <f t="shared" si="16"/>
        <v>1</v>
      </c>
      <c r="D135" s="667"/>
      <c r="E135" s="21">
        <f t="shared" si="17"/>
        <v>1</v>
      </c>
      <c r="F135" s="667"/>
      <c r="G135" s="21">
        <f t="shared" si="18"/>
        <v>1</v>
      </c>
      <c r="H135" s="667"/>
      <c r="I135" s="21">
        <f t="shared" si="19"/>
        <v>1</v>
      </c>
      <c r="J135" s="667"/>
      <c r="K135" s="21">
        <f t="shared" si="20"/>
        <v>1</v>
      </c>
      <c r="L135" s="667"/>
      <c r="M135" s="21">
        <f t="shared" si="21"/>
        <v>1</v>
      </c>
      <c r="N135" s="667"/>
      <c r="O135" s="21">
        <f t="shared" si="22"/>
        <v>1</v>
      </c>
      <c r="P135" s="667"/>
      <c r="Q135" s="21">
        <f t="shared" si="23"/>
        <v>0</v>
      </c>
      <c r="R135" s="663">
        <f t="shared" si="24"/>
        <v>0</v>
      </c>
      <c r="S135" s="316">
        <f t="shared" si="15"/>
        <v>0</v>
      </c>
    </row>
    <row r="136" spans="1:19">
      <c r="A136" s="150"/>
      <c r="B136" s="54"/>
      <c r="C136" s="21">
        <f t="shared" si="16"/>
        <v>1</v>
      </c>
      <c r="D136" s="667"/>
      <c r="E136" s="21">
        <f t="shared" si="17"/>
        <v>1</v>
      </c>
      <c r="F136" s="667"/>
      <c r="G136" s="21">
        <f t="shared" si="18"/>
        <v>1</v>
      </c>
      <c r="H136" s="667"/>
      <c r="I136" s="21">
        <f t="shared" si="19"/>
        <v>1</v>
      </c>
      <c r="J136" s="667"/>
      <c r="K136" s="21">
        <f t="shared" si="20"/>
        <v>1</v>
      </c>
      <c r="L136" s="667"/>
      <c r="M136" s="21">
        <f t="shared" si="21"/>
        <v>1</v>
      </c>
      <c r="N136" s="667"/>
      <c r="O136" s="21">
        <f t="shared" si="22"/>
        <v>1</v>
      </c>
      <c r="P136" s="667"/>
      <c r="Q136" s="21">
        <f t="shared" si="23"/>
        <v>0</v>
      </c>
      <c r="R136" s="663">
        <f t="shared" si="24"/>
        <v>0</v>
      </c>
      <c r="S136" s="316">
        <f t="shared" si="15"/>
        <v>0</v>
      </c>
    </row>
    <row r="137" spans="1:19">
      <c r="A137" s="150"/>
      <c r="B137" s="54"/>
      <c r="C137" s="21">
        <f t="shared" si="16"/>
        <v>1</v>
      </c>
      <c r="D137" s="667"/>
      <c r="E137" s="21">
        <f t="shared" si="17"/>
        <v>1</v>
      </c>
      <c r="F137" s="667"/>
      <c r="G137" s="21">
        <f t="shared" si="18"/>
        <v>1</v>
      </c>
      <c r="H137" s="667"/>
      <c r="I137" s="21">
        <f t="shared" si="19"/>
        <v>1</v>
      </c>
      <c r="J137" s="667"/>
      <c r="K137" s="21">
        <f t="shared" si="20"/>
        <v>1</v>
      </c>
      <c r="L137" s="667"/>
      <c r="M137" s="21">
        <f t="shared" si="21"/>
        <v>1</v>
      </c>
      <c r="N137" s="667"/>
      <c r="O137" s="21">
        <f t="shared" si="22"/>
        <v>1</v>
      </c>
      <c r="P137" s="667"/>
      <c r="Q137" s="21">
        <f t="shared" si="23"/>
        <v>0</v>
      </c>
      <c r="R137" s="663">
        <f t="shared" si="24"/>
        <v>0</v>
      </c>
      <c r="S137" s="316">
        <f t="shared" si="15"/>
        <v>0</v>
      </c>
    </row>
    <row r="138" spans="1:19">
      <c r="A138" s="150"/>
      <c r="B138" s="54"/>
      <c r="C138" s="21">
        <f t="shared" si="16"/>
        <v>1</v>
      </c>
      <c r="D138" s="667"/>
      <c r="E138" s="21">
        <f t="shared" si="17"/>
        <v>1</v>
      </c>
      <c r="F138" s="667"/>
      <c r="G138" s="21">
        <f t="shared" si="18"/>
        <v>1</v>
      </c>
      <c r="H138" s="667"/>
      <c r="I138" s="21">
        <f t="shared" si="19"/>
        <v>1</v>
      </c>
      <c r="J138" s="667"/>
      <c r="K138" s="21">
        <f t="shared" si="20"/>
        <v>1</v>
      </c>
      <c r="L138" s="667"/>
      <c r="M138" s="21">
        <f t="shared" si="21"/>
        <v>1</v>
      </c>
      <c r="N138" s="667"/>
      <c r="O138" s="21">
        <f t="shared" si="22"/>
        <v>1</v>
      </c>
      <c r="P138" s="667"/>
      <c r="Q138" s="21">
        <f t="shared" si="23"/>
        <v>0</v>
      </c>
      <c r="R138" s="663">
        <f t="shared" si="24"/>
        <v>0</v>
      </c>
      <c r="S138" s="316">
        <f t="shared" si="15"/>
        <v>0</v>
      </c>
    </row>
    <row r="139" spans="1:19">
      <c r="A139" s="150"/>
      <c r="B139" s="54"/>
      <c r="C139" s="21">
        <f t="shared" si="16"/>
        <v>1</v>
      </c>
      <c r="D139" s="667"/>
      <c r="E139" s="21">
        <f t="shared" si="17"/>
        <v>1</v>
      </c>
      <c r="F139" s="667"/>
      <c r="G139" s="21">
        <f t="shared" si="18"/>
        <v>1</v>
      </c>
      <c r="H139" s="667"/>
      <c r="I139" s="21">
        <f t="shared" si="19"/>
        <v>1</v>
      </c>
      <c r="J139" s="667"/>
      <c r="K139" s="21">
        <f t="shared" si="20"/>
        <v>1</v>
      </c>
      <c r="L139" s="667"/>
      <c r="M139" s="21">
        <f t="shared" si="21"/>
        <v>1</v>
      </c>
      <c r="N139" s="667"/>
      <c r="O139" s="21">
        <f t="shared" si="22"/>
        <v>1</v>
      </c>
      <c r="P139" s="667"/>
      <c r="Q139" s="21">
        <f t="shared" si="23"/>
        <v>0</v>
      </c>
      <c r="R139" s="663">
        <f t="shared" si="24"/>
        <v>0</v>
      </c>
      <c r="S139" s="316">
        <f t="shared" si="15"/>
        <v>0</v>
      </c>
    </row>
    <row r="140" spans="1:19">
      <c r="A140" s="150"/>
      <c r="B140" s="54"/>
      <c r="C140" s="21">
        <f t="shared" si="16"/>
        <v>1</v>
      </c>
      <c r="D140" s="667"/>
      <c r="E140" s="21">
        <f t="shared" si="17"/>
        <v>1</v>
      </c>
      <c r="F140" s="667"/>
      <c r="G140" s="21">
        <f t="shared" si="18"/>
        <v>1</v>
      </c>
      <c r="H140" s="667"/>
      <c r="I140" s="21">
        <f t="shared" si="19"/>
        <v>1</v>
      </c>
      <c r="J140" s="667"/>
      <c r="K140" s="21">
        <f t="shared" si="20"/>
        <v>1</v>
      </c>
      <c r="L140" s="667"/>
      <c r="M140" s="21">
        <f t="shared" si="21"/>
        <v>1</v>
      </c>
      <c r="N140" s="667"/>
      <c r="O140" s="21">
        <f t="shared" si="22"/>
        <v>1</v>
      </c>
      <c r="P140" s="667"/>
      <c r="Q140" s="21">
        <f t="shared" si="23"/>
        <v>0</v>
      </c>
      <c r="R140" s="663">
        <f t="shared" si="24"/>
        <v>0</v>
      </c>
      <c r="S140" s="316">
        <f t="shared" si="15"/>
        <v>0</v>
      </c>
    </row>
    <row r="141" spans="1:19">
      <c r="A141" s="150"/>
      <c r="B141" s="54"/>
      <c r="C141" s="21">
        <f t="shared" si="16"/>
        <v>1</v>
      </c>
      <c r="D141" s="667"/>
      <c r="E141" s="21">
        <f t="shared" si="17"/>
        <v>1</v>
      </c>
      <c r="F141" s="667"/>
      <c r="G141" s="21">
        <f t="shared" si="18"/>
        <v>1</v>
      </c>
      <c r="H141" s="667"/>
      <c r="I141" s="21">
        <f t="shared" si="19"/>
        <v>1</v>
      </c>
      <c r="J141" s="667"/>
      <c r="K141" s="21">
        <f t="shared" si="20"/>
        <v>1</v>
      </c>
      <c r="L141" s="667"/>
      <c r="M141" s="21">
        <f t="shared" si="21"/>
        <v>1</v>
      </c>
      <c r="N141" s="667"/>
      <c r="O141" s="21">
        <f t="shared" si="22"/>
        <v>1</v>
      </c>
      <c r="P141" s="667"/>
      <c r="Q141" s="21">
        <f t="shared" si="23"/>
        <v>0</v>
      </c>
      <c r="R141" s="663">
        <f t="shared" si="24"/>
        <v>0</v>
      </c>
      <c r="S141" s="316">
        <f t="shared" si="15"/>
        <v>0</v>
      </c>
    </row>
    <row r="142" spans="1:19">
      <c r="A142" s="150"/>
      <c r="B142" s="54"/>
      <c r="C142" s="21">
        <f t="shared" si="16"/>
        <v>1</v>
      </c>
      <c r="D142" s="667"/>
      <c r="E142" s="21">
        <f t="shared" si="17"/>
        <v>1</v>
      </c>
      <c r="F142" s="667"/>
      <c r="G142" s="21">
        <f t="shared" si="18"/>
        <v>1</v>
      </c>
      <c r="H142" s="667"/>
      <c r="I142" s="21">
        <f t="shared" si="19"/>
        <v>1</v>
      </c>
      <c r="J142" s="667"/>
      <c r="K142" s="21">
        <f t="shared" si="20"/>
        <v>1</v>
      </c>
      <c r="L142" s="667"/>
      <c r="M142" s="21">
        <f t="shared" si="21"/>
        <v>1</v>
      </c>
      <c r="N142" s="667"/>
      <c r="O142" s="21">
        <f t="shared" si="22"/>
        <v>1</v>
      </c>
      <c r="P142" s="667"/>
      <c r="Q142" s="21">
        <f t="shared" si="23"/>
        <v>0</v>
      </c>
      <c r="R142" s="663">
        <f t="shared" si="24"/>
        <v>0</v>
      </c>
      <c r="S142" s="316">
        <f t="shared" si="15"/>
        <v>0</v>
      </c>
    </row>
    <row r="143" spans="1:19">
      <c r="A143" s="150"/>
      <c r="B143" s="54"/>
      <c r="C143" s="21">
        <f t="shared" si="16"/>
        <v>1</v>
      </c>
      <c r="D143" s="667"/>
      <c r="E143" s="21">
        <f t="shared" si="17"/>
        <v>1</v>
      </c>
      <c r="F143" s="667"/>
      <c r="G143" s="21">
        <f t="shared" si="18"/>
        <v>1</v>
      </c>
      <c r="H143" s="667"/>
      <c r="I143" s="21">
        <f t="shared" si="19"/>
        <v>1</v>
      </c>
      <c r="J143" s="667"/>
      <c r="K143" s="21">
        <f t="shared" si="20"/>
        <v>1</v>
      </c>
      <c r="L143" s="667"/>
      <c r="M143" s="21">
        <f t="shared" si="21"/>
        <v>1</v>
      </c>
      <c r="N143" s="667"/>
      <c r="O143" s="21">
        <f t="shared" si="22"/>
        <v>1</v>
      </c>
      <c r="P143" s="667"/>
      <c r="Q143" s="21">
        <f t="shared" si="23"/>
        <v>0</v>
      </c>
      <c r="R143" s="663">
        <f t="shared" si="24"/>
        <v>0</v>
      </c>
      <c r="S143" s="316">
        <f t="shared" si="15"/>
        <v>0</v>
      </c>
    </row>
    <row r="144" spans="1:19">
      <c r="A144" s="150"/>
      <c r="B144" s="54"/>
      <c r="C144" s="21">
        <f t="shared" si="16"/>
        <v>1</v>
      </c>
      <c r="D144" s="667"/>
      <c r="E144" s="21">
        <f t="shared" si="17"/>
        <v>1</v>
      </c>
      <c r="F144" s="667"/>
      <c r="G144" s="21">
        <f t="shared" si="18"/>
        <v>1</v>
      </c>
      <c r="H144" s="667"/>
      <c r="I144" s="21">
        <f t="shared" si="19"/>
        <v>1</v>
      </c>
      <c r="J144" s="667"/>
      <c r="K144" s="21">
        <f t="shared" si="20"/>
        <v>1</v>
      </c>
      <c r="L144" s="667"/>
      <c r="M144" s="21">
        <f t="shared" si="21"/>
        <v>1</v>
      </c>
      <c r="N144" s="667"/>
      <c r="O144" s="21">
        <f t="shared" si="22"/>
        <v>1</v>
      </c>
      <c r="P144" s="667"/>
      <c r="Q144" s="21">
        <f t="shared" si="23"/>
        <v>0</v>
      </c>
      <c r="R144" s="663">
        <f t="shared" si="24"/>
        <v>0</v>
      </c>
      <c r="S144" s="316">
        <f t="shared" si="15"/>
        <v>0</v>
      </c>
    </row>
    <row r="145" spans="1:19">
      <c r="A145" s="150"/>
      <c r="B145" s="54"/>
      <c r="C145" s="21">
        <f t="shared" si="16"/>
        <v>1</v>
      </c>
      <c r="D145" s="667"/>
      <c r="E145" s="21">
        <f t="shared" si="17"/>
        <v>1</v>
      </c>
      <c r="F145" s="667"/>
      <c r="G145" s="21">
        <f t="shared" si="18"/>
        <v>1</v>
      </c>
      <c r="H145" s="667"/>
      <c r="I145" s="21">
        <f t="shared" si="19"/>
        <v>1</v>
      </c>
      <c r="J145" s="667"/>
      <c r="K145" s="21">
        <f t="shared" si="20"/>
        <v>1</v>
      </c>
      <c r="L145" s="667"/>
      <c r="M145" s="21">
        <f t="shared" si="21"/>
        <v>1</v>
      </c>
      <c r="N145" s="667"/>
      <c r="O145" s="21">
        <f t="shared" si="22"/>
        <v>1</v>
      </c>
      <c r="P145" s="667"/>
      <c r="Q145" s="21">
        <f t="shared" si="23"/>
        <v>0</v>
      </c>
      <c r="R145" s="663">
        <f t="shared" si="24"/>
        <v>0</v>
      </c>
      <c r="S145" s="316">
        <f t="shared" si="15"/>
        <v>0</v>
      </c>
    </row>
    <row r="146" spans="1:19">
      <c r="A146" s="150"/>
      <c r="B146" s="54"/>
      <c r="C146" s="21">
        <f t="shared" si="16"/>
        <v>1</v>
      </c>
      <c r="D146" s="667"/>
      <c r="E146" s="21">
        <f t="shared" si="17"/>
        <v>1</v>
      </c>
      <c r="F146" s="667"/>
      <c r="G146" s="21">
        <f t="shared" si="18"/>
        <v>1</v>
      </c>
      <c r="H146" s="667"/>
      <c r="I146" s="21">
        <f t="shared" si="19"/>
        <v>1</v>
      </c>
      <c r="J146" s="667"/>
      <c r="K146" s="21">
        <f t="shared" si="20"/>
        <v>1</v>
      </c>
      <c r="L146" s="667"/>
      <c r="M146" s="21">
        <f t="shared" si="21"/>
        <v>1</v>
      </c>
      <c r="N146" s="667"/>
      <c r="O146" s="21">
        <f t="shared" si="22"/>
        <v>1</v>
      </c>
      <c r="P146" s="667"/>
      <c r="Q146" s="21">
        <f t="shared" si="23"/>
        <v>0</v>
      </c>
      <c r="R146" s="663">
        <f t="shared" si="24"/>
        <v>0</v>
      </c>
      <c r="S146" s="316">
        <f t="shared" si="15"/>
        <v>0</v>
      </c>
    </row>
    <row r="147" spans="1:19">
      <c r="A147" s="150"/>
      <c r="B147" s="54"/>
      <c r="C147" s="21">
        <f t="shared" si="16"/>
        <v>1</v>
      </c>
      <c r="D147" s="667"/>
      <c r="E147" s="21">
        <f t="shared" si="17"/>
        <v>1</v>
      </c>
      <c r="F147" s="667"/>
      <c r="G147" s="21">
        <f t="shared" si="18"/>
        <v>1</v>
      </c>
      <c r="H147" s="667"/>
      <c r="I147" s="21">
        <f t="shared" si="19"/>
        <v>1</v>
      </c>
      <c r="J147" s="667"/>
      <c r="K147" s="21">
        <f t="shared" si="20"/>
        <v>1</v>
      </c>
      <c r="L147" s="667"/>
      <c r="M147" s="21">
        <f t="shared" si="21"/>
        <v>1</v>
      </c>
      <c r="N147" s="667"/>
      <c r="O147" s="21">
        <f t="shared" si="22"/>
        <v>1</v>
      </c>
      <c r="P147" s="667"/>
      <c r="Q147" s="21">
        <f t="shared" si="23"/>
        <v>0</v>
      </c>
      <c r="R147" s="663">
        <f t="shared" si="24"/>
        <v>0</v>
      </c>
      <c r="S147" s="316">
        <f t="shared" si="15"/>
        <v>0</v>
      </c>
    </row>
    <row r="148" spans="1:19">
      <c r="A148" s="150"/>
      <c r="B148" s="54"/>
      <c r="C148" s="21">
        <f t="shared" si="16"/>
        <v>1</v>
      </c>
      <c r="D148" s="667"/>
      <c r="E148" s="21">
        <f t="shared" si="17"/>
        <v>1</v>
      </c>
      <c r="F148" s="667"/>
      <c r="G148" s="21">
        <f t="shared" si="18"/>
        <v>1</v>
      </c>
      <c r="H148" s="667"/>
      <c r="I148" s="21">
        <f t="shared" si="19"/>
        <v>1</v>
      </c>
      <c r="J148" s="667"/>
      <c r="K148" s="21">
        <f t="shared" si="20"/>
        <v>1</v>
      </c>
      <c r="L148" s="667"/>
      <c r="M148" s="21">
        <f t="shared" si="21"/>
        <v>1</v>
      </c>
      <c r="N148" s="667"/>
      <c r="O148" s="21">
        <f t="shared" si="22"/>
        <v>1</v>
      </c>
      <c r="P148" s="667"/>
      <c r="Q148" s="21">
        <f t="shared" si="23"/>
        <v>0</v>
      </c>
      <c r="R148" s="663">
        <f t="shared" si="24"/>
        <v>0</v>
      </c>
      <c r="S148" s="316">
        <f t="shared" si="15"/>
        <v>0</v>
      </c>
    </row>
    <row r="149" spans="1:19">
      <c r="A149" s="150"/>
      <c r="B149" s="54"/>
      <c r="C149" s="21">
        <f t="shared" si="16"/>
        <v>1</v>
      </c>
      <c r="D149" s="667"/>
      <c r="E149" s="21">
        <f t="shared" si="17"/>
        <v>1</v>
      </c>
      <c r="F149" s="667"/>
      <c r="G149" s="21">
        <f t="shared" si="18"/>
        <v>1</v>
      </c>
      <c r="H149" s="667"/>
      <c r="I149" s="21">
        <f t="shared" si="19"/>
        <v>1</v>
      </c>
      <c r="J149" s="667"/>
      <c r="K149" s="21">
        <f t="shared" si="20"/>
        <v>1</v>
      </c>
      <c r="L149" s="667"/>
      <c r="M149" s="21">
        <f t="shared" si="21"/>
        <v>1</v>
      </c>
      <c r="N149" s="667"/>
      <c r="O149" s="21">
        <f t="shared" si="22"/>
        <v>1</v>
      </c>
      <c r="P149" s="667"/>
      <c r="Q149" s="21">
        <f t="shared" si="23"/>
        <v>0</v>
      </c>
      <c r="R149" s="663">
        <f t="shared" si="24"/>
        <v>0</v>
      </c>
      <c r="S149" s="316">
        <f t="shared" si="15"/>
        <v>0</v>
      </c>
    </row>
    <row r="150" spans="1:19">
      <c r="A150" s="150"/>
      <c r="B150" s="54"/>
      <c r="C150" s="21">
        <f t="shared" si="16"/>
        <v>1</v>
      </c>
      <c r="D150" s="667"/>
      <c r="E150" s="21">
        <f t="shared" si="17"/>
        <v>1</v>
      </c>
      <c r="F150" s="667"/>
      <c r="G150" s="21">
        <f t="shared" si="18"/>
        <v>1</v>
      </c>
      <c r="H150" s="667"/>
      <c r="I150" s="21">
        <f t="shared" si="19"/>
        <v>1</v>
      </c>
      <c r="J150" s="667"/>
      <c r="K150" s="21">
        <f t="shared" si="20"/>
        <v>1</v>
      </c>
      <c r="L150" s="667"/>
      <c r="M150" s="21">
        <f t="shared" si="21"/>
        <v>1</v>
      </c>
      <c r="N150" s="667"/>
      <c r="O150" s="21">
        <f t="shared" si="22"/>
        <v>1</v>
      </c>
      <c r="P150" s="667"/>
      <c r="Q150" s="21">
        <f t="shared" si="23"/>
        <v>0</v>
      </c>
      <c r="R150" s="663">
        <f t="shared" si="24"/>
        <v>0</v>
      </c>
      <c r="S150" s="316">
        <f t="shared" si="15"/>
        <v>0</v>
      </c>
    </row>
    <row r="151" spans="1:19">
      <c r="A151" s="150"/>
      <c r="B151" s="54"/>
      <c r="C151" s="21">
        <f t="shared" si="16"/>
        <v>1</v>
      </c>
      <c r="D151" s="667"/>
      <c r="E151" s="21">
        <f t="shared" si="17"/>
        <v>1</v>
      </c>
      <c r="F151" s="667"/>
      <c r="G151" s="21">
        <f t="shared" si="18"/>
        <v>1</v>
      </c>
      <c r="H151" s="667"/>
      <c r="I151" s="21">
        <f t="shared" si="19"/>
        <v>1</v>
      </c>
      <c r="J151" s="667"/>
      <c r="K151" s="21">
        <f t="shared" si="20"/>
        <v>1</v>
      </c>
      <c r="L151" s="667"/>
      <c r="M151" s="21">
        <f t="shared" si="21"/>
        <v>1</v>
      </c>
      <c r="N151" s="667"/>
      <c r="O151" s="21">
        <f t="shared" si="22"/>
        <v>1</v>
      </c>
      <c r="P151" s="667"/>
      <c r="Q151" s="21">
        <f t="shared" si="23"/>
        <v>0</v>
      </c>
      <c r="R151" s="663">
        <f t="shared" si="24"/>
        <v>0</v>
      </c>
      <c r="S151" s="316">
        <f t="shared" si="15"/>
        <v>0</v>
      </c>
    </row>
    <row r="152" spans="1:19">
      <c r="A152" s="150"/>
      <c r="B152" s="54"/>
      <c r="C152" s="21">
        <f t="shared" si="16"/>
        <v>1</v>
      </c>
      <c r="D152" s="667"/>
      <c r="E152" s="21">
        <f t="shared" si="17"/>
        <v>1</v>
      </c>
      <c r="F152" s="667"/>
      <c r="G152" s="21">
        <f t="shared" si="18"/>
        <v>1</v>
      </c>
      <c r="H152" s="667"/>
      <c r="I152" s="21">
        <f t="shared" si="19"/>
        <v>1</v>
      </c>
      <c r="J152" s="667"/>
      <c r="K152" s="21">
        <f t="shared" si="20"/>
        <v>1</v>
      </c>
      <c r="L152" s="667"/>
      <c r="M152" s="21">
        <f t="shared" si="21"/>
        <v>1</v>
      </c>
      <c r="N152" s="667"/>
      <c r="O152" s="21">
        <f t="shared" si="22"/>
        <v>1</v>
      </c>
      <c r="P152" s="667"/>
      <c r="Q152" s="21">
        <f t="shared" si="23"/>
        <v>0</v>
      </c>
      <c r="R152" s="663">
        <f t="shared" si="24"/>
        <v>0</v>
      </c>
      <c r="S152" s="316">
        <f t="shared" ref="S152:S215" si="25">ROUND(R152*B152/10000,0)</f>
        <v>0</v>
      </c>
    </row>
    <row r="153" spans="1:19">
      <c r="A153" s="150"/>
      <c r="B153" s="54"/>
      <c r="C153" s="21">
        <f t="shared" si="16"/>
        <v>1</v>
      </c>
      <c r="D153" s="667"/>
      <c r="E153" s="21">
        <f t="shared" si="17"/>
        <v>1</v>
      </c>
      <c r="F153" s="667"/>
      <c r="G153" s="21">
        <f t="shared" si="18"/>
        <v>1</v>
      </c>
      <c r="H153" s="667"/>
      <c r="I153" s="21">
        <f t="shared" si="19"/>
        <v>1</v>
      </c>
      <c r="J153" s="667"/>
      <c r="K153" s="21">
        <f t="shared" si="20"/>
        <v>1</v>
      </c>
      <c r="L153" s="667"/>
      <c r="M153" s="21">
        <f t="shared" si="21"/>
        <v>1</v>
      </c>
      <c r="N153" s="667"/>
      <c r="O153" s="21">
        <f t="shared" si="22"/>
        <v>1</v>
      </c>
      <c r="P153" s="667"/>
      <c r="Q153" s="21">
        <f t="shared" si="23"/>
        <v>0</v>
      </c>
      <c r="R153" s="663">
        <f t="shared" si="24"/>
        <v>0</v>
      </c>
      <c r="S153" s="316">
        <f t="shared" si="25"/>
        <v>0</v>
      </c>
    </row>
    <row r="154" spans="1:19">
      <c r="A154" s="150"/>
      <c r="B154" s="54"/>
      <c r="C154" s="21">
        <f t="shared" ref="C154:C217" si="26">IF(B154="",1,(LOOKUP(B154,$3:$3,$4:$4)-LOOKUP($B$24,$3:$3,$4:$4)+100)/100)</f>
        <v>1</v>
      </c>
      <c r="D154" s="667"/>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667"/>
      <c r="Q154" s="21">
        <f t="shared" ref="Q154:Q217" si="33">(SUMIF($17:$17,P154,$18:$18)-SUMIF($17:$17,$P$24,$18:$18)+100)/100</f>
        <v>0</v>
      </c>
      <c r="R154" s="663">
        <f t="shared" ref="R154:R217" si="34">IF(B154="",0,ROUND($R$24*C154*E154*G154*I154*K154*M154*O154*Q154,0))</f>
        <v>0</v>
      </c>
      <c r="S154" s="316">
        <f t="shared" si="25"/>
        <v>0</v>
      </c>
    </row>
    <row r="155" spans="1:19">
      <c r="A155" s="150"/>
      <c r="B155" s="54"/>
      <c r="C155" s="21">
        <f t="shared" si="26"/>
        <v>1</v>
      </c>
      <c r="D155" s="667"/>
      <c r="E155" s="21">
        <f t="shared" si="27"/>
        <v>1</v>
      </c>
      <c r="F155" s="667"/>
      <c r="G155" s="21">
        <f t="shared" si="28"/>
        <v>1</v>
      </c>
      <c r="H155" s="667"/>
      <c r="I155" s="21">
        <f t="shared" si="29"/>
        <v>1</v>
      </c>
      <c r="J155" s="667"/>
      <c r="K155" s="21">
        <f t="shared" si="30"/>
        <v>1</v>
      </c>
      <c r="L155" s="667"/>
      <c r="M155" s="21">
        <f t="shared" si="31"/>
        <v>1</v>
      </c>
      <c r="N155" s="667"/>
      <c r="O155" s="21">
        <f t="shared" si="32"/>
        <v>1</v>
      </c>
      <c r="P155" s="667"/>
      <c r="Q155" s="21">
        <f t="shared" si="33"/>
        <v>0</v>
      </c>
      <c r="R155" s="663">
        <f t="shared" si="34"/>
        <v>0</v>
      </c>
      <c r="S155" s="316">
        <f t="shared" si="25"/>
        <v>0</v>
      </c>
    </row>
    <row r="156" spans="1:19">
      <c r="A156" s="150"/>
      <c r="B156" s="54"/>
      <c r="C156" s="21">
        <f t="shared" si="26"/>
        <v>1</v>
      </c>
      <c r="D156" s="667"/>
      <c r="E156" s="21">
        <f t="shared" si="27"/>
        <v>1</v>
      </c>
      <c r="F156" s="667"/>
      <c r="G156" s="21">
        <f t="shared" si="28"/>
        <v>1</v>
      </c>
      <c r="H156" s="667"/>
      <c r="I156" s="21">
        <f t="shared" si="29"/>
        <v>1</v>
      </c>
      <c r="J156" s="667"/>
      <c r="K156" s="21">
        <f t="shared" si="30"/>
        <v>1</v>
      </c>
      <c r="L156" s="667"/>
      <c r="M156" s="21">
        <f t="shared" si="31"/>
        <v>1</v>
      </c>
      <c r="N156" s="667"/>
      <c r="O156" s="21">
        <f t="shared" si="32"/>
        <v>1</v>
      </c>
      <c r="P156" s="667"/>
      <c r="Q156" s="21">
        <f t="shared" si="33"/>
        <v>0</v>
      </c>
      <c r="R156" s="663">
        <f t="shared" si="34"/>
        <v>0</v>
      </c>
      <c r="S156" s="316">
        <f t="shared" si="25"/>
        <v>0</v>
      </c>
    </row>
    <row r="157" spans="1:19">
      <c r="A157" s="150"/>
      <c r="B157" s="54"/>
      <c r="C157" s="21">
        <f t="shared" si="26"/>
        <v>1</v>
      </c>
      <c r="D157" s="667"/>
      <c r="E157" s="21">
        <f t="shared" si="27"/>
        <v>1</v>
      </c>
      <c r="F157" s="667"/>
      <c r="G157" s="21">
        <f t="shared" si="28"/>
        <v>1</v>
      </c>
      <c r="H157" s="667"/>
      <c r="I157" s="21">
        <f t="shared" si="29"/>
        <v>1</v>
      </c>
      <c r="J157" s="667"/>
      <c r="K157" s="21">
        <f t="shared" si="30"/>
        <v>1</v>
      </c>
      <c r="L157" s="667"/>
      <c r="M157" s="21">
        <f t="shared" si="31"/>
        <v>1</v>
      </c>
      <c r="N157" s="667"/>
      <c r="O157" s="21">
        <f t="shared" si="32"/>
        <v>1</v>
      </c>
      <c r="P157" s="667"/>
      <c r="Q157" s="21">
        <f t="shared" si="33"/>
        <v>0</v>
      </c>
      <c r="R157" s="663">
        <f t="shared" si="34"/>
        <v>0</v>
      </c>
      <c r="S157" s="316">
        <f t="shared" si="25"/>
        <v>0</v>
      </c>
    </row>
    <row r="158" spans="1:19">
      <c r="A158" s="150"/>
      <c r="B158" s="54"/>
      <c r="C158" s="21">
        <f t="shared" si="26"/>
        <v>1</v>
      </c>
      <c r="D158" s="667"/>
      <c r="E158" s="21">
        <f t="shared" si="27"/>
        <v>1</v>
      </c>
      <c r="F158" s="667"/>
      <c r="G158" s="21">
        <f t="shared" si="28"/>
        <v>1</v>
      </c>
      <c r="H158" s="667"/>
      <c r="I158" s="21">
        <f t="shared" si="29"/>
        <v>1</v>
      </c>
      <c r="J158" s="667"/>
      <c r="K158" s="21">
        <f t="shared" si="30"/>
        <v>1</v>
      </c>
      <c r="L158" s="667"/>
      <c r="M158" s="21">
        <f t="shared" si="31"/>
        <v>1</v>
      </c>
      <c r="N158" s="667"/>
      <c r="O158" s="21">
        <f t="shared" si="32"/>
        <v>1</v>
      </c>
      <c r="P158" s="667"/>
      <c r="Q158" s="21">
        <f t="shared" si="33"/>
        <v>0</v>
      </c>
      <c r="R158" s="663">
        <f t="shared" si="34"/>
        <v>0</v>
      </c>
      <c r="S158" s="316">
        <f t="shared" si="25"/>
        <v>0</v>
      </c>
    </row>
    <row r="159" spans="1:19">
      <c r="A159" s="150"/>
      <c r="B159" s="54"/>
      <c r="C159" s="21">
        <f t="shared" si="26"/>
        <v>1</v>
      </c>
      <c r="D159" s="667"/>
      <c r="E159" s="21">
        <f t="shared" si="27"/>
        <v>1</v>
      </c>
      <c r="F159" s="667"/>
      <c r="G159" s="21">
        <f t="shared" si="28"/>
        <v>1</v>
      </c>
      <c r="H159" s="667"/>
      <c r="I159" s="21">
        <f t="shared" si="29"/>
        <v>1</v>
      </c>
      <c r="J159" s="667"/>
      <c r="K159" s="21">
        <f t="shared" si="30"/>
        <v>1</v>
      </c>
      <c r="L159" s="667"/>
      <c r="M159" s="21">
        <f t="shared" si="31"/>
        <v>1</v>
      </c>
      <c r="N159" s="667"/>
      <c r="O159" s="21">
        <f t="shared" si="32"/>
        <v>1</v>
      </c>
      <c r="P159" s="667"/>
      <c r="Q159" s="21">
        <f t="shared" si="33"/>
        <v>0</v>
      </c>
      <c r="R159" s="663">
        <f t="shared" si="34"/>
        <v>0</v>
      </c>
      <c r="S159" s="316">
        <f t="shared" si="25"/>
        <v>0</v>
      </c>
    </row>
    <row r="160" spans="1:19">
      <c r="A160" s="150"/>
      <c r="B160" s="54"/>
      <c r="C160" s="21">
        <f t="shared" si="26"/>
        <v>1</v>
      </c>
      <c r="D160" s="667"/>
      <c r="E160" s="21">
        <f t="shared" si="27"/>
        <v>1</v>
      </c>
      <c r="F160" s="667"/>
      <c r="G160" s="21">
        <f t="shared" si="28"/>
        <v>1</v>
      </c>
      <c r="H160" s="667"/>
      <c r="I160" s="21">
        <f t="shared" si="29"/>
        <v>1</v>
      </c>
      <c r="J160" s="667"/>
      <c r="K160" s="21">
        <f t="shared" si="30"/>
        <v>1</v>
      </c>
      <c r="L160" s="667"/>
      <c r="M160" s="21">
        <f t="shared" si="31"/>
        <v>1</v>
      </c>
      <c r="N160" s="667"/>
      <c r="O160" s="21">
        <f t="shared" si="32"/>
        <v>1</v>
      </c>
      <c r="P160" s="667"/>
      <c r="Q160" s="21">
        <f t="shared" si="33"/>
        <v>0</v>
      </c>
      <c r="R160" s="663">
        <f t="shared" si="34"/>
        <v>0</v>
      </c>
      <c r="S160" s="316">
        <f t="shared" si="25"/>
        <v>0</v>
      </c>
    </row>
    <row r="161" spans="1:19">
      <c r="A161" s="150"/>
      <c r="B161" s="54"/>
      <c r="C161" s="21">
        <f t="shared" si="26"/>
        <v>1</v>
      </c>
      <c r="D161" s="667"/>
      <c r="E161" s="21">
        <f t="shared" si="27"/>
        <v>1</v>
      </c>
      <c r="F161" s="667"/>
      <c r="G161" s="21">
        <f t="shared" si="28"/>
        <v>1</v>
      </c>
      <c r="H161" s="667"/>
      <c r="I161" s="21">
        <f t="shared" si="29"/>
        <v>1</v>
      </c>
      <c r="J161" s="667"/>
      <c r="K161" s="21">
        <f t="shared" si="30"/>
        <v>1</v>
      </c>
      <c r="L161" s="667"/>
      <c r="M161" s="21">
        <f t="shared" si="31"/>
        <v>1</v>
      </c>
      <c r="N161" s="667"/>
      <c r="O161" s="21">
        <f t="shared" si="32"/>
        <v>1</v>
      </c>
      <c r="P161" s="667"/>
      <c r="Q161" s="21">
        <f t="shared" si="33"/>
        <v>0</v>
      </c>
      <c r="R161" s="663">
        <f t="shared" si="34"/>
        <v>0</v>
      </c>
      <c r="S161" s="316">
        <f t="shared" si="25"/>
        <v>0</v>
      </c>
    </row>
    <row r="162" spans="1:19">
      <c r="A162" s="150"/>
      <c r="B162" s="54"/>
      <c r="C162" s="21">
        <f t="shared" si="26"/>
        <v>1</v>
      </c>
      <c r="D162" s="667"/>
      <c r="E162" s="21">
        <f t="shared" si="27"/>
        <v>1</v>
      </c>
      <c r="F162" s="667"/>
      <c r="G162" s="21">
        <f t="shared" si="28"/>
        <v>1</v>
      </c>
      <c r="H162" s="667"/>
      <c r="I162" s="21">
        <f t="shared" si="29"/>
        <v>1</v>
      </c>
      <c r="J162" s="667"/>
      <c r="K162" s="21">
        <f t="shared" si="30"/>
        <v>1</v>
      </c>
      <c r="L162" s="667"/>
      <c r="M162" s="21">
        <f t="shared" si="31"/>
        <v>1</v>
      </c>
      <c r="N162" s="667"/>
      <c r="O162" s="21">
        <f t="shared" si="32"/>
        <v>1</v>
      </c>
      <c r="P162" s="667"/>
      <c r="Q162" s="21">
        <f t="shared" si="33"/>
        <v>0</v>
      </c>
      <c r="R162" s="663">
        <f t="shared" si="34"/>
        <v>0</v>
      </c>
      <c r="S162" s="316">
        <f t="shared" si="25"/>
        <v>0</v>
      </c>
    </row>
    <row r="163" spans="1:19">
      <c r="A163" s="150"/>
      <c r="B163" s="54"/>
      <c r="C163" s="21">
        <f t="shared" si="26"/>
        <v>1</v>
      </c>
      <c r="D163" s="667"/>
      <c r="E163" s="21">
        <f t="shared" si="27"/>
        <v>1</v>
      </c>
      <c r="F163" s="667"/>
      <c r="G163" s="21">
        <f t="shared" si="28"/>
        <v>1</v>
      </c>
      <c r="H163" s="667"/>
      <c r="I163" s="21">
        <f t="shared" si="29"/>
        <v>1</v>
      </c>
      <c r="J163" s="667"/>
      <c r="K163" s="21">
        <f t="shared" si="30"/>
        <v>1</v>
      </c>
      <c r="L163" s="667"/>
      <c r="M163" s="21">
        <f t="shared" si="31"/>
        <v>1</v>
      </c>
      <c r="N163" s="667"/>
      <c r="O163" s="21">
        <f t="shared" si="32"/>
        <v>1</v>
      </c>
      <c r="P163" s="667"/>
      <c r="Q163" s="21">
        <f t="shared" si="33"/>
        <v>0</v>
      </c>
      <c r="R163" s="663">
        <f t="shared" si="34"/>
        <v>0</v>
      </c>
      <c r="S163" s="316">
        <f t="shared" si="25"/>
        <v>0</v>
      </c>
    </row>
    <row r="164" spans="1:19">
      <c r="A164" s="150"/>
      <c r="B164" s="54"/>
      <c r="C164" s="21">
        <f t="shared" si="26"/>
        <v>1</v>
      </c>
      <c r="D164" s="667"/>
      <c r="E164" s="21">
        <f t="shared" si="27"/>
        <v>1</v>
      </c>
      <c r="F164" s="667"/>
      <c r="G164" s="21">
        <f t="shared" si="28"/>
        <v>1</v>
      </c>
      <c r="H164" s="667"/>
      <c r="I164" s="21">
        <f t="shared" si="29"/>
        <v>1</v>
      </c>
      <c r="J164" s="667"/>
      <c r="K164" s="21">
        <f t="shared" si="30"/>
        <v>1</v>
      </c>
      <c r="L164" s="667"/>
      <c r="M164" s="21">
        <f t="shared" si="31"/>
        <v>1</v>
      </c>
      <c r="N164" s="667"/>
      <c r="O164" s="21">
        <f t="shared" si="32"/>
        <v>1</v>
      </c>
      <c r="P164" s="667"/>
      <c r="Q164" s="21">
        <f t="shared" si="33"/>
        <v>0</v>
      </c>
      <c r="R164" s="663">
        <f t="shared" si="34"/>
        <v>0</v>
      </c>
      <c r="S164" s="316">
        <f t="shared" si="25"/>
        <v>0</v>
      </c>
    </row>
    <row r="165" spans="1:19">
      <c r="A165" s="150"/>
      <c r="B165" s="54"/>
      <c r="C165" s="21">
        <f t="shared" si="26"/>
        <v>1</v>
      </c>
      <c r="D165" s="667"/>
      <c r="E165" s="21">
        <f t="shared" si="27"/>
        <v>1</v>
      </c>
      <c r="F165" s="667"/>
      <c r="G165" s="21">
        <f t="shared" si="28"/>
        <v>1</v>
      </c>
      <c r="H165" s="667"/>
      <c r="I165" s="21">
        <f t="shared" si="29"/>
        <v>1</v>
      </c>
      <c r="J165" s="667"/>
      <c r="K165" s="21">
        <f t="shared" si="30"/>
        <v>1</v>
      </c>
      <c r="L165" s="667"/>
      <c r="M165" s="21">
        <f t="shared" si="31"/>
        <v>1</v>
      </c>
      <c r="N165" s="667"/>
      <c r="O165" s="21">
        <f t="shared" si="32"/>
        <v>1</v>
      </c>
      <c r="P165" s="667"/>
      <c r="Q165" s="21">
        <f t="shared" si="33"/>
        <v>0</v>
      </c>
      <c r="R165" s="663">
        <f t="shared" si="34"/>
        <v>0</v>
      </c>
      <c r="S165" s="316">
        <f t="shared" si="25"/>
        <v>0</v>
      </c>
    </row>
    <row r="166" spans="1:19">
      <c r="A166" s="150"/>
      <c r="B166" s="54"/>
      <c r="C166" s="21">
        <f t="shared" si="26"/>
        <v>1</v>
      </c>
      <c r="D166" s="667"/>
      <c r="E166" s="21">
        <f t="shared" si="27"/>
        <v>1</v>
      </c>
      <c r="F166" s="667"/>
      <c r="G166" s="21">
        <f t="shared" si="28"/>
        <v>1</v>
      </c>
      <c r="H166" s="667"/>
      <c r="I166" s="21">
        <f t="shared" si="29"/>
        <v>1</v>
      </c>
      <c r="J166" s="667"/>
      <c r="K166" s="21">
        <f t="shared" si="30"/>
        <v>1</v>
      </c>
      <c r="L166" s="667"/>
      <c r="M166" s="21">
        <f t="shared" si="31"/>
        <v>1</v>
      </c>
      <c r="N166" s="667"/>
      <c r="O166" s="21">
        <f t="shared" si="32"/>
        <v>1</v>
      </c>
      <c r="P166" s="667"/>
      <c r="Q166" s="21">
        <f t="shared" si="33"/>
        <v>0</v>
      </c>
      <c r="R166" s="663">
        <f t="shared" si="34"/>
        <v>0</v>
      </c>
      <c r="S166" s="316">
        <f t="shared" si="25"/>
        <v>0</v>
      </c>
    </row>
    <row r="167" spans="1:19">
      <c r="A167" s="150"/>
      <c r="B167" s="54"/>
      <c r="C167" s="21">
        <f t="shared" si="26"/>
        <v>1</v>
      </c>
      <c r="D167" s="667"/>
      <c r="E167" s="21">
        <f t="shared" si="27"/>
        <v>1</v>
      </c>
      <c r="F167" s="667"/>
      <c r="G167" s="21">
        <f t="shared" si="28"/>
        <v>1</v>
      </c>
      <c r="H167" s="667"/>
      <c r="I167" s="21">
        <f t="shared" si="29"/>
        <v>1</v>
      </c>
      <c r="J167" s="667"/>
      <c r="K167" s="21">
        <f t="shared" si="30"/>
        <v>1</v>
      </c>
      <c r="L167" s="667"/>
      <c r="M167" s="21">
        <f t="shared" si="31"/>
        <v>1</v>
      </c>
      <c r="N167" s="667"/>
      <c r="O167" s="21">
        <f t="shared" si="32"/>
        <v>1</v>
      </c>
      <c r="P167" s="667"/>
      <c r="Q167" s="21">
        <f t="shared" si="33"/>
        <v>0</v>
      </c>
      <c r="R167" s="663">
        <f t="shared" si="34"/>
        <v>0</v>
      </c>
      <c r="S167" s="316">
        <f t="shared" si="25"/>
        <v>0</v>
      </c>
    </row>
    <row r="168" spans="1:19">
      <c r="A168" s="150"/>
      <c r="B168" s="54"/>
      <c r="C168" s="21">
        <f t="shared" si="26"/>
        <v>1</v>
      </c>
      <c r="D168" s="667"/>
      <c r="E168" s="21">
        <f t="shared" si="27"/>
        <v>1</v>
      </c>
      <c r="F168" s="667"/>
      <c r="G168" s="21">
        <f t="shared" si="28"/>
        <v>1</v>
      </c>
      <c r="H168" s="667"/>
      <c r="I168" s="21">
        <f t="shared" si="29"/>
        <v>1</v>
      </c>
      <c r="J168" s="667"/>
      <c r="K168" s="21">
        <f t="shared" si="30"/>
        <v>1</v>
      </c>
      <c r="L168" s="667"/>
      <c r="M168" s="21">
        <f t="shared" si="31"/>
        <v>1</v>
      </c>
      <c r="N168" s="667"/>
      <c r="O168" s="21">
        <f t="shared" si="32"/>
        <v>1</v>
      </c>
      <c r="P168" s="667"/>
      <c r="Q168" s="21">
        <f t="shared" si="33"/>
        <v>0</v>
      </c>
      <c r="R168" s="663">
        <f t="shared" si="34"/>
        <v>0</v>
      </c>
      <c r="S168" s="316">
        <f t="shared" si="25"/>
        <v>0</v>
      </c>
    </row>
    <row r="169" spans="1:19">
      <c r="A169" s="150"/>
      <c r="B169" s="54"/>
      <c r="C169" s="21">
        <f t="shared" si="26"/>
        <v>1</v>
      </c>
      <c r="D169" s="667"/>
      <c r="E169" s="21">
        <f t="shared" si="27"/>
        <v>1</v>
      </c>
      <c r="F169" s="667"/>
      <c r="G169" s="21">
        <f t="shared" si="28"/>
        <v>1</v>
      </c>
      <c r="H169" s="667"/>
      <c r="I169" s="21">
        <f t="shared" si="29"/>
        <v>1</v>
      </c>
      <c r="J169" s="667"/>
      <c r="K169" s="21">
        <f t="shared" si="30"/>
        <v>1</v>
      </c>
      <c r="L169" s="667"/>
      <c r="M169" s="21">
        <f t="shared" si="31"/>
        <v>1</v>
      </c>
      <c r="N169" s="667"/>
      <c r="O169" s="21">
        <f t="shared" si="32"/>
        <v>1</v>
      </c>
      <c r="P169" s="667"/>
      <c r="Q169" s="21">
        <f t="shared" si="33"/>
        <v>0</v>
      </c>
      <c r="R169" s="663">
        <f t="shared" si="34"/>
        <v>0</v>
      </c>
      <c r="S169" s="316">
        <f t="shared" si="25"/>
        <v>0</v>
      </c>
    </row>
    <row r="170" spans="1:19">
      <c r="A170" s="150"/>
      <c r="B170" s="54"/>
      <c r="C170" s="21">
        <f t="shared" si="26"/>
        <v>1</v>
      </c>
      <c r="D170" s="667"/>
      <c r="E170" s="21">
        <f t="shared" si="27"/>
        <v>1</v>
      </c>
      <c r="F170" s="667"/>
      <c r="G170" s="21">
        <f t="shared" si="28"/>
        <v>1</v>
      </c>
      <c r="H170" s="667"/>
      <c r="I170" s="21">
        <f t="shared" si="29"/>
        <v>1</v>
      </c>
      <c r="J170" s="667"/>
      <c r="K170" s="21">
        <f t="shared" si="30"/>
        <v>1</v>
      </c>
      <c r="L170" s="667"/>
      <c r="M170" s="21">
        <f t="shared" si="31"/>
        <v>1</v>
      </c>
      <c r="N170" s="667"/>
      <c r="O170" s="21">
        <f t="shared" si="32"/>
        <v>1</v>
      </c>
      <c r="P170" s="667"/>
      <c r="Q170" s="21">
        <f t="shared" si="33"/>
        <v>0</v>
      </c>
      <c r="R170" s="663">
        <f t="shared" si="34"/>
        <v>0</v>
      </c>
      <c r="S170" s="316">
        <f t="shared" si="25"/>
        <v>0</v>
      </c>
    </row>
    <row r="171" spans="1:19">
      <c r="A171" s="150"/>
      <c r="B171" s="54"/>
      <c r="C171" s="21">
        <f t="shared" si="26"/>
        <v>1</v>
      </c>
      <c r="D171" s="667"/>
      <c r="E171" s="21">
        <f t="shared" si="27"/>
        <v>1</v>
      </c>
      <c r="F171" s="667"/>
      <c r="G171" s="21">
        <f t="shared" si="28"/>
        <v>1</v>
      </c>
      <c r="H171" s="667"/>
      <c r="I171" s="21">
        <f t="shared" si="29"/>
        <v>1</v>
      </c>
      <c r="J171" s="667"/>
      <c r="K171" s="21">
        <f t="shared" si="30"/>
        <v>1</v>
      </c>
      <c r="L171" s="667"/>
      <c r="M171" s="21">
        <f t="shared" si="31"/>
        <v>1</v>
      </c>
      <c r="N171" s="667"/>
      <c r="O171" s="21">
        <f t="shared" si="32"/>
        <v>1</v>
      </c>
      <c r="P171" s="667"/>
      <c r="Q171" s="21">
        <f t="shared" si="33"/>
        <v>0</v>
      </c>
      <c r="R171" s="663">
        <f t="shared" si="34"/>
        <v>0</v>
      </c>
      <c r="S171" s="316">
        <f t="shared" si="25"/>
        <v>0</v>
      </c>
    </row>
    <row r="172" spans="1:19">
      <c r="A172" s="150"/>
      <c r="B172" s="54"/>
      <c r="C172" s="21">
        <f t="shared" si="26"/>
        <v>1</v>
      </c>
      <c r="D172" s="667"/>
      <c r="E172" s="21">
        <f t="shared" si="27"/>
        <v>1</v>
      </c>
      <c r="F172" s="667"/>
      <c r="G172" s="21">
        <f t="shared" si="28"/>
        <v>1</v>
      </c>
      <c r="H172" s="667"/>
      <c r="I172" s="21">
        <f t="shared" si="29"/>
        <v>1</v>
      </c>
      <c r="J172" s="667"/>
      <c r="K172" s="21">
        <f t="shared" si="30"/>
        <v>1</v>
      </c>
      <c r="L172" s="667"/>
      <c r="M172" s="21">
        <f t="shared" si="31"/>
        <v>1</v>
      </c>
      <c r="N172" s="667"/>
      <c r="O172" s="21">
        <f t="shared" si="32"/>
        <v>1</v>
      </c>
      <c r="P172" s="667"/>
      <c r="Q172" s="21">
        <f t="shared" si="33"/>
        <v>0</v>
      </c>
      <c r="R172" s="663">
        <f t="shared" si="34"/>
        <v>0</v>
      </c>
      <c r="S172" s="316">
        <f t="shared" si="25"/>
        <v>0</v>
      </c>
    </row>
    <row r="173" spans="1:19">
      <c r="A173" s="150"/>
      <c r="B173" s="54"/>
      <c r="C173" s="21">
        <f t="shared" si="26"/>
        <v>1</v>
      </c>
      <c r="D173" s="667"/>
      <c r="E173" s="21">
        <f t="shared" si="27"/>
        <v>1</v>
      </c>
      <c r="F173" s="667"/>
      <c r="G173" s="21">
        <f t="shared" si="28"/>
        <v>1</v>
      </c>
      <c r="H173" s="667"/>
      <c r="I173" s="21">
        <f t="shared" si="29"/>
        <v>1</v>
      </c>
      <c r="J173" s="667"/>
      <c r="K173" s="21">
        <f t="shared" si="30"/>
        <v>1</v>
      </c>
      <c r="L173" s="667"/>
      <c r="M173" s="21">
        <f t="shared" si="31"/>
        <v>1</v>
      </c>
      <c r="N173" s="667"/>
      <c r="O173" s="21">
        <f t="shared" si="32"/>
        <v>1</v>
      </c>
      <c r="P173" s="667"/>
      <c r="Q173" s="21">
        <f t="shared" si="33"/>
        <v>0</v>
      </c>
      <c r="R173" s="663">
        <f t="shared" si="34"/>
        <v>0</v>
      </c>
      <c r="S173" s="316">
        <f t="shared" si="25"/>
        <v>0</v>
      </c>
    </row>
    <row r="174" spans="1:19">
      <c r="A174" s="150"/>
      <c r="B174" s="54"/>
      <c r="C174" s="21">
        <f t="shared" si="26"/>
        <v>1</v>
      </c>
      <c r="D174" s="667"/>
      <c r="E174" s="21">
        <f t="shared" si="27"/>
        <v>1</v>
      </c>
      <c r="F174" s="667"/>
      <c r="G174" s="21">
        <f t="shared" si="28"/>
        <v>1</v>
      </c>
      <c r="H174" s="667"/>
      <c r="I174" s="21">
        <f t="shared" si="29"/>
        <v>1</v>
      </c>
      <c r="J174" s="667"/>
      <c r="K174" s="21">
        <f t="shared" si="30"/>
        <v>1</v>
      </c>
      <c r="L174" s="667"/>
      <c r="M174" s="21">
        <f t="shared" si="31"/>
        <v>1</v>
      </c>
      <c r="N174" s="667"/>
      <c r="O174" s="21">
        <f t="shared" si="32"/>
        <v>1</v>
      </c>
      <c r="P174" s="667"/>
      <c r="Q174" s="21">
        <f t="shared" si="33"/>
        <v>0</v>
      </c>
      <c r="R174" s="663">
        <f t="shared" si="34"/>
        <v>0</v>
      </c>
      <c r="S174" s="316">
        <f t="shared" si="25"/>
        <v>0</v>
      </c>
    </row>
    <row r="175" spans="1:19">
      <c r="A175" s="150"/>
      <c r="B175" s="54"/>
      <c r="C175" s="21">
        <f t="shared" si="26"/>
        <v>1</v>
      </c>
      <c r="D175" s="667"/>
      <c r="E175" s="21">
        <f t="shared" si="27"/>
        <v>1</v>
      </c>
      <c r="F175" s="667"/>
      <c r="G175" s="21">
        <f t="shared" si="28"/>
        <v>1</v>
      </c>
      <c r="H175" s="667"/>
      <c r="I175" s="21">
        <f t="shared" si="29"/>
        <v>1</v>
      </c>
      <c r="J175" s="667"/>
      <c r="K175" s="21">
        <f t="shared" si="30"/>
        <v>1</v>
      </c>
      <c r="L175" s="667"/>
      <c r="M175" s="21">
        <f t="shared" si="31"/>
        <v>1</v>
      </c>
      <c r="N175" s="667"/>
      <c r="O175" s="21">
        <f t="shared" si="32"/>
        <v>1</v>
      </c>
      <c r="P175" s="667"/>
      <c r="Q175" s="21">
        <f t="shared" si="33"/>
        <v>0</v>
      </c>
      <c r="R175" s="663">
        <f t="shared" si="34"/>
        <v>0</v>
      </c>
      <c r="S175" s="316">
        <f t="shared" si="25"/>
        <v>0</v>
      </c>
    </row>
    <row r="176" spans="1:19">
      <c r="A176" s="150"/>
      <c r="B176" s="54"/>
      <c r="C176" s="21">
        <f t="shared" si="26"/>
        <v>1</v>
      </c>
      <c r="D176" s="667"/>
      <c r="E176" s="21">
        <f t="shared" si="27"/>
        <v>1</v>
      </c>
      <c r="F176" s="667"/>
      <c r="G176" s="21">
        <f t="shared" si="28"/>
        <v>1</v>
      </c>
      <c r="H176" s="667"/>
      <c r="I176" s="21">
        <f t="shared" si="29"/>
        <v>1</v>
      </c>
      <c r="J176" s="667"/>
      <c r="K176" s="21">
        <f t="shared" si="30"/>
        <v>1</v>
      </c>
      <c r="L176" s="667"/>
      <c r="M176" s="21">
        <f t="shared" si="31"/>
        <v>1</v>
      </c>
      <c r="N176" s="667"/>
      <c r="O176" s="21">
        <f t="shared" si="32"/>
        <v>1</v>
      </c>
      <c r="P176" s="667"/>
      <c r="Q176" s="21">
        <f t="shared" si="33"/>
        <v>0</v>
      </c>
      <c r="R176" s="663">
        <f t="shared" si="34"/>
        <v>0</v>
      </c>
      <c r="S176" s="316">
        <f t="shared" si="25"/>
        <v>0</v>
      </c>
    </row>
    <row r="177" spans="1:19">
      <c r="A177" s="150"/>
      <c r="B177" s="54"/>
      <c r="C177" s="21">
        <f t="shared" si="26"/>
        <v>1</v>
      </c>
      <c r="D177" s="667"/>
      <c r="E177" s="21">
        <f t="shared" si="27"/>
        <v>1</v>
      </c>
      <c r="F177" s="667"/>
      <c r="G177" s="21">
        <f t="shared" si="28"/>
        <v>1</v>
      </c>
      <c r="H177" s="667"/>
      <c r="I177" s="21">
        <f t="shared" si="29"/>
        <v>1</v>
      </c>
      <c r="J177" s="667"/>
      <c r="K177" s="21">
        <f t="shared" si="30"/>
        <v>1</v>
      </c>
      <c r="L177" s="667"/>
      <c r="M177" s="21">
        <f t="shared" si="31"/>
        <v>1</v>
      </c>
      <c r="N177" s="667"/>
      <c r="O177" s="21">
        <f t="shared" si="32"/>
        <v>1</v>
      </c>
      <c r="P177" s="667"/>
      <c r="Q177" s="21">
        <f t="shared" si="33"/>
        <v>0</v>
      </c>
      <c r="R177" s="663">
        <f t="shared" si="34"/>
        <v>0</v>
      </c>
      <c r="S177" s="316">
        <f t="shared" si="25"/>
        <v>0</v>
      </c>
    </row>
    <row r="178" spans="1:19">
      <c r="A178" s="150"/>
      <c r="B178" s="54"/>
      <c r="C178" s="21">
        <f t="shared" si="26"/>
        <v>1</v>
      </c>
      <c r="D178" s="667"/>
      <c r="E178" s="21">
        <f t="shared" si="27"/>
        <v>1</v>
      </c>
      <c r="F178" s="667"/>
      <c r="G178" s="21">
        <f t="shared" si="28"/>
        <v>1</v>
      </c>
      <c r="H178" s="667"/>
      <c r="I178" s="21">
        <f t="shared" si="29"/>
        <v>1</v>
      </c>
      <c r="J178" s="667"/>
      <c r="K178" s="21">
        <f t="shared" si="30"/>
        <v>1</v>
      </c>
      <c r="L178" s="667"/>
      <c r="M178" s="21">
        <f t="shared" si="31"/>
        <v>1</v>
      </c>
      <c r="N178" s="667"/>
      <c r="O178" s="21">
        <f t="shared" si="32"/>
        <v>1</v>
      </c>
      <c r="P178" s="667"/>
      <c r="Q178" s="21">
        <f t="shared" si="33"/>
        <v>0</v>
      </c>
      <c r="R178" s="663">
        <f t="shared" si="34"/>
        <v>0</v>
      </c>
      <c r="S178" s="316">
        <f t="shared" si="25"/>
        <v>0</v>
      </c>
    </row>
    <row r="179" spans="1:19">
      <c r="A179" s="150"/>
      <c r="B179" s="54"/>
      <c r="C179" s="21">
        <f t="shared" si="26"/>
        <v>1</v>
      </c>
      <c r="D179" s="667"/>
      <c r="E179" s="21">
        <f t="shared" si="27"/>
        <v>1</v>
      </c>
      <c r="F179" s="667"/>
      <c r="G179" s="21">
        <f t="shared" si="28"/>
        <v>1</v>
      </c>
      <c r="H179" s="667"/>
      <c r="I179" s="21">
        <f t="shared" si="29"/>
        <v>1</v>
      </c>
      <c r="J179" s="667"/>
      <c r="K179" s="21">
        <f t="shared" si="30"/>
        <v>1</v>
      </c>
      <c r="L179" s="667"/>
      <c r="M179" s="21">
        <f t="shared" si="31"/>
        <v>1</v>
      </c>
      <c r="N179" s="667"/>
      <c r="O179" s="21">
        <f t="shared" si="32"/>
        <v>1</v>
      </c>
      <c r="P179" s="667"/>
      <c r="Q179" s="21">
        <f t="shared" si="33"/>
        <v>0</v>
      </c>
      <c r="R179" s="663">
        <f t="shared" si="34"/>
        <v>0</v>
      </c>
      <c r="S179" s="316">
        <f t="shared" si="25"/>
        <v>0</v>
      </c>
    </row>
    <row r="180" spans="1:19">
      <c r="A180" s="150"/>
      <c r="B180" s="54"/>
      <c r="C180" s="21">
        <f t="shared" si="26"/>
        <v>1</v>
      </c>
      <c r="D180" s="667"/>
      <c r="E180" s="21">
        <f t="shared" si="27"/>
        <v>1</v>
      </c>
      <c r="F180" s="667"/>
      <c r="G180" s="21">
        <f t="shared" si="28"/>
        <v>1</v>
      </c>
      <c r="H180" s="667"/>
      <c r="I180" s="21">
        <f t="shared" si="29"/>
        <v>1</v>
      </c>
      <c r="J180" s="667"/>
      <c r="K180" s="21">
        <f t="shared" si="30"/>
        <v>1</v>
      </c>
      <c r="L180" s="667"/>
      <c r="M180" s="21">
        <f t="shared" si="31"/>
        <v>1</v>
      </c>
      <c r="N180" s="667"/>
      <c r="O180" s="21">
        <f t="shared" si="32"/>
        <v>1</v>
      </c>
      <c r="P180" s="667"/>
      <c r="Q180" s="21">
        <f t="shared" si="33"/>
        <v>0</v>
      </c>
      <c r="R180" s="663">
        <f t="shared" si="34"/>
        <v>0</v>
      </c>
      <c r="S180" s="316">
        <f t="shared" si="25"/>
        <v>0</v>
      </c>
    </row>
    <row r="181" spans="1:19">
      <c r="A181" s="150"/>
      <c r="B181" s="54"/>
      <c r="C181" s="21">
        <f t="shared" si="26"/>
        <v>1</v>
      </c>
      <c r="D181" s="667"/>
      <c r="E181" s="21">
        <f t="shared" si="27"/>
        <v>1</v>
      </c>
      <c r="F181" s="667"/>
      <c r="G181" s="21">
        <f t="shared" si="28"/>
        <v>1</v>
      </c>
      <c r="H181" s="667"/>
      <c r="I181" s="21">
        <f t="shared" si="29"/>
        <v>1</v>
      </c>
      <c r="J181" s="667"/>
      <c r="K181" s="21">
        <f t="shared" si="30"/>
        <v>1</v>
      </c>
      <c r="L181" s="667"/>
      <c r="M181" s="21">
        <f t="shared" si="31"/>
        <v>1</v>
      </c>
      <c r="N181" s="667"/>
      <c r="O181" s="21">
        <f t="shared" si="32"/>
        <v>1</v>
      </c>
      <c r="P181" s="667"/>
      <c r="Q181" s="21">
        <f t="shared" si="33"/>
        <v>0</v>
      </c>
      <c r="R181" s="663">
        <f t="shared" si="34"/>
        <v>0</v>
      </c>
      <c r="S181" s="316">
        <f t="shared" si="25"/>
        <v>0</v>
      </c>
    </row>
    <row r="182" spans="1:19">
      <c r="A182" s="150"/>
      <c r="B182" s="54"/>
      <c r="C182" s="21">
        <f t="shared" si="26"/>
        <v>1</v>
      </c>
      <c r="D182" s="667"/>
      <c r="E182" s="21">
        <f t="shared" si="27"/>
        <v>1</v>
      </c>
      <c r="F182" s="667"/>
      <c r="G182" s="21">
        <f t="shared" si="28"/>
        <v>1</v>
      </c>
      <c r="H182" s="667"/>
      <c r="I182" s="21">
        <f t="shared" si="29"/>
        <v>1</v>
      </c>
      <c r="J182" s="667"/>
      <c r="K182" s="21">
        <f t="shared" si="30"/>
        <v>1</v>
      </c>
      <c r="L182" s="667"/>
      <c r="M182" s="21">
        <f t="shared" si="31"/>
        <v>1</v>
      </c>
      <c r="N182" s="667"/>
      <c r="O182" s="21">
        <f t="shared" si="32"/>
        <v>1</v>
      </c>
      <c r="P182" s="667"/>
      <c r="Q182" s="21">
        <f t="shared" si="33"/>
        <v>0</v>
      </c>
      <c r="R182" s="663">
        <f t="shared" si="34"/>
        <v>0</v>
      </c>
      <c r="S182" s="316">
        <f t="shared" si="25"/>
        <v>0</v>
      </c>
    </row>
    <row r="183" spans="1:19">
      <c r="A183" s="150"/>
      <c r="B183" s="54"/>
      <c r="C183" s="21">
        <f t="shared" si="26"/>
        <v>1</v>
      </c>
      <c r="D183" s="667"/>
      <c r="E183" s="21">
        <f t="shared" si="27"/>
        <v>1</v>
      </c>
      <c r="F183" s="667"/>
      <c r="G183" s="21">
        <f t="shared" si="28"/>
        <v>1</v>
      </c>
      <c r="H183" s="667"/>
      <c r="I183" s="21">
        <f t="shared" si="29"/>
        <v>1</v>
      </c>
      <c r="J183" s="667"/>
      <c r="K183" s="21">
        <f t="shared" si="30"/>
        <v>1</v>
      </c>
      <c r="L183" s="667"/>
      <c r="M183" s="21">
        <f t="shared" si="31"/>
        <v>1</v>
      </c>
      <c r="N183" s="667"/>
      <c r="O183" s="21">
        <f t="shared" si="32"/>
        <v>1</v>
      </c>
      <c r="P183" s="667"/>
      <c r="Q183" s="21">
        <f t="shared" si="33"/>
        <v>0</v>
      </c>
      <c r="R183" s="663">
        <f t="shared" si="34"/>
        <v>0</v>
      </c>
      <c r="S183" s="316">
        <f t="shared" si="25"/>
        <v>0</v>
      </c>
    </row>
    <row r="184" spans="1:19">
      <c r="A184" s="150"/>
      <c r="B184" s="54"/>
      <c r="C184" s="21">
        <f t="shared" si="26"/>
        <v>1</v>
      </c>
      <c r="D184" s="667"/>
      <c r="E184" s="21">
        <f t="shared" si="27"/>
        <v>1</v>
      </c>
      <c r="F184" s="667"/>
      <c r="G184" s="21">
        <f t="shared" si="28"/>
        <v>1</v>
      </c>
      <c r="H184" s="667"/>
      <c r="I184" s="21">
        <f t="shared" si="29"/>
        <v>1</v>
      </c>
      <c r="J184" s="667"/>
      <c r="K184" s="21">
        <f t="shared" si="30"/>
        <v>1</v>
      </c>
      <c r="L184" s="667"/>
      <c r="M184" s="21">
        <f t="shared" si="31"/>
        <v>1</v>
      </c>
      <c r="N184" s="667"/>
      <c r="O184" s="21">
        <f t="shared" si="32"/>
        <v>1</v>
      </c>
      <c r="P184" s="667"/>
      <c r="Q184" s="21">
        <f t="shared" si="33"/>
        <v>0</v>
      </c>
      <c r="R184" s="663">
        <f t="shared" si="34"/>
        <v>0</v>
      </c>
      <c r="S184" s="316">
        <f t="shared" si="25"/>
        <v>0</v>
      </c>
    </row>
    <row r="185" spans="1:19">
      <c r="A185" s="150"/>
      <c r="B185" s="54"/>
      <c r="C185" s="21">
        <f t="shared" si="26"/>
        <v>1</v>
      </c>
      <c r="D185" s="667"/>
      <c r="E185" s="21">
        <f t="shared" si="27"/>
        <v>1</v>
      </c>
      <c r="F185" s="667"/>
      <c r="G185" s="21">
        <f t="shared" si="28"/>
        <v>1</v>
      </c>
      <c r="H185" s="667"/>
      <c r="I185" s="21">
        <f t="shared" si="29"/>
        <v>1</v>
      </c>
      <c r="J185" s="667"/>
      <c r="K185" s="21">
        <f t="shared" si="30"/>
        <v>1</v>
      </c>
      <c r="L185" s="667"/>
      <c r="M185" s="21">
        <f t="shared" si="31"/>
        <v>1</v>
      </c>
      <c r="N185" s="667"/>
      <c r="O185" s="21">
        <f t="shared" si="32"/>
        <v>1</v>
      </c>
      <c r="P185" s="667"/>
      <c r="Q185" s="21">
        <f t="shared" si="33"/>
        <v>0</v>
      </c>
      <c r="R185" s="663">
        <f t="shared" si="34"/>
        <v>0</v>
      </c>
      <c r="S185" s="316">
        <f t="shared" si="25"/>
        <v>0</v>
      </c>
    </row>
    <row r="186" spans="1:19">
      <c r="A186" s="150"/>
      <c r="B186" s="54"/>
      <c r="C186" s="21">
        <f t="shared" si="26"/>
        <v>1</v>
      </c>
      <c r="D186" s="667"/>
      <c r="E186" s="21">
        <f t="shared" si="27"/>
        <v>1</v>
      </c>
      <c r="F186" s="667"/>
      <c r="G186" s="21">
        <f t="shared" si="28"/>
        <v>1</v>
      </c>
      <c r="H186" s="667"/>
      <c r="I186" s="21">
        <f t="shared" si="29"/>
        <v>1</v>
      </c>
      <c r="J186" s="667"/>
      <c r="K186" s="21">
        <f t="shared" si="30"/>
        <v>1</v>
      </c>
      <c r="L186" s="667"/>
      <c r="M186" s="21">
        <f t="shared" si="31"/>
        <v>1</v>
      </c>
      <c r="N186" s="667"/>
      <c r="O186" s="21">
        <f t="shared" si="32"/>
        <v>1</v>
      </c>
      <c r="P186" s="667"/>
      <c r="Q186" s="21">
        <f t="shared" si="33"/>
        <v>0</v>
      </c>
      <c r="R186" s="663">
        <f t="shared" si="34"/>
        <v>0</v>
      </c>
      <c r="S186" s="316">
        <f t="shared" si="25"/>
        <v>0</v>
      </c>
    </row>
    <row r="187" spans="1:19">
      <c r="A187" s="150"/>
      <c r="B187" s="54"/>
      <c r="C187" s="21">
        <f t="shared" si="26"/>
        <v>1</v>
      </c>
      <c r="D187" s="667"/>
      <c r="E187" s="21">
        <f t="shared" si="27"/>
        <v>1</v>
      </c>
      <c r="F187" s="667"/>
      <c r="G187" s="21">
        <f t="shared" si="28"/>
        <v>1</v>
      </c>
      <c r="H187" s="667"/>
      <c r="I187" s="21">
        <f t="shared" si="29"/>
        <v>1</v>
      </c>
      <c r="J187" s="667"/>
      <c r="K187" s="21">
        <f t="shared" si="30"/>
        <v>1</v>
      </c>
      <c r="L187" s="667"/>
      <c r="M187" s="21">
        <f t="shared" si="31"/>
        <v>1</v>
      </c>
      <c r="N187" s="667"/>
      <c r="O187" s="21">
        <f t="shared" si="32"/>
        <v>1</v>
      </c>
      <c r="P187" s="667"/>
      <c r="Q187" s="21">
        <f t="shared" si="33"/>
        <v>0</v>
      </c>
      <c r="R187" s="663">
        <f t="shared" si="34"/>
        <v>0</v>
      </c>
      <c r="S187" s="316">
        <f t="shared" si="25"/>
        <v>0</v>
      </c>
    </row>
    <row r="188" spans="1:19">
      <c r="A188" s="150"/>
      <c r="B188" s="54"/>
      <c r="C188" s="21">
        <f t="shared" si="26"/>
        <v>1</v>
      </c>
      <c r="D188" s="667"/>
      <c r="E188" s="21">
        <f t="shared" si="27"/>
        <v>1</v>
      </c>
      <c r="F188" s="667"/>
      <c r="G188" s="21">
        <f t="shared" si="28"/>
        <v>1</v>
      </c>
      <c r="H188" s="667"/>
      <c r="I188" s="21">
        <f t="shared" si="29"/>
        <v>1</v>
      </c>
      <c r="J188" s="667"/>
      <c r="K188" s="21">
        <f t="shared" si="30"/>
        <v>1</v>
      </c>
      <c r="L188" s="667"/>
      <c r="M188" s="21">
        <f t="shared" si="31"/>
        <v>1</v>
      </c>
      <c r="N188" s="667"/>
      <c r="O188" s="21">
        <f t="shared" si="32"/>
        <v>1</v>
      </c>
      <c r="P188" s="667"/>
      <c r="Q188" s="21">
        <f t="shared" si="33"/>
        <v>0</v>
      </c>
      <c r="R188" s="663">
        <f t="shared" si="34"/>
        <v>0</v>
      </c>
      <c r="S188" s="316">
        <f t="shared" si="25"/>
        <v>0</v>
      </c>
    </row>
    <row r="189" spans="1:19">
      <c r="A189" s="150"/>
      <c r="B189" s="54"/>
      <c r="C189" s="21">
        <f t="shared" si="26"/>
        <v>1</v>
      </c>
      <c r="D189" s="667"/>
      <c r="E189" s="21">
        <f t="shared" si="27"/>
        <v>1</v>
      </c>
      <c r="F189" s="667"/>
      <c r="G189" s="21">
        <f t="shared" si="28"/>
        <v>1</v>
      </c>
      <c r="H189" s="667"/>
      <c r="I189" s="21">
        <f t="shared" si="29"/>
        <v>1</v>
      </c>
      <c r="J189" s="667"/>
      <c r="K189" s="21">
        <f t="shared" si="30"/>
        <v>1</v>
      </c>
      <c r="L189" s="667"/>
      <c r="M189" s="21">
        <f t="shared" si="31"/>
        <v>1</v>
      </c>
      <c r="N189" s="667"/>
      <c r="O189" s="21">
        <f t="shared" si="32"/>
        <v>1</v>
      </c>
      <c r="P189" s="667"/>
      <c r="Q189" s="21">
        <f t="shared" si="33"/>
        <v>0</v>
      </c>
      <c r="R189" s="663">
        <f t="shared" si="34"/>
        <v>0</v>
      </c>
      <c r="S189" s="316">
        <f t="shared" si="25"/>
        <v>0</v>
      </c>
    </row>
    <row r="190" spans="1:19">
      <c r="A190" s="150"/>
      <c r="B190" s="54"/>
      <c r="C190" s="21">
        <f t="shared" si="26"/>
        <v>1</v>
      </c>
      <c r="D190" s="667"/>
      <c r="E190" s="21">
        <f t="shared" si="27"/>
        <v>1</v>
      </c>
      <c r="F190" s="667"/>
      <c r="G190" s="21">
        <f t="shared" si="28"/>
        <v>1</v>
      </c>
      <c r="H190" s="667"/>
      <c r="I190" s="21">
        <f t="shared" si="29"/>
        <v>1</v>
      </c>
      <c r="J190" s="667"/>
      <c r="K190" s="21">
        <f t="shared" si="30"/>
        <v>1</v>
      </c>
      <c r="L190" s="667"/>
      <c r="M190" s="21">
        <f t="shared" si="31"/>
        <v>1</v>
      </c>
      <c r="N190" s="667"/>
      <c r="O190" s="21">
        <f t="shared" si="32"/>
        <v>1</v>
      </c>
      <c r="P190" s="667"/>
      <c r="Q190" s="21">
        <f t="shared" si="33"/>
        <v>0</v>
      </c>
      <c r="R190" s="663">
        <f t="shared" si="34"/>
        <v>0</v>
      </c>
      <c r="S190" s="316">
        <f t="shared" si="25"/>
        <v>0</v>
      </c>
    </row>
    <row r="191" spans="1:19">
      <c r="A191" s="150"/>
      <c r="B191" s="54"/>
      <c r="C191" s="21">
        <f t="shared" si="26"/>
        <v>1</v>
      </c>
      <c r="D191" s="667"/>
      <c r="E191" s="21">
        <f t="shared" si="27"/>
        <v>1</v>
      </c>
      <c r="F191" s="667"/>
      <c r="G191" s="21">
        <f t="shared" si="28"/>
        <v>1</v>
      </c>
      <c r="H191" s="667"/>
      <c r="I191" s="21">
        <f t="shared" si="29"/>
        <v>1</v>
      </c>
      <c r="J191" s="667"/>
      <c r="K191" s="21">
        <f t="shared" si="30"/>
        <v>1</v>
      </c>
      <c r="L191" s="667"/>
      <c r="M191" s="21">
        <f t="shared" si="31"/>
        <v>1</v>
      </c>
      <c r="N191" s="667"/>
      <c r="O191" s="21">
        <f t="shared" si="32"/>
        <v>1</v>
      </c>
      <c r="P191" s="667"/>
      <c r="Q191" s="21">
        <f t="shared" si="33"/>
        <v>0</v>
      </c>
      <c r="R191" s="663">
        <f t="shared" si="34"/>
        <v>0</v>
      </c>
      <c r="S191" s="316">
        <f t="shared" si="25"/>
        <v>0</v>
      </c>
    </row>
    <row r="192" spans="1:19">
      <c r="A192" s="150"/>
      <c r="B192" s="54"/>
      <c r="C192" s="21">
        <f t="shared" si="26"/>
        <v>1</v>
      </c>
      <c r="D192" s="667"/>
      <c r="E192" s="21">
        <f t="shared" si="27"/>
        <v>1</v>
      </c>
      <c r="F192" s="667"/>
      <c r="G192" s="21">
        <f t="shared" si="28"/>
        <v>1</v>
      </c>
      <c r="H192" s="667"/>
      <c r="I192" s="21">
        <f t="shared" si="29"/>
        <v>1</v>
      </c>
      <c r="J192" s="667"/>
      <c r="K192" s="21">
        <f t="shared" si="30"/>
        <v>1</v>
      </c>
      <c r="L192" s="667"/>
      <c r="M192" s="21">
        <f t="shared" si="31"/>
        <v>1</v>
      </c>
      <c r="N192" s="667"/>
      <c r="O192" s="21">
        <f t="shared" si="32"/>
        <v>1</v>
      </c>
      <c r="P192" s="667"/>
      <c r="Q192" s="21">
        <f t="shared" si="33"/>
        <v>0</v>
      </c>
      <c r="R192" s="663">
        <f t="shared" si="34"/>
        <v>0</v>
      </c>
      <c r="S192" s="316">
        <f t="shared" si="25"/>
        <v>0</v>
      </c>
    </row>
    <row r="193" spans="1:19">
      <c r="A193" s="150"/>
      <c r="B193" s="54"/>
      <c r="C193" s="21">
        <f t="shared" si="26"/>
        <v>1</v>
      </c>
      <c r="D193" s="667"/>
      <c r="E193" s="21">
        <f t="shared" si="27"/>
        <v>1</v>
      </c>
      <c r="F193" s="667"/>
      <c r="G193" s="21">
        <f t="shared" si="28"/>
        <v>1</v>
      </c>
      <c r="H193" s="667"/>
      <c r="I193" s="21">
        <f t="shared" si="29"/>
        <v>1</v>
      </c>
      <c r="J193" s="667"/>
      <c r="K193" s="21">
        <f t="shared" si="30"/>
        <v>1</v>
      </c>
      <c r="L193" s="667"/>
      <c r="M193" s="21">
        <f t="shared" si="31"/>
        <v>1</v>
      </c>
      <c r="N193" s="667"/>
      <c r="O193" s="21">
        <f t="shared" si="32"/>
        <v>1</v>
      </c>
      <c r="P193" s="667"/>
      <c r="Q193" s="21">
        <f t="shared" si="33"/>
        <v>0</v>
      </c>
      <c r="R193" s="663">
        <f t="shared" si="34"/>
        <v>0</v>
      </c>
      <c r="S193" s="316">
        <f t="shared" si="25"/>
        <v>0</v>
      </c>
    </row>
    <row r="194" spans="1:19">
      <c r="A194" s="150"/>
      <c r="B194" s="54"/>
      <c r="C194" s="21">
        <f t="shared" si="26"/>
        <v>1</v>
      </c>
      <c r="D194" s="667"/>
      <c r="E194" s="21">
        <f t="shared" si="27"/>
        <v>1</v>
      </c>
      <c r="F194" s="667"/>
      <c r="G194" s="21">
        <f t="shared" si="28"/>
        <v>1</v>
      </c>
      <c r="H194" s="667"/>
      <c r="I194" s="21">
        <f t="shared" si="29"/>
        <v>1</v>
      </c>
      <c r="J194" s="667"/>
      <c r="K194" s="21">
        <f t="shared" si="30"/>
        <v>1</v>
      </c>
      <c r="L194" s="667"/>
      <c r="M194" s="21">
        <f t="shared" si="31"/>
        <v>1</v>
      </c>
      <c r="N194" s="667"/>
      <c r="O194" s="21">
        <f t="shared" si="32"/>
        <v>1</v>
      </c>
      <c r="P194" s="667"/>
      <c r="Q194" s="21">
        <f t="shared" si="33"/>
        <v>0</v>
      </c>
      <c r="R194" s="663">
        <f t="shared" si="34"/>
        <v>0</v>
      </c>
      <c r="S194" s="316">
        <f t="shared" si="25"/>
        <v>0</v>
      </c>
    </row>
    <row r="195" spans="1:19">
      <c r="A195" s="150"/>
      <c r="B195" s="54"/>
      <c r="C195" s="21">
        <f t="shared" si="26"/>
        <v>1</v>
      </c>
      <c r="D195" s="667"/>
      <c r="E195" s="21">
        <f t="shared" si="27"/>
        <v>1</v>
      </c>
      <c r="F195" s="667"/>
      <c r="G195" s="21">
        <f t="shared" si="28"/>
        <v>1</v>
      </c>
      <c r="H195" s="667"/>
      <c r="I195" s="21">
        <f t="shared" si="29"/>
        <v>1</v>
      </c>
      <c r="J195" s="667"/>
      <c r="K195" s="21">
        <f t="shared" si="30"/>
        <v>1</v>
      </c>
      <c r="L195" s="667"/>
      <c r="M195" s="21">
        <f t="shared" si="31"/>
        <v>1</v>
      </c>
      <c r="N195" s="667"/>
      <c r="O195" s="21">
        <f t="shared" si="32"/>
        <v>1</v>
      </c>
      <c r="P195" s="667"/>
      <c r="Q195" s="21">
        <f t="shared" si="33"/>
        <v>0</v>
      </c>
      <c r="R195" s="663">
        <f t="shared" si="34"/>
        <v>0</v>
      </c>
      <c r="S195" s="316">
        <f t="shared" si="25"/>
        <v>0</v>
      </c>
    </row>
    <row r="196" spans="1:19">
      <c r="A196" s="150"/>
      <c r="B196" s="54"/>
      <c r="C196" s="21">
        <f t="shared" si="26"/>
        <v>1</v>
      </c>
      <c r="D196" s="667"/>
      <c r="E196" s="21">
        <f t="shared" si="27"/>
        <v>1</v>
      </c>
      <c r="F196" s="667"/>
      <c r="G196" s="21">
        <f t="shared" si="28"/>
        <v>1</v>
      </c>
      <c r="H196" s="667"/>
      <c r="I196" s="21">
        <f t="shared" si="29"/>
        <v>1</v>
      </c>
      <c r="J196" s="667"/>
      <c r="K196" s="21">
        <f t="shared" si="30"/>
        <v>1</v>
      </c>
      <c r="L196" s="667"/>
      <c r="M196" s="21">
        <f t="shared" si="31"/>
        <v>1</v>
      </c>
      <c r="N196" s="667"/>
      <c r="O196" s="21">
        <f t="shared" si="32"/>
        <v>1</v>
      </c>
      <c r="P196" s="667"/>
      <c r="Q196" s="21">
        <f t="shared" si="33"/>
        <v>0</v>
      </c>
      <c r="R196" s="663">
        <f t="shared" si="34"/>
        <v>0</v>
      </c>
      <c r="S196" s="316">
        <f t="shared" si="25"/>
        <v>0</v>
      </c>
    </row>
    <row r="197" spans="1:19">
      <c r="A197" s="150"/>
      <c r="B197" s="54"/>
      <c r="C197" s="21">
        <f t="shared" si="26"/>
        <v>1</v>
      </c>
      <c r="D197" s="667"/>
      <c r="E197" s="21">
        <f t="shared" si="27"/>
        <v>1</v>
      </c>
      <c r="F197" s="667"/>
      <c r="G197" s="21">
        <f t="shared" si="28"/>
        <v>1</v>
      </c>
      <c r="H197" s="667"/>
      <c r="I197" s="21">
        <f t="shared" si="29"/>
        <v>1</v>
      </c>
      <c r="J197" s="667"/>
      <c r="K197" s="21">
        <f t="shared" si="30"/>
        <v>1</v>
      </c>
      <c r="L197" s="667"/>
      <c r="M197" s="21">
        <f t="shared" si="31"/>
        <v>1</v>
      </c>
      <c r="N197" s="667"/>
      <c r="O197" s="21">
        <f t="shared" si="32"/>
        <v>1</v>
      </c>
      <c r="P197" s="667"/>
      <c r="Q197" s="21">
        <f t="shared" si="33"/>
        <v>0</v>
      </c>
      <c r="R197" s="663">
        <f t="shared" si="34"/>
        <v>0</v>
      </c>
      <c r="S197" s="316">
        <f t="shared" si="25"/>
        <v>0</v>
      </c>
    </row>
    <row r="198" spans="1:19">
      <c r="A198" s="150"/>
      <c r="B198" s="54"/>
      <c r="C198" s="21">
        <f t="shared" si="26"/>
        <v>1</v>
      </c>
      <c r="D198" s="667"/>
      <c r="E198" s="21">
        <f t="shared" si="27"/>
        <v>1</v>
      </c>
      <c r="F198" s="667"/>
      <c r="G198" s="21">
        <f t="shared" si="28"/>
        <v>1</v>
      </c>
      <c r="H198" s="667"/>
      <c r="I198" s="21">
        <f t="shared" si="29"/>
        <v>1</v>
      </c>
      <c r="J198" s="667"/>
      <c r="K198" s="21">
        <f t="shared" si="30"/>
        <v>1</v>
      </c>
      <c r="L198" s="667"/>
      <c r="M198" s="21">
        <f t="shared" si="31"/>
        <v>1</v>
      </c>
      <c r="N198" s="667"/>
      <c r="O198" s="21">
        <f t="shared" si="32"/>
        <v>1</v>
      </c>
      <c r="P198" s="667"/>
      <c r="Q198" s="21">
        <f t="shared" si="33"/>
        <v>0</v>
      </c>
      <c r="R198" s="663">
        <f t="shared" si="34"/>
        <v>0</v>
      </c>
      <c r="S198" s="316">
        <f t="shared" si="25"/>
        <v>0</v>
      </c>
    </row>
    <row r="199" spans="1:19">
      <c r="A199" s="150"/>
      <c r="B199" s="54"/>
      <c r="C199" s="21">
        <f t="shared" si="26"/>
        <v>1</v>
      </c>
      <c r="D199" s="667"/>
      <c r="E199" s="21">
        <f t="shared" si="27"/>
        <v>1</v>
      </c>
      <c r="F199" s="667"/>
      <c r="G199" s="21">
        <f t="shared" si="28"/>
        <v>1</v>
      </c>
      <c r="H199" s="667"/>
      <c r="I199" s="21">
        <f t="shared" si="29"/>
        <v>1</v>
      </c>
      <c r="J199" s="667"/>
      <c r="K199" s="21">
        <f t="shared" si="30"/>
        <v>1</v>
      </c>
      <c r="L199" s="667"/>
      <c r="M199" s="21">
        <f t="shared" si="31"/>
        <v>1</v>
      </c>
      <c r="N199" s="667"/>
      <c r="O199" s="21">
        <f t="shared" si="32"/>
        <v>1</v>
      </c>
      <c r="P199" s="667"/>
      <c r="Q199" s="21">
        <f t="shared" si="33"/>
        <v>0</v>
      </c>
      <c r="R199" s="663">
        <f t="shared" si="34"/>
        <v>0</v>
      </c>
      <c r="S199" s="316">
        <f t="shared" si="25"/>
        <v>0</v>
      </c>
    </row>
    <row r="200" spans="1:19">
      <c r="A200" s="150"/>
      <c r="B200" s="54"/>
      <c r="C200" s="21">
        <f t="shared" si="26"/>
        <v>1</v>
      </c>
      <c r="D200" s="667"/>
      <c r="E200" s="21">
        <f t="shared" si="27"/>
        <v>1</v>
      </c>
      <c r="F200" s="667"/>
      <c r="G200" s="21">
        <f t="shared" si="28"/>
        <v>1</v>
      </c>
      <c r="H200" s="667"/>
      <c r="I200" s="21">
        <f t="shared" si="29"/>
        <v>1</v>
      </c>
      <c r="J200" s="667"/>
      <c r="K200" s="21">
        <f t="shared" si="30"/>
        <v>1</v>
      </c>
      <c r="L200" s="667"/>
      <c r="M200" s="21">
        <f t="shared" si="31"/>
        <v>1</v>
      </c>
      <c r="N200" s="667"/>
      <c r="O200" s="21">
        <f t="shared" si="32"/>
        <v>1</v>
      </c>
      <c r="P200" s="667"/>
      <c r="Q200" s="21">
        <f t="shared" si="33"/>
        <v>0</v>
      </c>
      <c r="R200" s="663">
        <f t="shared" si="34"/>
        <v>0</v>
      </c>
      <c r="S200" s="316">
        <f t="shared" si="25"/>
        <v>0</v>
      </c>
    </row>
    <row r="201" spans="1:19">
      <c r="A201" s="150"/>
      <c r="B201" s="54"/>
      <c r="C201" s="21">
        <f t="shared" si="26"/>
        <v>1</v>
      </c>
      <c r="D201" s="667"/>
      <c r="E201" s="21">
        <f t="shared" si="27"/>
        <v>1</v>
      </c>
      <c r="F201" s="667"/>
      <c r="G201" s="21">
        <f t="shared" si="28"/>
        <v>1</v>
      </c>
      <c r="H201" s="667"/>
      <c r="I201" s="21">
        <f t="shared" si="29"/>
        <v>1</v>
      </c>
      <c r="J201" s="667"/>
      <c r="K201" s="21">
        <f t="shared" si="30"/>
        <v>1</v>
      </c>
      <c r="L201" s="667"/>
      <c r="M201" s="21">
        <f t="shared" si="31"/>
        <v>1</v>
      </c>
      <c r="N201" s="667"/>
      <c r="O201" s="21">
        <f t="shared" si="32"/>
        <v>1</v>
      </c>
      <c r="P201" s="667"/>
      <c r="Q201" s="21">
        <f t="shared" si="33"/>
        <v>0</v>
      </c>
      <c r="R201" s="663">
        <f t="shared" si="34"/>
        <v>0</v>
      </c>
      <c r="S201" s="316">
        <f t="shared" si="25"/>
        <v>0</v>
      </c>
    </row>
    <row r="202" spans="1:19">
      <c r="A202" s="150"/>
      <c r="B202" s="54"/>
      <c r="C202" s="21">
        <f t="shared" si="26"/>
        <v>1</v>
      </c>
      <c r="D202" s="667"/>
      <c r="E202" s="21">
        <f t="shared" si="27"/>
        <v>1</v>
      </c>
      <c r="F202" s="667"/>
      <c r="G202" s="21">
        <f t="shared" si="28"/>
        <v>1</v>
      </c>
      <c r="H202" s="667"/>
      <c r="I202" s="21">
        <f t="shared" si="29"/>
        <v>1</v>
      </c>
      <c r="J202" s="667"/>
      <c r="K202" s="21">
        <f t="shared" si="30"/>
        <v>1</v>
      </c>
      <c r="L202" s="667"/>
      <c r="M202" s="21">
        <f t="shared" si="31"/>
        <v>1</v>
      </c>
      <c r="N202" s="667"/>
      <c r="O202" s="21">
        <f t="shared" si="32"/>
        <v>1</v>
      </c>
      <c r="P202" s="667"/>
      <c r="Q202" s="21">
        <f t="shared" si="33"/>
        <v>0</v>
      </c>
      <c r="R202" s="663">
        <f t="shared" si="34"/>
        <v>0</v>
      </c>
      <c r="S202" s="316">
        <f t="shared" si="25"/>
        <v>0</v>
      </c>
    </row>
    <row r="203" spans="1:19">
      <c r="A203" s="150"/>
      <c r="B203" s="54"/>
      <c r="C203" s="21">
        <f t="shared" si="26"/>
        <v>1</v>
      </c>
      <c r="D203" s="667"/>
      <c r="E203" s="21">
        <f t="shared" si="27"/>
        <v>1</v>
      </c>
      <c r="F203" s="667"/>
      <c r="G203" s="21">
        <f t="shared" si="28"/>
        <v>1</v>
      </c>
      <c r="H203" s="667"/>
      <c r="I203" s="21">
        <f t="shared" si="29"/>
        <v>1</v>
      </c>
      <c r="J203" s="667"/>
      <c r="K203" s="21">
        <f t="shared" si="30"/>
        <v>1</v>
      </c>
      <c r="L203" s="667"/>
      <c r="M203" s="21">
        <f t="shared" si="31"/>
        <v>1</v>
      </c>
      <c r="N203" s="667"/>
      <c r="O203" s="21">
        <f t="shared" si="32"/>
        <v>1</v>
      </c>
      <c r="P203" s="667"/>
      <c r="Q203" s="21">
        <f t="shared" si="33"/>
        <v>0</v>
      </c>
      <c r="R203" s="663">
        <f t="shared" si="34"/>
        <v>0</v>
      </c>
      <c r="S203" s="316">
        <f t="shared" si="25"/>
        <v>0</v>
      </c>
    </row>
    <row r="204" spans="1:19">
      <c r="A204" s="150"/>
      <c r="B204" s="54"/>
      <c r="C204" s="21">
        <f t="shared" si="26"/>
        <v>1</v>
      </c>
      <c r="D204" s="667"/>
      <c r="E204" s="21">
        <f t="shared" si="27"/>
        <v>1</v>
      </c>
      <c r="F204" s="667"/>
      <c r="G204" s="21">
        <f t="shared" si="28"/>
        <v>1</v>
      </c>
      <c r="H204" s="667"/>
      <c r="I204" s="21">
        <f t="shared" si="29"/>
        <v>1</v>
      </c>
      <c r="J204" s="667"/>
      <c r="K204" s="21">
        <f t="shared" si="30"/>
        <v>1</v>
      </c>
      <c r="L204" s="667"/>
      <c r="M204" s="21">
        <f t="shared" si="31"/>
        <v>1</v>
      </c>
      <c r="N204" s="667"/>
      <c r="O204" s="21">
        <f t="shared" si="32"/>
        <v>1</v>
      </c>
      <c r="P204" s="667"/>
      <c r="Q204" s="21">
        <f t="shared" si="33"/>
        <v>0</v>
      </c>
      <c r="R204" s="663">
        <f t="shared" si="34"/>
        <v>0</v>
      </c>
      <c r="S204" s="316">
        <f t="shared" si="25"/>
        <v>0</v>
      </c>
    </row>
    <row r="205" spans="1:19">
      <c r="A205" s="150"/>
      <c r="B205" s="54"/>
      <c r="C205" s="21">
        <f t="shared" si="26"/>
        <v>1</v>
      </c>
      <c r="D205" s="667"/>
      <c r="E205" s="21">
        <f t="shared" si="27"/>
        <v>1</v>
      </c>
      <c r="F205" s="667"/>
      <c r="G205" s="21">
        <f t="shared" si="28"/>
        <v>1</v>
      </c>
      <c r="H205" s="667"/>
      <c r="I205" s="21">
        <f t="shared" si="29"/>
        <v>1</v>
      </c>
      <c r="J205" s="667"/>
      <c r="K205" s="21">
        <f t="shared" si="30"/>
        <v>1</v>
      </c>
      <c r="L205" s="667"/>
      <c r="M205" s="21">
        <f t="shared" si="31"/>
        <v>1</v>
      </c>
      <c r="N205" s="667"/>
      <c r="O205" s="21">
        <f t="shared" si="32"/>
        <v>1</v>
      </c>
      <c r="P205" s="667"/>
      <c r="Q205" s="21">
        <f t="shared" si="33"/>
        <v>0</v>
      </c>
      <c r="R205" s="663">
        <f t="shared" si="34"/>
        <v>0</v>
      </c>
      <c r="S205" s="316">
        <f t="shared" si="25"/>
        <v>0</v>
      </c>
    </row>
    <row r="206" spans="1:19">
      <c r="A206" s="150"/>
      <c r="B206" s="54"/>
      <c r="C206" s="21">
        <f t="shared" si="26"/>
        <v>1</v>
      </c>
      <c r="D206" s="667"/>
      <c r="E206" s="21">
        <f t="shared" si="27"/>
        <v>1</v>
      </c>
      <c r="F206" s="667"/>
      <c r="G206" s="21">
        <f t="shared" si="28"/>
        <v>1</v>
      </c>
      <c r="H206" s="667"/>
      <c r="I206" s="21">
        <f t="shared" si="29"/>
        <v>1</v>
      </c>
      <c r="J206" s="667"/>
      <c r="K206" s="21">
        <f t="shared" si="30"/>
        <v>1</v>
      </c>
      <c r="L206" s="667"/>
      <c r="M206" s="21">
        <f t="shared" si="31"/>
        <v>1</v>
      </c>
      <c r="N206" s="667"/>
      <c r="O206" s="21">
        <f t="shared" si="32"/>
        <v>1</v>
      </c>
      <c r="P206" s="667"/>
      <c r="Q206" s="21">
        <f t="shared" si="33"/>
        <v>0</v>
      </c>
      <c r="R206" s="663">
        <f t="shared" si="34"/>
        <v>0</v>
      </c>
      <c r="S206" s="316">
        <f t="shared" si="25"/>
        <v>0</v>
      </c>
    </row>
    <row r="207" spans="1:19">
      <c r="A207" s="150"/>
      <c r="B207" s="54"/>
      <c r="C207" s="21">
        <f t="shared" si="26"/>
        <v>1</v>
      </c>
      <c r="D207" s="667"/>
      <c r="E207" s="21">
        <f t="shared" si="27"/>
        <v>1</v>
      </c>
      <c r="F207" s="667"/>
      <c r="G207" s="21">
        <f t="shared" si="28"/>
        <v>1</v>
      </c>
      <c r="H207" s="667"/>
      <c r="I207" s="21">
        <f t="shared" si="29"/>
        <v>1</v>
      </c>
      <c r="J207" s="667"/>
      <c r="K207" s="21">
        <f t="shared" si="30"/>
        <v>1</v>
      </c>
      <c r="L207" s="667"/>
      <c r="M207" s="21">
        <f t="shared" si="31"/>
        <v>1</v>
      </c>
      <c r="N207" s="667"/>
      <c r="O207" s="21">
        <f t="shared" si="32"/>
        <v>1</v>
      </c>
      <c r="P207" s="667"/>
      <c r="Q207" s="21">
        <f t="shared" si="33"/>
        <v>0</v>
      </c>
      <c r="R207" s="663">
        <f t="shared" si="34"/>
        <v>0</v>
      </c>
      <c r="S207" s="316">
        <f t="shared" si="25"/>
        <v>0</v>
      </c>
    </row>
    <row r="208" spans="1:19">
      <c r="A208" s="150"/>
      <c r="B208" s="54"/>
      <c r="C208" s="21">
        <f t="shared" si="26"/>
        <v>1</v>
      </c>
      <c r="D208" s="667"/>
      <c r="E208" s="21">
        <f t="shared" si="27"/>
        <v>1</v>
      </c>
      <c r="F208" s="667"/>
      <c r="G208" s="21">
        <f t="shared" si="28"/>
        <v>1</v>
      </c>
      <c r="H208" s="667"/>
      <c r="I208" s="21">
        <f t="shared" si="29"/>
        <v>1</v>
      </c>
      <c r="J208" s="667"/>
      <c r="K208" s="21">
        <f t="shared" si="30"/>
        <v>1</v>
      </c>
      <c r="L208" s="667"/>
      <c r="M208" s="21">
        <f t="shared" si="31"/>
        <v>1</v>
      </c>
      <c r="N208" s="667"/>
      <c r="O208" s="21">
        <f t="shared" si="32"/>
        <v>1</v>
      </c>
      <c r="P208" s="667"/>
      <c r="Q208" s="21">
        <f t="shared" si="33"/>
        <v>0</v>
      </c>
      <c r="R208" s="663">
        <f t="shared" si="34"/>
        <v>0</v>
      </c>
      <c r="S208" s="316">
        <f t="shared" si="25"/>
        <v>0</v>
      </c>
    </row>
    <row r="209" spans="1:19">
      <c r="A209" s="150"/>
      <c r="B209" s="54"/>
      <c r="C209" s="21">
        <f t="shared" si="26"/>
        <v>1</v>
      </c>
      <c r="D209" s="667"/>
      <c r="E209" s="21">
        <f t="shared" si="27"/>
        <v>1</v>
      </c>
      <c r="F209" s="667"/>
      <c r="G209" s="21">
        <f t="shared" si="28"/>
        <v>1</v>
      </c>
      <c r="H209" s="667"/>
      <c r="I209" s="21">
        <f t="shared" si="29"/>
        <v>1</v>
      </c>
      <c r="J209" s="667"/>
      <c r="K209" s="21">
        <f t="shared" si="30"/>
        <v>1</v>
      </c>
      <c r="L209" s="667"/>
      <c r="M209" s="21">
        <f t="shared" si="31"/>
        <v>1</v>
      </c>
      <c r="N209" s="667"/>
      <c r="O209" s="21">
        <f t="shared" si="32"/>
        <v>1</v>
      </c>
      <c r="P209" s="667"/>
      <c r="Q209" s="21">
        <f t="shared" si="33"/>
        <v>0</v>
      </c>
      <c r="R209" s="663">
        <f t="shared" si="34"/>
        <v>0</v>
      </c>
      <c r="S209" s="316">
        <f t="shared" si="25"/>
        <v>0</v>
      </c>
    </row>
    <row r="210" spans="1:19">
      <c r="A210" s="150"/>
      <c r="B210" s="54"/>
      <c r="C210" s="21">
        <f t="shared" si="26"/>
        <v>1</v>
      </c>
      <c r="D210" s="667"/>
      <c r="E210" s="21">
        <f t="shared" si="27"/>
        <v>1</v>
      </c>
      <c r="F210" s="667"/>
      <c r="G210" s="21">
        <f t="shared" si="28"/>
        <v>1</v>
      </c>
      <c r="H210" s="667"/>
      <c r="I210" s="21">
        <f t="shared" si="29"/>
        <v>1</v>
      </c>
      <c r="J210" s="667"/>
      <c r="K210" s="21">
        <f t="shared" si="30"/>
        <v>1</v>
      </c>
      <c r="L210" s="667"/>
      <c r="M210" s="21">
        <f t="shared" si="31"/>
        <v>1</v>
      </c>
      <c r="N210" s="667"/>
      <c r="O210" s="21">
        <f t="shared" si="32"/>
        <v>1</v>
      </c>
      <c r="P210" s="667"/>
      <c r="Q210" s="21">
        <f t="shared" si="33"/>
        <v>0</v>
      </c>
      <c r="R210" s="663">
        <f t="shared" si="34"/>
        <v>0</v>
      </c>
      <c r="S210" s="316">
        <f t="shared" si="25"/>
        <v>0</v>
      </c>
    </row>
    <row r="211" spans="1:19">
      <c r="A211" s="150"/>
      <c r="B211" s="54"/>
      <c r="C211" s="21">
        <f t="shared" si="26"/>
        <v>1</v>
      </c>
      <c r="D211" s="667"/>
      <c r="E211" s="21">
        <f t="shared" si="27"/>
        <v>1</v>
      </c>
      <c r="F211" s="667"/>
      <c r="G211" s="21">
        <f t="shared" si="28"/>
        <v>1</v>
      </c>
      <c r="H211" s="667"/>
      <c r="I211" s="21">
        <f t="shared" si="29"/>
        <v>1</v>
      </c>
      <c r="J211" s="667"/>
      <c r="K211" s="21">
        <f t="shared" si="30"/>
        <v>1</v>
      </c>
      <c r="L211" s="667"/>
      <c r="M211" s="21">
        <f t="shared" si="31"/>
        <v>1</v>
      </c>
      <c r="N211" s="667"/>
      <c r="O211" s="21">
        <f t="shared" si="32"/>
        <v>1</v>
      </c>
      <c r="P211" s="667"/>
      <c r="Q211" s="21">
        <f t="shared" si="33"/>
        <v>0</v>
      </c>
      <c r="R211" s="663">
        <f t="shared" si="34"/>
        <v>0</v>
      </c>
      <c r="S211" s="316">
        <f t="shared" si="25"/>
        <v>0</v>
      </c>
    </row>
    <row r="212" spans="1:19">
      <c r="A212" s="150"/>
      <c r="B212" s="54"/>
      <c r="C212" s="21">
        <f t="shared" si="26"/>
        <v>1</v>
      </c>
      <c r="D212" s="667"/>
      <c r="E212" s="21">
        <f t="shared" si="27"/>
        <v>1</v>
      </c>
      <c r="F212" s="667"/>
      <c r="G212" s="21">
        <f t="shared" si="28"/>
        <v>1</v>
      </c>
      <c r="H212" s="667"/>
      <c r="I212" s="21">
        <f t="shared" si="29"/>
        <v>1</v>
      </c>
      <c r="J212" s="667"/>
      <c r="K212" s="21">
        <f t="shared" si="30"/>
        <v>1</v>
      </c>
      <c r="L212" s="667"/>
      <c r="M212" s="21">
        <f t="shared" si="31"/>
        <v>1</v>
      </c>
      <c r="N212" s="667"/>
      <c r="O212" s="21">
        <f t="shared" si="32"/>
        <v>1</v>
      </c>
      <c r="P212" s="667"/>
      <c r="Q212" s="21">
        <f t="shared" si="33"/>
        <v>0</v>
      </c>
      <c r="R212" s="663">
        <f t="shared" si="34"/>
        <v>0</v>
      </c>
      <c r="S212" s="316">
        <f t="shared" si="25"/>
        <v>0</v>
      </c>
    </row>
    <row r="213" spans="1:19">
      <c r="A213" s="150"/>
      <c r="B213" s="54"/>
      <c r="C213" s="21">
        <f t="shared" si="26"/>
        <v>1</v>
      </c>
      <c r="D213" s="667"/>
      <c r="E213" s="21">
        <f t="shared" si="27"/>
        <v>1</v>
      </c>
      <c r="F213" s="667"/>
      <c r="G213" s="21">
        <f t="shared" si="28"/>
        <v>1</v>
      </c>
      <c r="H213" s="667"/>
      <c r="I213" s="21">
        <f t="shared" si="29"/>
        <v>1</v>
      </c>
      <c r="J213" s="667"/>
      <c r="K213" s="21">
        <f t="shared" si="30"/>
        <v>1</v>
      </c>
      <c r="L213" s="667"/>
      <c r="M213" s="21">
        <f t="shared" si="31"/>
        <v>1</v>
      </c>
      <c r="N213" s="667"/>
      <c r="O213" s="21">
        <f t="shared" si="32"/>
        <v>1</v>
      </c>
      <c r="P213" s="667"/>
      <c r="Q213" s="21">
        <f t="shared" si="33"/>
        <v>0</v>
      </c>
      <c r="R213" s="663">
        <f t="shared" si="34"/>
        <v>0</v>
      </c>
      <c r="S213" s="316">
        <f t="shared" si="25"/>
        <v>0</v>
      </c>
    </row>
    <row r="214" spans="1:19">
      <c r="A214" s="150"/>
      <c r="B214" s="54"/>
      <c r="C214" s="21">
        <f t="shared" si="26"/>
        <v>1</v>
      </c>
      <c r="D214" s="667"/>
      <c r="E214" s="21">
        <f t="shared" si="27"/>
        <v>1</v>
      </c>
      <c r="F214" s="667"/>
      <c r="G214" s="21">
        <f t="shared" si="28"/>
        <v>1</v>
      </c>
      <c r="H214" s="667"/>
      <c r="I214" s="21">
        <f t="shared" si="29"/>
        <v>1</v>
      </c>
      <c r="J214" s="667"/>
      <c r="K214" s="21">
        <f t="shared" si="30"/>
        <v>1</v>
      </c>
      <c r="L214" s="667"/>
      <c r="M214" s="21">
        <f t="shared" si="31"/>
        <v>1</v>
      </c>
      <c r="N214" s="667"/>
      <c r="O214" s="21">
        <f t="shared" si="32"/>
        <v>1</v>
      </c>
      <c r="P214" s="667"/>
      <c r="Q214" s="21">
        <f t="shared" si="33"/>
        <v>0</v>
      </c>
      <c r="R214" s="663">
        <f t="shared" si="34"/>
        <v>0</v>
      </c>
      <c r="S214" s="316">
        <f t="shared" si="25"/>
        <v>0</v>
      </c>
    </row>
    <row r="215" spans="1:19">
      <c r="A215" s="150"/>
      <c r="B215" s="54"/>
      <c r="C215" s="21">
        <f t="shared" si="26"/>
        <v>1</v>
      </c>
      <c r="D215" s="667"/>
      <c r="E215" s="21">
        <f t="shared" si="27"/>
        <v>1</v>
      </c>
      <c r="F215" s="667"/>
      <c r="G215" s="21">
        <f t="shared" si="28"/>
        <v>1</v>
      </c>
      <c r="H215" s="667"/>
      <c r="I215" s="21">
        <f t="shared" si="29"/>
        <v>1</v>
      </c>
      <c r="J215" s="667"/>
      <c r="K215" s="21">
        <f t="shared" si="30"/>
        <v>1</v>
      </c>
      <c r="L215" s="667"/>
      <c r="M215" s="21">
        <f t="shared" si="31"/>
        <v>1</v>
      </c>
      <c r="N215" s="667"/>
      <c r="O215" s="21">
        <f t="shared" si="32"/>
        <v>1</v>
      </c>
      <c r="P215" s="667"/>
      <c r="Q215" s="21">
        <f t="shared" si="33"/>
        <v>0</v>
      </c>
      <c r="R215" s="663">
        <f t="shared" si="34"/>
        <v>0</v>
      </c>
      <c r="S215" s="316">
        <f t="shared" si="25"/>
        <v>0</v>
      </c>
    </row>
    <row r="216" spans="1:19">
      <c r="A216" s="150"/>
      <c r="B216" s="54"/>
      <c r="C216" s="21">
        <f t="shared" si="26"/>
        <v>1</v>
      </c>
      <c r="D216" s="667"/>
      <c r="E216" s="21">
        <f t="shared" si="27"/>
        <v>1</v>
      </c>
      <c r="F216" s="667"/>
      <c r="G216" s="21">
        <f t="shared" si="28"/>
        <v>1</v>
      </c>
      <c r="H216" s="667"/>
      <c r="I216" s="21">
        <f t="shared" si="29"/>
        <v>1</v>
      </c>
      <c r="J216" s="667"/>
      <c r="K216" s="21">
        <f t="shared" si="30"/>
        <v>1</v>
      </c>
      <c r="L216" s="667"/>
      <c r="M216" s="21">
        <f t="shared" si="31"/>
        <v>1</v>
      </c>
      <c r="N216" s="667"/>
      <c r="O216" s="21">
        <f t="shared" si="32"/>
        <v>1</v>
      </c>
      <c r="P216" s="667"/>
      <c r="Q216" s="21">
        <f t="shared" si="33"/>
        <v>0</v>
      </c>
      <c r="R216" s="663">
        <f t="shared" si="34"/>
        <v>0</v>
      </c>
      <c r="S216" s="316">
        <f t="shared" ref="S216:S279" si="35">ROUND(R216*B216/10000,0)</f>
        <v>0</v>
      </c>
    </row>
    <row r="217" spans="1:19">
      <c r="A217" s="150"/>
      <c r="B217" s="54"/>
      <c r="C217" s="21">
        <f t="shared" si="26"/>
        <v>1</v>
      </c>
      <c r="D217" s="667"/>
      <c r="E217" s="21">
        <f t="shared" si="27"/>
        <v>1</v>
      </c>
      <c r="F217" s="667"/>
      <c r="G217" s="21">
        <f t="shared" si="28"/>
        <v>1</v>
      </c>
      <c r="H217" s="667"/>
      <c r="I217" s="21">
        <f t="shared" si="29"/>
        <v>1</v>
      </c>
      <c r="J217" s="667"/>
      <c r="K217" s="21">
        <f t="shared" si="30"/>
        <v>1</v>
      </c>
      <c r="L217" s="667"/>
      <c r="M217" s="21">
        <f t="shared" si="31"/>
        <v>1</v>
      </c>
      <c r="N217" s="667"/>
      <c r="O217" s="21">
        <f t="shared" si="32"/>
        <v>1</v>
      </c>
      <c r="P217" s="667"/>
      <c r="Q217" s="21">
        <f t="shared" si="33"/>
        <v>0</v>
      </c>
      <c r="R217" s="663">
        <f t="shared" si="34"/>
        <v>0</v>
      </c>
      <c r="S217" s="316">
        <f t="shared" si="35"/>
        <v>0</v>
      </c>
    </row>
    <row r="218" spans="1:19">
      <c r="A218" s="150"/>
      <c r="B218" s="54"/>
      <c r="C218" s="21">
        <f t="shared" ref="C218:C281" si="36">IF(B218="",1,(LOOKUP(B218,$3:$3,$4:$4)-LOOKUP($B$24,$3:$3,$4:$4)+100)/100)</f>
        <v>1</v>
      </c>
      <c r="D218" s="667"/>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667"/>
      <c r="Q218" s="21">
        <f t="shared" ref="Q218:Q281" si="43">(SUMIF($17:$17,P218,$18:$18)-SUMIF($17:$17,$P$24,$18:$18)+100)/100</f>
        <v>0</v>
      </c>
      <c r="R218" s="663">
        <f t="shared" ref="R218:R281" si="44">IF(B218="",0,ROUND($R$24*C218*E218*G218*I218*K218*M218*O218*Q218,0))</f>
        <v>0</v>
      </c>
      <c r="S218" s="316">
        <f t="shared" si="35"/>
        <v>0</v>
      </c>
    </row>
    <row r="219" spans="1:19">
      <c r="A219" s="150"/>
      <c r="B219" s="54"/>
      <c r="C219" s="21">
        <f t="shared" si="36"/>
        <v>1</v>
      </c>
      <c r="D219" s="667"/>
      <c r="E219" s="21">
        <f t="shared" si="37"/>
        <v>1</v>
      </c>
      <c r="F219" s="667"/>
      <c r="G219" s="21">
        <f t="shared" si="38"/>
        <v>1</v>
      </c>
      <c r="H219" s="667"/>
      <c r="I219" s="21">
        <f t="shared" si="39"/>
        <v>1</v>
      </c>
      <c r="J219" s="667"/>
      <c r="K219" s="21">
        <f t="shared" si="40"/>
        <v>1</v>
      </c>
      <c r="L219" s="667"/>
      <c r="M219" s="21">
        <f t="shared" si="41"/>
        <v>1</v>
      </c>
      <c r="N219" s="667"/>
      <c r="O219" s="21">
        <f t="shared" si="42"/>
        <v>1</v>
      </c>
      <c r="P219" s="667"/>
      <c r="Q219" s="21">
        <f t="shared" si="43"/>
        <v>0</v>
      </c>
      <c r="R219" s="663">
        <f t="shared" si="44"/>
        <v>0</v>
      </c>
      <c r="S219" s="316">
        <f t="shared" si="35"/>
        <v>0</v>
      </c>
    </row>
    <row r="220" spans="1:19">
      <c r="A220" s="150"/>
      <c r="B220" s="54"/>
      <c r="C220" s="21">
        <f t="shared" si="36"/>
        <v>1</v>
      </c>
      <c r="D220" s="667"/>
      <c r="E220" s="21">
        <f t="shared" si="37"/>
        <v>1</v>
      </c>
      <c r="F220" s="667"/>
      <c r="G220" s="21">
        <f t="shared" si="38"/>
        <v>1</v>
      </c>
      <c r="H220" s="667"/>
      <c r="I220" s="21">
        <f t="shared" si="39"/>
        <v>1</v>
      </c>
      <c r="J220" s="667"/>
      <c r="K220" s="21">
        <f t="shared" si="40"/>
        <v>1</v>
      </c>
      <c r="L220" s="667"/>
      <c r="M220" s="21">
        <f t="shared" si="41"/>
        <v>1</v>
      </c>
      <c r="N220" s="667"/>
      <c r="O220" s="21">
        <f t="shared" si="42"/>
        <v>1</v>
      </c>
      <c r="P220" s="667"/>
      <c r="Q220" s="21">
        <f t="shared" si="43"/>
        <v>0</v>
      </c>
      <c r="R220" s="663">
        <f t="shared" si="44"/>
        <v>0</v>
      </c>
      <c r="S220" s="316">
        <f t="shared" si="35"/>
        <v>0</v>
      </c>
    </row>
    <row r="221" spans="1:19">
      <c r="A221" s="150"/>
      <c r="B221" s="54"/>
      <c r="C221" s="21">
        <f t="shared" si="36"/>
        <v>1</v>
      </c>
      <c r="D221" s="667"/>
      <c r="E221" s="21">
        <f t="shared" si="37"/>
        <v>1</v>
      </c>
      <c r="F221" s="667"/>
      <c r="G221" s="21">
        <f t="shared" si="38"/>
        <v>1</v>
      </c>
      <c r="H221" s="667"/>
      <c r="I221" s="21">
        <f t="shared" si="39"/>
        <v>1</v>
      </c>
      <c r="J221" s="667"/>
      <c r="K221" s="21">
        <f t="shared" si="40"/>
        <v>1</v>
      </c>
      <c r="L221" s="667"/>
      <c r="M221" s="21">
        <f t="shared" si="41"/>
        <v>1</v>
      </c>
      <c r="N221" s="667"/>
      <c r="O221" s="21">
        <f t="shared" si="42"/>
        <v>1</v>
      </c>
      <c r="P221" s="667"/>
      <c r="Q221" s="21">
        <f t="shared" si="43"/>
        <v>0</v>
      </c>
      <c r="R221" s="663">
        <f t="shared" si="44"/>
        <v>0</v>
      </c>
      <c r="S221" s="316">
        <f t="shared" si="35"/>
        <v>0</v>
      </c>
    </row>
    <row r="222" spans="1:19">
      <c r="A222" s="150"/>
      <c r="B222" s="54"/>
      <c r="C222" s="21">
        <f t="shared" si="36"/>
        <v>1</v>
      </c>
      <c r="D222" s="667"/>
      <c r="E222" s="21">
        <f t="shared" si="37"/>
        <v>1</v>
      </c>
      <c r="F222" s="667"/>
      <c r="G222" s="21">
        <f t="shared" si="38"/>
        <v>1</v>
      </c>
      <c r="H222" s="667"/>
      <c r="I222" s="21">
        <f t="shared" si="39"/>
        <v>1</v>
      </c>
      <c r="J222" s="667"/>
      <c r="K222" s="21">
        <f t="shared" si="40"/>
        <v>1</v>
      </c>
      <c r="L222" s="667"/>
      <c r="M222" s="21">
        <f t="shared" si="41"/>
        <v>1</v>
      </c>
      <c r="N222" s="667"/>
      <c r="O222" s="21">
        <f t="shared" si="42"/>
        <v>1</v>
      </c>
      <c r="P222" s="667"/>
      <c r="Q222" s="21">
        <f t="shared" si="43"/>
        <v>0</v>
      </c>
      <c r="R222" s="663">
        <f t="shared" si="44"/>
        <v>0</v>
      </c>
      <c r="S222" s="316">
        <f t="shared" si="35"/>
        <v>0</v>
      </c>
    </row>
    <row r="223" spans="1:19">
      <c r="A223" s="150"/>
      <c r="B223" s="54"/>
      <c r="C223" s="21">
        <f t="shared" si="36"/>
        <v>1</v>
      </c>
      <c r="D223" s="667"/>
      <c r="E223" s="21">
        <f t="shared" si="37"/>
        <v>1</v>
      </c>
      <c r="F223" s="667"/>
      <c r="G223" s="21">
        <f t="shared" si="38"/>
        <v>1</v>
      </c>
      <c r="H223" s="667"/>
      <c r="I223" s="21">
        <f t="shared" si="39"/>
        <v>1</v>
      </c>
      <c r="J223" s="667"/>
      <c r="K223" s="21">
        <f t="shared" si="40"/>
        <v>1</v>
      </c>
      <c r="L223" s="667"/>
      <c r="M223" s="21">
        <f t="shared" si="41"/>
        <v>1</v>
      </c>
      <c r="N223" s="667"/>
      <c r="O223" s="21">
        <f t="shared" si="42"/>
        <v>1</v>
      </c>
      <c r="P223" s="667"/>
      <c r="Q223" s="21">
        <f t="shared" si="43"/>
        <v>0</v>
      </c>
      <c r="R223" s="663">
        <f t="shared" si="44"/>
        <v>0</v>
      </c>
      <c r="S223" s="316">
        <f t="shared" si="35"/>
        <v>0</v>
      </c>
    </row>
    <row r="224" spans="1:19">
      <c r="A224" s="150"/>
      <c r="B224" s="54"/>
      <c r="C224" s="21">
        <f t="shared" si="36"/>
        <v>1</v>
      </c>
      <c r="D224" s="667"/>
      <c r="E224" s="21">
        <f t="shared" si="37"/>
        <v>1</v>
      </c>
      <c r="F224" s="667"/>
      <c r="G224" s="21">
        <f t="shared" si="38"/>
        <v>1</v>
      </c>
      <c r="H224" s="667"/>
      <c r="I224" s="21">
        <f t="shared" si="39"/>
        <v>1</v>
      </c>
      <c r="J224" s="667"/>
      <c r="K224" s="21">
        <f t="shared" si="40"/>
        <v>1</v>
      </c>
      <c r="L224" s="667"/>
      <c r="M224" s="21">
        <f t="shared" si="41"/>
        <v>1</v>
      </c>
      <c r="N224" s="667"/>
      <c r="O224" s="21">
        <f t="shared" si="42"/>
        <v>1</v>
      </c>
      <c r="P224" s="667"/>
      <c r="Q224" s="21">
        <f t="shared" si="43"/>
        <v>0</v>
      </c>
      <c r="R224" s="663">
        <f t="shared" si="44"/>
        <v>0</v>
      </c>
      <c r="S224" s="316">
        <f t="shared" si="35"/>
        <v>0</v>
      </c>
    </row>
    <row r="225" spans="1:19">
      <c r="A225" s="150"/>
      <c r="B225" s="54"/>
      <c r="C225" s="21">
        <f t="shared" si="36"/>
        <v>1</v>
      </c>
      <c r="D225" s="667"/>
      <c r="E225" s="21">
        <f t="shared" si="37"/>
        <v>1</v>
      </c>
      <c r="F225" s="667"/>
      <c r="G225" s="21">
        <f t="shared" si="38"/>
        <v>1</v>
      </c>
      <c r="H225" s="667"/>
      <c r="I225" s="21">
        <f t="shared" si="39"/>
        <v>1</v>
      </c>
      <c r="J225" s="667"/>
      <c r="K225" s="21">
        <f t="shared" si="40"/>
        <v>1</v>
      </c>
      <c r="L225" s="667"/>
      <c r="M225" s="21">
        <f t="shared" si="41"/>
        <v>1</v>
      </c>
      <c r="N225" s="667"/>
      <c r="O225" s="21">
        <f t="shared" si="42"/>
        <v>1</v>
      </c>
      <c r="P225" s="667"/>
      <c r="Q225" s="21">
        <f t="shared" si="43"/>
        <v>0</v>
      </c>
      <c r="R225" s="663">
        <f t="shared" si="44"/>
        <v>0</v>
      </c>
      <c r="S225" s="316">
        <f t="shared" si="35"/>
        <v>0</v>
      </c>
    </row>
    <row r="226" spans="1:19">
      <c r="A226" s="150"/>
      <c r="B226" s="54"/>
      <c r="C226" s="21">
        <f t="shared" si="36"/>
        <v>1</v>
      </c>
      <c r="D226" s="667"/>
      <c r="E226" s="21">
        <f t="shared" si="37"/>
        <v>1</v>
      </c>
      <c r="F226" s="667"/>
      <c r="G226" s="21">
        <f t="shared" si="38"/>
        <v>1</v>
      </c>
      <c r="H226" s="667"/>
      <c r="I226" s="21">
        <f t="shared" si="39"/>
        <v>1</v>
      </c>
      <c r="J226" s="667"/>
      <c r="K226" s="21">
        <f t="shared" si="40"/>
        <v>1</v>
      </c>
      <c r="L226" s="667"/>
      <c r="M226" s="21">
        <f t="shared" si="41"/>
        <v>1</v>
      </c>
      <c r="N226" s="667"/>
      <c r="O226" s="21">
        <f t="shared" si="42"/>
        <v>1</v>
      </c>
      <c r="P226" s="667"/>
      <c r="Q226" s="21">
        <f t="shared" si="43"/>
        <v>0</v>
      </c>
      <c r="R226" s="663">
        <f t="shared" si="44"/>
        <v>0</v>
      </c>
      <c r="S226" s="316">
        <f t="shared" si="35"/>
        <v>0</v>
      </c>
    </row>
    <row r="227" spans="1:19">
      <c r="A227" s="150"/>
      <c r="B227" s="54"/>
      <c r="C227" s="21">
        <f t="shared" si="36"/>
        <v>1</v>
      </c>
      <c r="D227" s="667"/>
      <c r="E227" s="21">
        <f t="shared" si="37"/>
        <v>1</v>
      </c>
      <c r="F227" s="667"/>
      <c r="G227" s="21">
        <f t="shared" si="38"/>
        <v>1</v>
      </c>
      <c r="H227" s="667"/>
      <c r="I227" s="21">
        <f t="shared" si="39"/>
        <v>1</v>
      </c>
      <c r="J227" s="667"/>
      <c r="K227" s="21">
        <f t="shared" si="40"/>
        <v>1</v>
      </c>
      <c r="L227" s="667"/>
      <c r="M227" s="21">
        <f t="shared" si="41"/>
        <v>1</v>
      </c>
      <c r="N227" s="667"/>
      <c r="O227" s="21">
        <f t="shared" si="42"/>
        <v>1</v>
      </c>
      <c r="P227" s="667"/>
      <c r="Q227" s="21">
        <f t="shared" si="43"/>
        <v>0</v>
      </c>
      <c r="R227" s="663">
        <f t="shared" si="44"/>
        <v>0</v>
      </c>
      <c r="S227" s="316">
        <f t="shared" si="35"/>
        <v>0</v>
      </c>
    </row>
    <row r="228" spans="1:19">
      <c r="A228" s="150"/>
      <c r="B228" s="54"/>
      <c r="C228" s="21">
        <f t="shared" si="36"/>
        <v>1</v>
      </c>
      <c r="D228" s="667"/>
      <c r="E228" s="21">
        <f t="shared" si="37"/>
        <v>1</v>
      </c>
      <c r="F228" s="667"/>
      <c r="G228" s="21">
        <f t="shared" si="38"/>
        <v>1</v>
      </c>
      <c r="H228" s="667"/>
      <c r="I228" s="21">
        <f t="shared" si="39"/>
        <v>1</v>
      </c>
      <c r="J228" s="667"/>
      <c r="K228" s="21">
        <f t="shared" si="40"/>
        <v>1</v>
      </c>
      <c r="L228" s="667"/>
      <c r="M228" s="21">
        <f t="shared" si="41"/>
        <v>1</v>
      </c>
      <c r="N228" s="667"/>
      <c r="O228" s="21">
        <f t="shared" si="42"/>
        <v>1</v>
      </c>
      <c r="P228" s="667"/>
      <c r="Q228" s="21">
        <f t="shared" si="43"/>
        <v>0</v>
      </c>
      <c r="R228" s="663">
        <f t="shared" si="44"/>
        <v>0</v>
      </c>
      <c r="S228" s="316">
        <f t="shared" si="35"/>
        <v>0</v>
      </c>
    </row>
    <row r="229" spans="1:19">
      <c r="A229" s="150"/>
      <c r="B229" s="54"/>
      <c r="C229" s="21">
        <f t="shared" si="36"/>
        <v>1</v>
      </c>
      <c r="D229" s="667"/>
      <c r="E229" s="21">
        <f t="shared" si="37"/>
        <v>1</v>
      </c>
      <c r="F229" s="667"/>
      <c r="G229" s="21">
        <f t="shared" si="38"/>
        <v>1</v>
      </c>
      <c r="H229" s="667"/>
      <c r="I229" s="21">
        <f t="shared" si="39"/>
        <v>1</v>
      </c>
      <c r="J229" s="667"/>
      <c r="K229" s="21">
        <f t="shared" si="40"/>
        <v>1</v>
      </c>
      <c r="L229" s="667"/>
      <c r="M229" s="21">
        <f t="shared" si="41"/>
        <v>1</v>
      </c>
      <c r="N229" s="667"/>
      <c r="O229" s="21">
        <f t="shared" si="42"/>
        <v>1</v>
      </c>
      <c r="P229" s="667"/>
      <c r="Q229" s="21">
        <f t="shared" si="43"/>
        <v>0</v>
      </c>
      <c r="R229" s="663">
        <f t="shared" si="44"/>
        <v>0</v>
      </c>
      <c r="S229" s="316">
        <f t="shared" si="35"/>
        <v>0</v>
      </c>
    </row>
    <row r="230" spans="1:19">
      <c r="A230" s="150"/>
      <c r="B230" s="54"/>
      <c r="C230" s="21">
        <f t="shared" si="36"/>
        <v>1</v>
      </c>
      <c r="D230" s="667"/>
      <c r="E230" s="21">
        <f t="shared" si="37"/>
        <v>1</v>
      </c>
      <c r="F230" s="667"/>
      <c r="G230" s="21">
        <f t="shared" si="38"/>
        <v>1</v>
      </c>
      <c r="H230" s="667"/>
      <c r="I230" s="21">
        <f t="shared" si="39"/>
        <v>1</v>
      </c>
      <c r="J230" s="667"/>
      <c r="K230" s="21">
        <f t="shared" si="40"/>
        <v>1</v>
      </c>
      <c r="L230" s="667"/>
      <c r="M230" s="21">
        <f t="shared" si="41"/>
        <v>1</v>
      </c>
      <c r="N230" s="667"/>
      <c r="O230" s="21">
        <f t="shared" si="42"/>
        <v>1</v>
      </c>
      <c r="P230" s="667"/>
      <c r="Q230" s="21">
        <f t="shared" si="43"/>
        <v>0</v>
      </c>
      <c r="R230" s="663">
        <f t="shared" si="44"/>
        <v>0</v>
      </c>
      <c r="S230" s="316">
        <f t="shared" si="35"/>
        <v>0</v>
      </c>
    </row>
    <row r="231" spans="1:19">
      <c r="A231" s="150"/>
      <c r="B231" s="54"/>
      <c r="C231" s="21">
        <f t="shared" si="36"/>
        <v>1</v>
      </c>
      <c r="D231" s="667"/>
      <c r="E231" s="21">
        <f t="shared" si="37"/>
        <v>1</v>
      </c>
      <c r="F231" s="667"/>
      <c r="G231" s="21">
        <f t="shared" si="38"/>
        <v>1</v>
      </c>
      <c r="H231" s="667"/>
      <c r="I231" s="21">
        <f t="shared" si="39"/>
        <v>1</v>
      </c>
      <c r="J231" s="667"/>
      <c r="K231" s="21">
        <f t="shared" si="40"/>
        <v>1</v>
      </c>
      <c r="L231" s="667"/>
      <c r="M231" s="21">
        <f t="shared" si="41"/>
        <v>1</v>
      </c>
      <c r="N231" s="667"/>
      <c r="O231" s="21">
        <f t="shared" si="42"/>
        <v>1</v>
      </c>
      <c r="P231" s="667"/>
      <c r="Q231" s="21">
        <f t="shared" si="43"/>
        <v>0</v>
      </c>
      <c r="R231" s="663">
        <f t="shared" si="44"/>
        <v>0</v>
      </c>
      <c r="S231" s="316">
        <f t="shared" si="35"/>
        <v>0</v>
      </c>
    </row>
    <row r="232" spans="1:19">
      <c r="A232" s="150"/>
      <c r="B232" s="54"/>
      <c r="C232" s="21">
        <f t="shared" si="36"/>
        <v>1</v>
      </c>
      <c r="D232" s="667"/>
      <c r="E232" s="21">
        <f t="shared" si="37"/>
        <v>1</v>
      </c>
      <c r="F232" s="667"/>
      <c r="G232" s="21">
        <f t="shared" si="38"/>
        <v>1</v>
      </c>
      <c r="H232" s="667"/>
      <c r="I232" s="21">
        <f t="shared" si="39"/>
        <v>1</v>
      </c>
      <c r="J232" s="667"/>
      <c r="K232" s="21">
        <f t="shared" si="40"/>
        <v>1</v>
      </c>
      <c r="L232" s="667"/>
      <c r="M232" s="21">
        <f t="shared" si="41"/>
        <v>1</v>
      </c>
      <c r="N232" s="667"/>
      <c r="O232" s="21">
        <f t="shared" si="42"/>
        <v>1</v>
      </c>
      <c r="P232" s="667"/>
      <c r="Q232" s="21">
        <f t="shared" si="43"/>
        <v>0</v>
      </c>
      <c r="R232" s="663">
        <f t="shared" si="44"/>
        <v>0</v>
      </c>
      <c r="S232" s="316">
        <f t="shared" si="35"/>
        <v>0</v>
      </c>
    </row>
    <row r="233" spans="1:19">
      <c r="A233" s="150"/>
      <c r="B233" s="54"/>
      <c r="C233" s="21">
        <f t="shared" si="36"/>
        <v>1</v>
      </c>
      <c r="D233" s="667"/>
      <c r="E233" s="21">
        <f t="shared" si="37"/>
        <v>1</v>
      </c>
      <c r="F233" s="667"/>
      <c r="G233" s="21">
        <f t="shared" si="38"/>
        <v>1</v>
      </c>
      <c r="H233" s="667"/>
      <c r="I233" s="21">
        <f t="shared" si="39"/>
        <v>1</v>
      </c>
      <c r="J233" s="667"/>
      <c r="K233" s="21">
        <f t="shared" si="40"/>
        <v>1</v>
      </c>
      <c r="L233" s="667"/>
      <c r="M233" s="21">
        <f t="shared" si="41"/>
        <v>1</v>
      </c>
      <c r="N233" s="667"/>
      <c r="O233" s="21">
        <f t="shared" si="42"/>
        <v>1</v>
      </c>
      <c r="P233" s="667"/>
      <c r="Q233" s="21">
        <f t="shared" si="43"/>
        <v>0</v>
      </c>
      <c r="R233" s="663">
        <f t="shared" si="44"/>
        <v>0</v>
      </c>
      <c r="S233" s="316">
        <f t="shared" si="35"/>
        <v>0</v>
      </c>
    </row>
    <row r="234" spans="1:19">
      <c r="A234" s="150"/>
      <c r="B234" s="54"/>
      <c r="C234" s="21">
        <f t="shared" si="36"/>
        <v>1</v>
      </c>
      <c r="D234" s="667"/>
      <c r="E234" s="21">
        <f t="shared" si="37"/>
        <v>1</v>
      </c>
      <c r="F234" s="667"/>
      <c r="G234" s="21">
        <f t="shared" si="38"/>
        <v>1</v>
      </c>
      <c r="H234" s="667"/>
      <c r="I234" s="21">
        <f t="shared" si="39"/>
        <v>1</v>
      </c>
      <c r="J234" s="667"/>
      <c r="K234" s="21">
        <f t="shared" si="40"/>
        <v>1</v>
      </c>
      <c r="L234" s="667"/>
      <c r="M234" s="21">
        <f t="shared" si="41"/>
        <v>1</v>
      </c>
      <c r="N234" s="667"/>
      <c r="O234" s="21">
        <f t="shared" si="42"/>
        <v>1</v>
      </c>
      <c r="P234" s="667"/>
      <c r="Q234" s="21">
        <f t="shared" si="43"/>
        <v>0</v>
      </c>
      <c r="R234" s="663">
        <f t="shared" si="44"/>
        <v>0</v>
      </c>
      <c r="S234" s="316">
        <f t="shared" si="35"/>
        <v>0</v>
      </c>
    </row>
    <row r="235" spans="1:19">
      <c r="A235" s="150"/>
      <c r="B235" s="54"/>
      <c r="C235" s="21">
        <f t="shared" si="36"/>
        <v>1</v>
      </c>
      <c r="D235" s="667"/>
      <c r="E235" s="21">
        <f t="shared" si="37"/>
        <v>1</v>
      </c>
      <c r="F235" s="667"/>
      <c r="G235" s="21">
        <f t="shared" si="38"/>
        <v>1</v>
      </c>
      <c r="H235" s="667"/>
      <c r="I235" s="21">
        <f t="shared" si="39"/>
        <v>1</v>
      </c>
      <c r="J235" s="667"/>
      <c r="K235" s="21">
        <f t="shared" si="40"/>
        <v>1</v>
      </c>
      <c r="L235" s="667"/>
      <c r="M235" s="21">
        <f t="shared" si="41"/>
        <v>1</v>
      </c>
      <c r="N235" s="667"/>
      <c r="O235" s="21">
        <f t="shared" si="42"/>
        <v>1</v>
      </c>
      <c r="P235" s="667"/>
      <c r="Q235" s="21">
        <f t="shared" si="43"/>
        <v>0</v>
      </c>
      <c r="R235" s="663">
        <f t="shared" si="44"/>
        <v>0</v>
      </c>
      <c r="S235" s="316">
        <f t="shared" si="35"/>
        <v>0</v>
      </c>
    </row>
    <row r="236" spans="1:19">
      <c r="A236" s="150"/>
      <c r="B236" s="54"/>
      <c r="C236" s="21">
        <f t="shared" si="36"/>
        <v>1</v>
      </c>
      <c r="D236" s="667"/>
      <c r="E236" s="21">
        <f t="shared" si="37"/>
        <v>1</v>
      </c>
      <c r="F236" s="667"/>
      <c r="G236" s="21">
        <f t="shared" si="38"/>
        <v>1</v>
      </c>
      <c r="H236" s="667"/>
      <c r="I236" s="21">
        <f t="shared" si="39"/>
        <v>1</v>
      </c>
      <c r="J236" s="667"/>
      <c r="K236" s="21">
        <f t="shared" si="40"/>
        <v>1</v>
      </c>
      <c r="L236" s="667"/>
      <c r="M236" s="21">
        <f t="shared" si="41"/>
        <v>1</v>
      </c>
      <c r="N236" s="667"/>
      <c r="O236" s="21">
        <f t="shared" si="42"/>
        <v>1</v>
      </c>
      <c r="P236" s="667"/>
      <c r="Q236" s="21">
        <f t="shared" si="43"/>
        <v>0</v>
      </c>
      <c r="R236" s="663">
        <f t="shared" si="44"/>
        <v>0</v>
      </c>
      <c r="S236" s="316">
        <f t="shared" si="35"/>
        <v>0</v>
      </c>
    </row>
    <row r="237" spans="1:19">
      <c r="A237" s="150"/>
      <c r="B237" s="54"/>
      <c r="C237" s="21">
        <f t="shared" si="36"/>
        <v>1</v>
      </c>
      <c r="D237" s="667"/>
      <c r="E237" s="21">
        <f t="shared" si="37"/>
        <v>1</v>
      </c>
      <c r="F237" s="667"/>
      <c r="G237" s="21">
        <f t="shared" si="38"/>
        <v>1</v>
      </c>
      <c r="H237" s="667"/>
      <c r="I237" s="21">
        <f t="shared" si="39"/>
        <v>1</v>
      </c>
      <c r="J237" s="667"/>
      <c r="K237" s="21">
        <f t="shared" si="40"/>
        <v>1</v>
      </c>
      <c r="L237" s="667"/>
      <c r="M237" s="21">
        <f t="shared" si="41"/>
        <v>1</v>
      </c>
      <c r="N237" s="667"/>
      <c r="O237" s="21">
        <f t="shared" si="42"/>
        <v>1</v>
      </c>
      <c r="P237" s="667"/>
      <c r="Q237" s="21">
        <f t="shared" si="43"/>
        <v>0</v>
      </c>
      <c r="R237" s="663">
        <f t="shared" si="44"/>
        <v>0</v>
      </c>
      <c r="S237" s="316">
        <f t="shared" si="35"/>
        <v>0</v>
      </c>
    </row>
    <row r="238" spans="1:19">
      <c r="A238" s="150"/>
      <c r="B238" s="54"/>
      <c r="C238" s="21">
        <f t="shared" si="36"/>
        <v>1</v>
      </c>
      <c r="D238" s="667"/>
      <c r="E238" s="21">
        <f t="shared" si="37"/>
        <v>1</v>
      </c>
      <c r="F238" s="667"/>
      <c r="G238" s="21">
        <f t="shared" si="38"/>
        <v>1</v>
      </c>
      <c r="H238" s="667"/>
      <c r="I238" s="21">
        <f t="shared" si="39"/>
        <v>1</v>
      </c>
      <c r="J238" s="667"/>
      <c r="K238" s="21">
        <f t="shared" si="40"/>
        <v>1</v>
      </c>
      <c r="L238" s="667"/>
      <c r="M238" s="21">
        <f t="shared" si="41"/>
        <v>1</v>
      </c>
      <c r="N238" s="667"/>
      <c r="O238" s="21">
        <f t="shared" si="42"/>
        <v>1</v>
      </c>
      <c r="P238" s="667"/>
      <c r="Q238" s="21">
        <f t="shared" si="43"/>
        <v>0</v>
      </c>
      <c r="R238" s="663">
        <f t="shared" si="44"/>
        <v>0</v>
      </c>
      <c r="S238" s="316">
        <f t="shared" si="35"/>
        <v>0</v>
      </c>
    </row>
    <row r="239" spans="1:19">
      <c r="A239" s="150"/>
      <c r="B239" s="54"/>
      <c r="C239" s="21">
        <f t="shared" si="36"/>
        <v>1</v>
      </c>
      <c r="D239" s="667"/>
      <c r="E239" s="21">
        <f t="shared" si="37"/>
        <v>1</v>
      </c>
      <c r="F239" s="667"/>
      <c r="G239" s="21">
        <f t="shared" si="38"/>
        <v>1</v>
      </c>
      <c r="H239" s="667"/>
      <c r="I239" s="21">
        <f t="shared" si="39"/>
        <v>1</v>
      </c>
      <c r="J239" s="667"/>
      <c r="K239" s="21">
        <f t="shared" si="40"/>
        <v>1</v>
      </c>
      <c r="L239" s="667"/>
      <c r="M239" s="21">
        <f t="shared" si="41"/>
        <v>1</v>
      </c>
      <c r="N239" s="667"/>
      <c r="O239" s="21">
        <f t="shared" si="42"/>
        <v>1</v>
      </c>
      <c r="P239" s="667"/>
      <c r="Q239" s="21">
        <f t="shared" si="43"/>
        <v>0</v>
      </c>
      <c r="R239" s="663">
        <f t="shared" si="44"/>
        <v>0</v>
      </c>
      <c r="S239" s="316">
        <f t="shared" si="35"/>
        <v>0</v>
      </c>
    </row>
    <row r="240" spans="1:19">
      <c r="A240" s="150"/>
      <c r="B240" s="54"/>
      <c r="C240" s="21">
        <f t="shared" si="36"/>
        <v>1</v>
      </c>
      <c r="D240" s="667"/>
      <c r="E240" s="21">
        <f t="shared" si="37"/>
        <v>1</v>
      </c>
      <c r="F240" s="667"/>
      <c r="G240" s="21">
        <f t="shared" si="38"/>
        <v>1</v>
      </c>
      <c r="H240" s="667"/>
      <c r="I240" s="21">
        <f t="shared" si="39"/>
        <v>1</v>
      </c>
      <c r="J240" s="667"/>
      <c r="K240" s="21">
        <f t="shared" si="40"/>
        <v>1</v>
      </c>
      <c r="L240" s="667"/>
      <c r="M240" s="21">
        <f t="shared" si="41"/>
        <v>1</v>
      </c>
      <c r="N240" s="667"/>
      <c r="O240" s="21">
        <f t="shared" si="42"/>
        <v>1</v>
      </c>
      <c r="P240" s="667"/>
      <c r="Q240" s="21">
        <f t="shared" si="43"/>
        <v>0</v>
      </c>
      <c r="R240" s="663">
        <f t="shared" si="44"/>
        <v>0</v>
      </c>
      <c r="S240" s="316">
        <f t="shared" si="35"/>
        <v>0</v>
      </c>
    </row>
    <row r="241" spans="1:19">
      <c r="A241" s="150"/>
      <c r="B241" s="54"/>
      <c r="C241" s="21">
        <f t="shared" si="36"/>
        <v>1</v>
      </c>
      <c r="D241" s="667"/>
      <c r="E241" s="21">
        <f t="shared" si="37"/>
        <v>1</v>
      </c>
      <c r="F241" s="667"/>
      <c r="G241" s="21">
        <f t="shared" si="38"/>
        <v>1</v>
      </c>
      <c r="H241" s="667"/>
      <c r="I241" s="21">
        <f t="shared" si="39"/>
        <v>1</v>
      </c>
      <c r="J241" s="667"/>
      <c r="K241" s="21">
        <f t="shared" si="40"/>
        <v>1</v>
      </c>
      <c r="L241" s="667"/>
      <c r="M241" s="21">
        <f t="shared" si="41"/>
        <v>1</v>
      </c>
      <c r="N241" s="667"/>
      <c r="O241" s="21">
        <f t="shared" si="42"/>
        <v>1</v>
      </c>
      <c r="P241" s="667"/>
      <c r="Q241" s="21">
        <f t="shared" si="43"/>
        <v>0</v>
      </c>
      <c r="R241" s="663">
        <f t="shared" si="44"/>
        <v>0</v>
      </c>
      <c r="S241" s="316">
        <f t="shared" si="35"/>
        <v>0</v>
      </c>
    </row>
    <row r="242" spans="1:19">
      <c r="A242" s="150"/>
      <c r="B242" s="54"/>
      <c r="C242" s="21">
        <f t="shared" si="36"/>
        <v>1</v>
      </c>
      <c r="D242" s="667"/>
      <c r="E242" s="21">
        <f t="shared" si="37"/>
        <v>1</v>
      </c>
      <c r="F242" s="667"/>
      <c r="G242" s="21">
        <f t="shared" si="38"/>
        <v>1</v>
      </c>
      <c r="H242" s="667"/>
      <c r="I242" s="21">
        <f t="shared" si="39"/>
        <v>1</v>
      </c>
      <c r="J242" s="667"/>
      <c r="K242" s="21">
        <f t="shared" si="40"/>
        <v>1</v>
      </c>
      <c r="L242" s="667"/>
      <c r="M242" s="21">
        <f t="shared" si="41"/>
        <v>1</v>
      </c>
      <c r="N242" s="667"/>
      <c r="O242" s="21">
        <f t="shared" si="42"/>
        <v>1</v>
      </c>
      <c r="P242" s="667"/>
      <c r="Q242" s="21">
        <f t="shared" si="43"/>
        <v>0</v>
      </c>
      <c r="R242" s="663">
        <f t="shared" si="44"/>
        <v>0</v>
      </c>
      <c r="S242" s="316">
        <f t="shared" si="35"/>
        <v>0</v>
      </c>
    </row>
    <row r="243" spans="1:19">
      <c r="A243" s="150"/>
      <c r="B243" s="54"/>
      <c r="C243" s="21">
        <f t="shared" si="36"/>
        <v>1</v>
      </c>
      <c r="D243" s="667"/>
      <c r="E243" s="21">
        <f t="shared" si="37"/>
        <v>1</v>
      </c>
      <c r="F243" s="667"/>
      <c r="G243" s="21">
        <f t="shared" si="38"/>
        <v>1</v>
      </c>
      <c r="H243" s="667"/>
      <c r="I243" s="21">
        <f t="shared" si="39"/>
        <v>1</v>
      </c>
      <c r="J243" s="667"/>
      <c r="K243" s="21">
        <f t="shared" si="40"/>
        <v>1</v>
      </c>
      <c r="L243" s="667"/>
      <c r="M243" s="21">
        <f t="shared" si="41"/>
        <v>1</v>
      </c>
      <c r="N243" s="667"/>
      <c r="O243" s="21">
        <f t="shared" si="42"/>
        <v>1</v>
      </c>
      <c r="P243" s="667"/>
      <c r="Q243" s="21">
        <f t="shared" si="43"/>
        <v>0</v>
      </c>
      <c r="R243" s="663">
        <f t="shared" si="44"/>
        <v>0</v>
      </c>
      <c r="S243" s="316">
        <f t="shared" si="35"/>
        <v>0</v>
      </c>
    </row>
    <row r="244" spans="1:19">
      <c r="A244" s="150"/>
      <c r="B244" s="54"/>
      <c r="C244" s="21">
        <f t="shared" si="36"/>
        <v>1</v>
      </c>
      <c r="D244" s="667"/>
      <c r="E244" s="21">
        <f t="shared" si="37"/>
        <v>1</v>
      </c>
      <c r="F244" s="667"/>
      <c r="G244" s="21">
        <f t="shared" si="38"/>
        <v>1</v>
      </c>
      <c r="H244" s="667"/>
      <c r="I244" s="21">
        <f t="shared" si="39"/>
        <v>1</v>
      </c>
      <c r="J244" s="667"/>
      <c r="K244" s="21">
        <f t="shared" si="40"/>
        <v>1</v>
      </c>
      <c r="L244" s="667"/>
      <c r="M244" s="21">
        <f t="shared" si="41"/>
        <v>1</v>
      </c>
      <c r="N244" s="667"/>
      <c r="O244" s="21">
        <f t="shared" si="42"/>
        <v>1</v>
      </c>
      <c r="P244" s="667"/>
      <c r="Q244" s="21">
        <f t="shared" si="43"/>
        <v>0</v>
      </c>
      <c r="R244" s="663">
        <f t="shared" si="44"/>
        <v>0</v>
      </c>
      <c r="S244" s="316">
        <f t="shared" si="35"/>
        <v>0</v>
      </c>
    </row>
    <row r="245" spans="1:19">
      <c r="A245" s="150"/>
      <c r="B245" s="54"/>
      <c r="C245" s="21">
        <f t="shared" si="36"/>
        <v>1</v>
      </c>
      <c r="D245" s="667"/>
      <c r="E245" s="21">
        <f t="shared" si="37"/>
        <v>1</v>
      </c>
      <c r="F245" s="667"/>
      <c r="G245" s="21">
        <f t="shared" si="38"/>
        <v>1</v>
      </c>
      <c r="H245" s="667"/>
      <c r="I245" s="21">
        <f t="shared" si="39"/>
        <v>1</v>
      </c>
      <c r="J245" s="667"/>
      <c r="K245" s="21">
        <f t="shared" si="40"/>
        <v>1</v>
      </c>
      <c r="L245" s="667"/>
      <c r="M245" s="21">
        <f t="shared" si="41"/>
        <v>1</v>
      </c>
      <c r="N245" s="667"/>
      <c r="O245" s="21">
        <f t="shared" si="42"/>
        <v>1</v>
      </c>
      <c r="P245" s="667"/>
      <c r="Q245" s="21">
        <f t="shared" si="43"/>
        <v>0</v>
      </c>
      <c r="R245" s="663">
        <f t="shared" si="44"/>
        <v>0</v>
      </c>
      <c r="S245" s="316">
        <f t="shared" si="35"/>
        <v>0</v>
      </c>
    </row>
    <row r="246" spans="1:19">
      <c r="A246" s="150"/>
      <c r="B246" s="54"/>
      <c r="C246" s="21">
        <f t="shared" si="36"/>
        <v>1</v>
      </c>
      <c r="D246" s="667"/>
      <c r="E246" s="21">
        <f t="shared" si="37"/>
        <v>1</v>
      </c>
      <c r="F246" s="667"/>
      <c r="G246" s="21">
        <f t="shared" si="38"/>
        <v>1</v>
      </c>
      <c r="H246" s="667"/>
      <c r="I246" s="21">
        <f t="shared" si="39"/>
        <v>1</v>
      </c>
      <c r="J246" s="667"/>
      <c r="K246" s="21">
        <f t="shared" si="40"/>
        <v>1</v>
      </c>
      <c r="L246" s="667"/>
      <c r="M246" s="21">
        <f t="shared" si="41"/>
        <v>1</v>
      </c>
      <c r="N246" s="667"/>
      <c r="O246" s="21">
        <f t="shared" si="42"/>
        <v>1</v>
      </c>
      <c r="P246" s="667"/>
      <c r="Q246" s="21">
        <f t="shared" si="43"/>
        <v>0</v>
      </c>
      <c r="R246" s="663">
        <f t="shared" si="44"/>
        <v>0</v>
      </c>
      <c r="S246" s="316">
        <f t="shared" si="35"/>
        <v>0</v>
      </c>
    </row>
    <row r="247" spans="1:19">
      <c r="A247" s="150"/>
      <c r="B247" s="54"/>
      <c r="C247" s="21">
        <f t="shared" si="36"/>
        <v>1</v>
      </c>
      <c r="D247" s="667"/>
      <c r="E247" s="21">
        <f t="shared" si="37"/>
        <v>1</v>
      </c>
      <c r="F247" s="667"/>
      <c r="G247" s="21">
        <f t="shared" si="38"/>
        <v>1</v>
      </c>
      <c r="H247" s="667"/>
      <c r="I247" s="21">
        <f t="shared" si="39"/>
        <v>1</v>
      </c>
      <c r="J247" s="667"/>
      <c r="K247" s="21">
        <f t="shared" si="40"/>
        <v>1</v>
      </c>
      <c r="L247" s="667"/>
      <c r="M247" s="21">
        <f t="shared" si="41"/>
        <v>1</v>
      </c>
      <c r="N247" s="667"/>
      <c r="O247" s="21">
        <f t="shared" si="42"/>
        <v>1</v>
      </c>
      <c r="P247" s="667"/>
      <c r="Q247" s="21">
        <f t="shared" si="43"/>
        <v>0</v>
      </c>
      <c r="R247" s="663">
        <f t="shared" si="44"/>
        <v>0</v>
      </c>
      <c r="S247" s="316">
        <f t="shared" si="35"/>
        <v>0</v>
      </c>
    </row>
    <row r="248" spans="1:19">
      <c r="A248" s="150"/>
      <c r="B248" s="54"/>
      <c r="C248" s="21">
        <f t="shared" si="36"/>
        <v>1</v>
      </c>
      <c r="D248" s="667"/>
      <c r="E248" s="21">
        <f t="shared" si="37"/>
        <v>1</v>
      </c>
      <c r="F248" s="667"/>
      <c r="G248" s="21">
        <f t="shared" si="38"/>
        <v>1</v>
      </c>
      <c r="H248" s="667"/>
      <c r="I248" s="21">
        <f t="shared" si="39"/>
        <v>1</v>
      </c>
      <c r="J248" s="667"/>
      <c r="K248" s="21">
        <f t="shared" si="40"/>
        <v>1</v>
      </c>
      <c r="L248" s="667"/>
      <c r="M248" s="21">
        <f t="shared" si="41"/>
        <v>1</v>
      </c>
      <c r="N248" s="667"/>
      <c r="O248" s="21">
        <f t="shared" si="42"/>
        <v>1</v>
      </c>
      <c r="P248" s="667"/>
      <c r="Q248" s="21">
        <f t="shared" si="43"/>
        <v>0</v>
      </c>
      <c r="R248" s="663">
        <f t="shared" si="44"/>
        <v>0</v>
      </c>
      <c r="S248" s="316">
        <f t="shared" si="35"/>
        <v>0</v>
      </c>
    </row>
    <row r="249" spans="1:19">
      <c r="A249" s="150"/>
      <c r="B249" s="54"/>
      <c r="C249" s="21">
        <f t="shared" si="36"/>
        <v>1</v>
      </c>
      <c r="D249" s="667"/>
      <c r="E249" s="21">
        <f t="shared" si="37"/>
        <v>1</v>
      </c>
      <c r="F249" s="667"/>
      <c r="G249" s="21">
        <f t="shared" si="38"/>
        <v>1</v>
      </c>
      <c r="H249" s="667"/>
      <c r="I249" s="21">
        <f t="shared" si="39"/>
        <v>1</v>
      </c>
      <c r="J249" s="667"/>
      <c r="K249" s="21">
        <f t="shared" si="40"/>
        <v>1</v>
      </c>
      <c r="L249" s="667"/>
      <c r="M249" s="21">
        <f t="shared" si="41"/>
        <v>1</v>
      </c>
      <c r="N249" s="667"/>
      <c r="O249" s="21">
        <f t="shared" si="42"/>
        <v>1</v>
      </c>
      <c r="P249" s="667"/>
      <c r="Q249" s="21">
        <f t="shared" si="43"/>
        <v>0</v>
      </c>
      <c r="R249" s="663">
        <f t="shared" si="44"/>
        <v>0</v>
      </c>
      <c r="S249" s="316">
        <f t="shared" si="35"/>
        <v>0</v>
      </c>
    </row>
    <row r="250" spans="1:19">
      <c r="A250" s="150"/>
      <c r="B250" s="54"/>
      <c r="C250" s="21">
        <f t="shared" si="36"/>
        <v>1</v>
      </c>
      <c r="D250" s="667"/>
      <c r="E250" s="21">
        <f t="shared" si="37"/>
        <v>1</v>
      </c>
      <c r="F250" s="667"/>
      <c r="G250" s="21">
        <f t="shared" si="38"/>
        <v>1</v>
      </c>
      <c r="H250" s="667"/>
      <c r="I250" s="21">
        <f t="shared" si="39"/>
        <v>1</v>
      </c>
      <c r="J250" s="667"/>
      <c r="K250" s="21">
        <f t="shared" si="40"/>
        <v>1</v>
      </c>
      <c r="L250" s="667"/>
      <c r="M250" s="21">
        <f t="shared" si="41"/>
        <v>1</v>
      </c>
      <c r="N250" s="667"/>
      <c r="O250" s="21">
        <f t="shared" si="42"/>
        <v>1</v>
      </c>
      <c r="P250" s="667"/>
      <c r="Q250" s="21">
        <f t="shared" si="43"/>
        <v>0</v>
      </c>
      <c r="R250" s="663">
        <f t="shared" si="44"/>
        <v>0</v>
      </c>
      <c r="S250" s="316">
        <f t="shared" si="35"/>
        <v>0</v>
      </c>
    </row>
    <row r="251" spans="1:19">
      <c r="A251" s="150"/>
      <c r="B251" s="54"/>
      <c r="C251" s="21">
        <f t="shared" si="36"/>
        <v>1</v>
      </c>
      <c r="D251" s="667"/>
      <c r="E251" s="21">
        <f t="shared" si="37"/>
        <v>1</v>
      </c>
      <c r="F251" s="667"/>
      <c r="G251" s="21">
        <f t="shared" si="38"/>
        <v>1</v>
      </c>
      <c r="H251" s="667"/>
      <c r="I251" s="21">
        <f t="shared" si="39"/>
        <v>1</v>
      </c>
      <c r="J251" s="667"/>
      <c r="K251" s="21">
        <f t="shared" si="40"/>
        <v>1</v>
      </c>
      <c r="L251" s="667"/>
      <c r="M251" s="21">
        <f t="shared" si="41"/>
        <v>1</v>
      </c>
      <c r="N251" s="667"/>
      <c r="O251" s="21">
        <f t="shared" si="42"/>
        <v>1</v>
      </c>
      <c r="P251" s="667"/>
      <c r="Q251" s="21">
        <f t="shared" si="43"/>
        <v>0</v>
      </c>
      <c r="R251" s="663">
        <f t="shared" si="44"/>
        <v>0</v>
      </c>
      <c r="S251" s="316">
        <f t="shared" si="35"/>
        <v>0</v>
      </c>
    </row>
    <row r="252" spans="1:19">
      <c r="A252" s="150"/>
      <c r="B252" s="54"/>
      <c r="C252" s="21">
        <f t="shared" si="36"/>
        <v>1</v>
      </c>
      <c r="D252" s="667"/>
      <c r="E252" s="21">
        <f t="shared" si="37"/>
        <v>1</v>
      </c>
      <c r="F252" s="667"/>
      <c r="G252" s="21">
        <f t="shared" si="38"/>
        <v>1</v>
      </c>
      <c r="H252" s="667"/>
      <c r="I252" s="21">
        <f t="shared" si="39"/>
        <v>1</v>
      </c>
      <c r="J252" s="667"/>
      <c r="K252" s="21">
        <f t="shared" si="40"/>
        <v>1</v>
      </c>
      <c r="L252" s="667"/>
      <c r="M252" s="21">
        <f t="shared" si="41"/>
        <v>1</v>
      </c>
      <c r="N252" s="667"/>
      <c r="O252" s="21">
        <f t="shared" si="42"/>
        <v>1</v>
      </c>
      <c r="P252" s="667"/>
      <c r="Q252" s="21">
        <f t="shared" si="43"/>
        <v>0</v>
      </c>
      <c r="R252" s="663">
        <f t="shared" si="44"/>
        <v>0</v>
      </c>
      <c r="S252" s="316">
        <f t="shared" si="35"/>
        <v>0</v>
      </c>
    </row>
    <row r="253" spans="1:19">
      <c r="A253" s="150"/>
      <c r="B253" s="54"/>
      <c r="C253" s="21">
        <f t="shared" si="36"/>
        <v>1</v>
      </c>
      <c r="D253" s="667"/>
      <c r="E253" s="21">
        <f t="shared" si="37"/>
        <v>1</v>
      </c>
      <c r="F253" s="667"/>
      <c r="G253" s="21">
        <f t="shared" si="38"/>
        <v>1</v>
      </c>
      <c r="H253" s="667"/>
      <c r="I253" s="21">
        <f t="shared" si="39"/>
        <v>1</v>
      </c>
      <c r="J253" s="667"/>
      <c r="K253" s="21">
        <f t="shared" si="40"/>
        <v>1</v>
      </c>
      <c r="L253" s="667"/>
      <c r="M253" s="21">
        <f t="shared" si="41"/>
        <v>1</v>
      </c>
      <c r="N253" s="667"/>
      <c r="O253" s="21">
        <f t="shared" si="42"/>
        <v>1</v>
      </c>
      <c r="P253" s="667"/>
      <c r="Q253" s="21">
        <f t="shared" si="43"/>
        <v>0</v>
      </c>
      <c r="R253" s="663">
        <f t="shared" si="44"/>
        <v>0</v>
      </c>
      <c r="S253" s="316">
        <f t="shared" si="35"/>
        <v>0</v>
      </c>
    </row>
    <row r="254" spans="1:19">
      <c r="A254" s="150"/>
      <c r="B254" s="54"/>
      <c r="C254" s="21">
        <f t="shared" si="36"/>
        <v>1</v>
      </c>
      <c r="D254" s="667"/>
      <c r="E254" s="21">
        <f t="shared" si="37"/>
        <v>1</v>
      </c>
      <c r="F254" s="667"/>
      <c r="G254" s="21">
        <f t="shared" si="38"/>
        <v>1</v>
      </c>
      <c r="H254" s="667"/>
      <c r="I254" s="21">
        <f t="shared" si="39"/>
        <v>1</v>
      </c>
      <c r="J254" s="667"/>
      <c r="K254" s="21">
        <f t="shared" si="40"/>
        <v>1</v>
      </c>
      <c r="L254" s="667"/>
      <c r="M254" s="21">
        <f t="shared" si="41"/>
        <v>1</v>
      </c>
      <c r="N254" s="667"/>
      <c r="O254" s="21">
        <f t="shared" si="42"/>
        <v>1</v>
      </c>
      <c r="P254" s="667"/>
      <c r="Q254" s="21">
        <f t="shared" si="43"/>
        <v>0</v>
      </c>
      <c r="R254" s="663">
        <f t="shared" si="44"/>
        <v>0</v>
      </c>
      <c r="S254" s="316">
        <f t="shared" si="35"/>
        <v>0</v>
      </c>
    </row>
    <row r="255" spans="1:19">
      <c r="A255" s="150"/>
      <c r="B255" s="54"/>
      <c r="C255" s="21">
        <f t="shared" si="36"/>
        <v>1</v>
      </c>
      <c r="D255" s="667"/>
      <c r="E255" s="21">
        <f t="shared" si="37"/>
        <v>1</v>
      </c>
      <c r="F255" s="667"/>
      <c r="G255" s="21">
        <f t="shared" si="38"/>
        <v>1</v>
      </c>
      <c r="H255" s="667"/>
      <c r="I255" s="21">
        <f t="shared" si="39"/>
        <v>1</v>
      </c>
      <c r="J255" s="667"/>
      <c r="K255" s="21">
        <f t="shared" si="40"/>
        <v>1</v>
      </c>
      <c r="L255" s="667"/>
      <c r="M255" s="21">
        <f t="shared" si="41"/>
        <v>1</v>
      </c>
      <c r="N255" s="667"/>
      <c r="O255" s="21">
        <f t="shared" si="42"/>
        <v>1</v>
      </c>
      <c r="P255" s="667"/>
      <c r="Q255" s="21">
        <f t="shared" si="43"/>
        <v>0</v>
      </c>
      <c r="R255" s="663">
        <f t="shared" si="44"/>
        <v>0</v>
      </c>
      <c r="S255" s="316">
        <f t="shared" si="35"/>
        <v>0</v>
      </c>
    </row>
    <row r="256" spans="1:19">
      <c r="A256" s="150"/>
      <c r="B256" s="54"/>
      <c r="C256" s="21">
        <f t="shared" si="36"/>
        <v>1</v>
      </c>
      <c r="D256" s="667"/>
      <c r="E256" s="21">
        <f t="shared" si="37"/>
        <v>1</v>
      </c>
      <c r="F256" s="667"/>
      <c r="G256" s="21">
        <f t="shared" si="38"/>
        <v>1</v>
      </c>
      <c r="H256" s="667"/>
      <c r="I256" s="21">
        <f t="shared" si="39"/>
        <v>1</v>
      </c>
      <c r="J256" s="667"/>
      <c r="K256" s="21">
        <f t="shared" si="40"/>
        <v>1</v>
      </c>
      <c r="L256" s="667"/>
      <c r="M256" s="21">
        <f t="shared" si="41"/>
        <v>1</v>
      </c>
      <c r="N256" s="667"/>
      <c r="O256" s="21">
        <f t="shared" si="42"/>
        <v>1</v>
      </c>
      <c r="P256" s="667"/>
      <c r="Q256" s="21">
        <f t="shared" si="43"/>
        <v>0</v>
      </c>
      <c r="R256" s="663">
        <f t="shared" si="44"/>
        <v>0</v>
      </c>
      <c r="S256" s="316">
        <f t="shared" si="35"/>
        <v>0</v>
      </c>
    </row>
    <row r="257" spans="1:19">
      <c r="A257" s="150"/>
      <c r="B257" s="54"/>
      <c r="C257" s="21">
        <f t="shared" si="36"/>
        <v>1</v>
      </c>
      <c r="D257" s="667"/>
      <c r="E257" s="21">
        <f t="shared" si="37"/>
        <v>1</v>
      </c>
      <c r="F257" s="667"/>
      <c r="G257" s="21">
        <f t="shared" si="38"/>
        <v>1</v>
      </c>
      <c r="H257" s="667"/>
      <c r="I257" s="21">
        <f t="shared" si="39"/>
        <v>1</v>
      </c>
      <c r="J257" s="667"/>
      <c r="K257" s="21">
        <f t="shared" si="40"/>
        <v>1</v>
      </c>
      <c r="L257" s="667"/>
      <c r="M257" s="21">
        <f t="shared" si="41"/>
        <v>1</v>
      </c>
      <c r="N257" s="667"/>
      <c r="O257" s="21">
        <f t="shared" si="42"/>
        <v>1</v>
      </c>
      <c r="P257" s="667"/>
      <c r="Q257" s="21">
        <f t="shared" si="43"/>
        <v>0</v>
      </c>
      <c r="R257" s="663">
        <f t="shared" si="44"/>
        <v>0</v>
      </c>
      <c r="S257" s="316">
        <f t="shared" si="35"/>
        <v>0</v>
      </c>
    </row>
    <row r="258" spans="1:19">
      <c r="A258" s="150"/>
      <c r="B258" s="54"/>
      <c r="C258" s="21">
        <f t="shared" si="36"/>
        <v>1</v>
      </c>
      <c r="D258" s="667"/>
      <c r="E258" s="21">
        <f t="shared" si="37"/>
        <v>1</v>
      </c>
      <c r="F258" s="667"/>
      <c r="G258" s="21">
        <f t="shared" si="38"/>
        <v>1</v>
      </c>
      <c r="H258" s="667"/>
      <c r="I258" s="21">
        <f t="shared" si="39"/>
        <v>1</v>
      </c>
      <c r="J258" s="667"/>
      <c r="K258" s="21">
        <f t="shared" si="40"/>
        <v>1</v>
      </c>
      <c r="L258" s="667"/>
      <c r="M258" s="21">
        <f t="shared" si="41"/>
        <v>1</v>
      </c>
      <c r="N258" s="667"/>
      <c r="O258" s="21">
        <f t="shared" si="42"/>
        <v>1</v>
      </c>
      <c r="P258" s="667"/>
      <c r="Q258" s="21">
        <f t="shared" si="43"/>
        <v>0</v>
      </c>
      <c r="R258" s="663">
        <f t="shared" si="44"/>
        <v>0</v>
      </c>
      <c r="S258" s="316">
        <f t="shared" si="35"/>
        <v>0</v>
      </c>
    </row>
    <row r="259" spans="1:19">
      <c r="A259" s="150"/>
      <c r="B259" s="54"/>
      <c r="C259" s="21">
        <f t="shared" si="36"/>
        <v>1</v>
      </c>
      <c r="D259" s="667"/>
      <c r="E259" s="21">
        <f t="shared" si="37"/>
        <v>1</v>
      </c>
      <c r="F259" s="667"/>
      <c r="G259" s="21">
        <f t="shared" si="38"/>
        <v>1</v>
      </c>
      <c r="H259" s="667"/>
      <c r="I259" s="21">
        <f t="shared" si="39"/>
        <v>1</v>
      </c>
      <c r="J259" s="667"/>
      <c r="K259" s="21">
        <f t="shared" si="40"/>
        <v>1</v>
      </c>
      <c r="L259" s="667"/>
      <c r="M259" s="21">
        <f t="shared" si="41"/>
        <v>1</v>
      </c>
      <c r="N259" s="667"/>
      <c r="O259" s="21">
        <f t="shared" si="42"/>
        <v>1</v>
      </c>
      <c r="P259" s="667"/>
      <c r="Q259" s="21">
        <f t="shared" si="43"/>
        <v>0</v>
      </c>
      <c r="R259" s="663">
        <f t="shared" si="44"/>
        <v>0</v>
      </c>
      <c r="S259" s="316">
        <f t="shared" si="35"/>
        <v>0</v>
      </c>
    </row>
    <row r="260" spans="1:19">
      <c r="A260" s="150"/>
      <c r="B260" s="54"/>
      <c r="C260" s="21">
        <f t="shared" si="36"/>
        <v>1</v>
      </c>
      <c r="D260" s="667"/>
      <c r="E260" s="21">
        <f t="shared" si="37"/>
        <v>1</v>
      </c>
      <c r="F260" s="667"/>
      <c r="G260" s="21">
        <f t="shared" si="38"/>
        <v>1</v>
      </c>
      <c r="H260" s="667"/>
      <c r="I260" s="21">
        <f t="shared" si="39"/>
        <v>1</v>
      </c>
      <c r="J260" s="667"/>
      <c r="K260" s="21">
        <f t="shared" si="40"/>
        <v>1</v>
      </c>
      <c r="L260" s="667"/>
      <c r="M260" s="21">
        <f t="shared" si="41"/>
        <v>1</v>
      </c>
      <c r="N260" s="667"/>
      <c r="O260" s="21">
        <f t="shared" si="42"/>
        <v>1</v>
      </c>
      <c r="P260" s="667"/>
      <c r="Q260" s="21">
        <f t="shared" si="43"/>
        <v>0</v>
      </c>
      <c r="R260" s="663">
        <f t="shared" si="44"/>
        <v>0</v>
      </c>
      <c r="S260" s="316">
        <f t="shared" si="35"/>
        <v>0</v>
      </c>
    </row>
    <row r="261" spans="1:19">
      <c r="A261" s="150"/>
      <c r="B261" s="54"/>
      <c r="C261" s="21">
        <f t="shared" si="36"/>
        <v>1</v>
      </c>
      <c r="D261" s="667"/>
      <c r="E261" s="21">
        <f t="shared" si="37"/>
        <v>1</v>
      </c>
      <c r="F261" s="667"/>
      <c r="G261" s="21">
        <f t="shared" si="38"/>
        <v>1</v>
      </c>
      <c r="H261" s="667"/>
      <c r="I261" s="21">
        <f t="shared" si="39"/>
        <v>1</v>
      </c>
      <c r="J261" s="667"/>
      <c r="K261" s="21">
        <f t="shared" si="40"/>
        <v>1</v>
      </c>
      <c r="L261" s="667"/>
      <c r="M261" s="21">
        <f t="shared" si="41"/>
        <v>1</v>
      </c>
      <c r="N261" s="667"/>
      <c r="O261" s="21">
        <f t="shared" si="42"/>
        <v>1</v>
      </c>
      <c r="P261" s="667"/>
      <c r="Q261" s="21">
        <f t="shared" si="43"/>
        <v>0</v>
      </c>
      <c r="R261" s="663">
        <f t="shared" si="44"/>
        <v>0</v>
      </c>
      <c r="S261" s="316">
        <f t="shared" si="35"/>
        <v>0</v>
      </c>
    </row>
    <row r="262" spans="1:19">
      <c r="A262" s="150"/>
      <c r="B262" s="54"/>
      <c r="C262" s="21">
        <f t="shared" si="36"/>
        <v>1</v>
      </c>
      <c r="D262" s="667"/>
      <c r="E262" s="21">
        <f t="shared" si="37"/>
        <v>1</v>
      </c>
      <c r="F262" s="667"/>
      <c r="G262" s="21">
        <f t="shared" si="38"/>
        <v>1</v>
      </c>
      <c r="H262" s="667"/>
      <c r="I262" s="21">
        <f t="shared" si="39"/>
        <v>1</v>
      </c>
      <c r="J262" s="667"/>
      <c r="K262" s="21">
        <f t="shared" si="40"/>
        <v>1</v>
      </c>
      <c r="L262" s="667"/>
      <c r="M262" s="21">
        <f t="shared" si="41"/>
        <v>1</v>
      </c>
      <c r="N262" s="667"/>
      <c r="O262" s="21">
        <f t="shared" si="42"/>
        <v>1</v>
      </c>
      <c r="P262" s="667"/>
      <c r="Q262" s="21">
        <f t="shared" si="43"/>
        <v>0</v>
      </c>
      <c r="R262" s="663">
        <f t="shared" si="44"/>
        <v>0</v>
      </c>
      <c r="S262" s="316">
        <f t="shared" si="35"/>
        <v>0</v>
      </c>
    </row>
    <row r="263" spans="1:19">
      <c r="A263" s="150"/>
      <c r="B263" s="54"/>
      <c r="C263" s="21">
        <f t="shared" si="36"/>
        <v>1</v>
      </c>
      <c r="D263" s="667"/>
      <c r="E263" s="21">
        <f t="shared" si="37"/>
        <v>1</v>
      </c>
      <c r="F263" s="667"/>
      <c r="G263" s="21">
        <f t="shared" si="38"/>
        <v>1</v>
      </c>
      <c r="H263" s="667"/>
      <c r="I263" s="21">
        <f t="shared" si="39"/>
        <v>1</v>
      </c>
      <c r="J263" s="667"/>
      <c r="K263" s="21">
        <f t="shared" si="40"/>
        <v>1</v>
      </c>
      <c r="L263" s="667"/>
      <c r="M263" s="21">
        <f t="shared" si="41"/>
        <v>1</v>
      </c>
      <c r="N263" s="667"/>
      <c r="O263" s="21">
        <f t="shared" si="42"/>
        <v>1</v>
      </c>
      <c r="P263" s="667"/>
      <c r="Q263" s="21">
        <f t="shared" si="43"/>
        <v>0</v>
      </c>
      <c r="R263" s="663">
        <f t="shared" si="44"/>
        <v>0</v>
      </c>
      <c r="S263" s="316">
        <f t="shared" si="35"/>
        <v>0</v>
      </c>
    </row>
    <row r="264" spans="1:19">
      <c r="A264" s="150"/>
      <c r="B264" s="54"/>
      <c r="C264" s="21">
        <f t="shared" si="36"/>
        <v>1</v>
      </c>
      <c r="D264" s="667"/>
      <c r="E264" s="21">
        <f t="shared" si="37"/>
        <v>1</v>
      </c>
      <c r="F264" s="667"/>
      <c r="G264" s="21">
        <f t="shared" si="38"/>
        <v>1</v>
      </c>
      <c r="H264" s="667"/>
      <c r="I264" s="21">
        <f t="shared" si="39"/>
        <v>1</v>
      </c>
      <c r="J264" s="667"/>
      <c r="K264" s="21">
        <f t="shared" si="40"/>
        <v>1</v>
      </c>
      <c r="L264" s="667"/>
      <c r="M264" s="21">
        <f t="shared" si="41"/>
        <v>1</v>
      </c>
      <c r="N264" s="667"/>
      <c r="O264" s="21">
        <f t="shared" si="42"/>
        <v>1</v>
      </c>
      <c r="P264" s="667"/>
      <c r="Q264" s="21">
        <f t="shared" si="43"/>
        <v>0</v>
      </c>
      <c r="R264" s="663">
        <f t="shared" si="44"/>
        <v>0</v>
      </c>
      <c r="S264" s="316">
        <f t="shared" si="35"/>
        <v>0</v>
      </c>
    </row>
    <row r="265" spans="1:19">
      <c r="A265" s="150"/>
      <c r="B265" s="54"/>
      <c r="C265" s="21">
        <f t="shared" si="36"/>
        <v>1</v>
      </c>
      <c r="D265" s="667"/>
      <c r="E265" s="21">
        <f t="shared" si="37"/>
        <v>1</v>
      </c>
      <c r="F265" s="667"/>
      <c r="G265" s="21">
        <f t="shared" si="38"/>
        <v>1</v>
      </c>
      <c r="H265" s="667"/>
      <c r="I265" s="21">
        <f t="shared" si="39"/>
        <v>1</v>
      </c>
      <c r="J265" s="667"/>
      <c r="K265" s="21">
        <f t="shared" si="40"/>
        <v>1</v>
      </c>
      <c r="L265" s="667"/>
      <c r="M265" s="21">
        <f t="shared" si="41"/>
        <v>1</v>
      </c>
      <c r="N265" s="667"/>
      <c r="O265" s="21">
        <f t="shared" si="42"/>
        <v>1</v>
      </c>
      <c r="P265" s="667"/>
      <c r="Q265" s="21">
        <f t="shared" si="43"/>
        <v>0</v>
      </c>
      <c r="R265" s="663">
        <f t="shared" si="44"/>
        <v>0</v>
      </c>
      <c r="S265" s="316">
        <f t="shared" si="35"/>
        <v>0</v>
      </c>
    </row>
    <row r="266" spans="1:19">
      <c r="A266" s="150"/>
      <c r="B266" s="54"/>
      <c r="C266" s="21">
        <f t="shared" si="36"/>
        <v>1</v>
      </c>
      <c r="D266" s="667"/>
      <c r="E266" s="21">
        <f t="shared" si="37"/>
        <v>1</v>
      </c>
      <c r="F266" s="667"/>
      <c r="G266" s="21">
        <f t="shared" si="38"/>
        <v>1</v>
      </c>
      <c r="H266" s="667"/>
      <c r="I266" s="21">
        <f t="shared" si="39"/>
        <v>1</v>
      </c>
      <c r="J266" s="667"/>
      <c r="K266" s="21">
        <f t="shared" si="40"/>
        <v>1</v>
      </c>
      <c r="L266" s="667"/>
      <c r="M266" s="21">
        <f t="shared" si="41"/>
        <v>1</v>
      </c>
      <c r="N266" s="667"/>
      <c r="O266" s="21">
        <f t="shared" si="42"/>
        <v>1</v>
      </c>
      <c r="P266" s="667"/>
      <c r="Q266" s="21">
        <f t="shared" si="43"/>
        <v>0</v>
      </c>
      <c r="R266" s="663">
        <f t="shared" si="44"/>
        <v>0</v>
      </c>
      <c r="S266" s="316">
        <f t="shared" si="35"/>
        <v>0</v>
      </c>
    </row>
    <row r="267" spans="1:19">
      <c r="A267" s="150"/>
      <c r="B267" s="54"/>
      <c r="C267" s="21">
        <f t="shared" si="36"/>
        <v>1</v>
      </c>
      <c r="D267" s="667"/>
      <c r="E267" s="21">
        <f t="shared" si="37"/>
        <v>1</v>
      </c>
      <c r="F267" s="667"/>
      <c r="G267" s="21">
        <f t="shared" si="38"/>
        <v>1</v>
      </c>
      <c r="H267" s="667"/>
      <c r="I267" s="21">
        <f t="shared" si="39"/>
        <v>1</v>
      </c>
      <c r="J267" s="667"/>
      <c r="K267" s="21">
        <f t="shared" si="40"/>
        <v>1</v>
      </c>
      <c r="L267" s="667"/>
      <c r="M267" s="21">
        <f t="shared" si="41"/>
        <v>1</v>
      </c>
      <c r="N267" s="667"/>
      <c r="O267" s="21">
        <f t="shared" si="42"/>
        <v>1</v>
      </c>
      <c r="P267" s="667"/>
      <c r="Q267" s="21">
        <f t="shared" si="43"/>
        <v>0</v>
      </c>
      <c r="R267" s="663">
        <f t="shared" si="44"/>
        <v>0</v>
      </c>
      <c r="S267" s="316">
        <f t="shared" si="35"/>
        <v>0</v>
      </c>
    </row>
    <row r="268" spans="1:19">
      <c r="A268" s="150"/>
      <c r="B268" s="54"/>
      <c r="C268" s="21">
        <f t="shared" si="36"/>
        <v>1</v>
      </c>
      <c r="D268" s="667"/>
      <c r="E268" s="21">
        <f t="shared" si="37"/>
        <v>1</v>
      </c>
      <c r="F268" s="667"/>
      <c r="G268" s="21">
        <f t="shared" si="38"/>
        <v>1</v>
      </c>
      <c r="H268" s="667"/>
      <c r="I268" s="21">
        <f t="shared" si="39"/>
        <v>1</v>
      </c>
      <c r="J268" s="667"/>
      <c r="K268" s="21">
        <f t="shared" si="40"/>
        <v>1</v>
      </c>
      <c r="L268" s="667"/>
      <c r="M268" s="21">
        <f t="shared" si="41"/>
        <v>1</v>
      </c>
      <c r="N268" s="667"/>
      <c r="O268" s="21">
        <f t="shared" si="42"/>
        <v>1</v>
      </c>
      <c r="P268" s="667"/>
      <c r="Q268" s="21">
        <f t="shared" si="43"/>
        <v>0</v>
      </c>
      <c r="R268" s="663">
        <f t="shared" si="44"/>
        <v>0</v>
      </c>
      <c r="S268" s="316">
        <f t="shared" si="35"/>
        <v>0</v>
      </c>
    </row>
    <row r="269" spans="1:19">
      <c r="A269" s="150"/>
      <c r="B269" s="54"/>
      <c r="C269" s="21">
        <f t="shared" si="36"/>
        <v>1</v>
      </c>
      <c r="D269" s="667"/>
      <c r="E269" s="21">
        <f t="shared" si="37"/>
        <v>1</v>
      </c>
      <c r="F269" s="667"/>
      <c r="G269" s="21">
        <f t="shared" si="38"/>
        <v>1</v>
      </c>
      <c r="H269" s="667"/>
      <c r="I269" s="21">
        <f t="shared" si="39"/>
        <v>1</v>
      </c>
      <c r="J269" s="667"/>
      <c r="K269" s="21">
        <f t="shared" si="40"/>
        <v>1</v>
      </c>
      <c r="L269" s="667"/>
      <c r="M269" s="21">
        <f t="shared" si="41"/>
        <v>1</v>
      </c>
      <c r="N269" s="667"/>
      <c r="O269" s="21">
        <f t="shared" si="42"/>
        <v>1</v>
      </c>
      <c r="P269" s="667"/>
      <c r="Q269" s="21">
        <f t="shared" si="43"/>
        <v>0</v>
      </c>
      <c r="R269" s="663">
        <f t="shared" si="44"/>
        <v>0</v>
      </c>
      <c r="S269" s="316">
        <f t="shared" si="35"/>
        <v>0</v>
      </c>
    </row>
    <row r="270" spans="1:19">
      <c r="A270" s="150"/>
      <c r="B270" s="54"/>
      <c r="C270" s="21">
        <f t="shared" si="36"/>
        <v>1</v>
      </c>
      <c r="D270" s="667"/>
      <c r="E270" s="21">
        <f t="shared" si="37"/>
        <v>1</v>
      </c>
      <c r="F270" s="667"/>
      <c r="G270" s="21">
        <f t="shared" si="38"/>
        <v>1</v>
      </c>
      <c r="H270" s="667"/>
      <c r="I270" s="21">
        <f t="shared" si="39"/>
        <v>1</v>
      </c>
      <c r="J270" s="667"/>
      <c r="K270" s="21">
        <f t="shared" si="40"/>
        <v>1</v>
      </c>
      <c r="L270" s="667"/>
      <c r="M270" s="21">
        <f t="shared" si="41"/>
        <v>1</v>
      </c>
      <c r="N270" s="667"/>
      <c r="O270" s="21">
        <f t="shared" si="42"/>
        <v>1</v>
      </c>
      <c r="P270" s="667"/>
      <c r="Q270" s="21">
        <f t="shared" si="43"/>
        <v>0</v>
      </c>
      <c r="R270" s="663">
        <f t="shared" si="44"/>
        <v>0</v>
      </c>
      <c r="S270" s="316">
        <f t="shared" si="35"/>
        <v>0</v>
      </c>
    </row>
    <row r="271" spans="1:19">
      <c r="A271" s="150"/>
      <c r="B271" s="54"/>
      <c r="C271" s="21">
        <f t="shared" si="36"/>
        <v>1</v>
      </c>
      <c r="D271" s="667"/>
      <c r="E271" s="21">
        <f t="shared" si="37"/>
        <v>1</v>
      </c>
      <c r="F271" s="667"/>
      <c r="G271" s="21">
        <f t="shared" si="38"/>
        <v>1</v>
      </c>
      <c r="H271" s="667"/>
      <c r="I271" s="21">
        <f t="shared" si="39"/>
        <v>1</v>
      </c>
      <c r="J271" s="667"/>
      <c r="K271" s="21">
        <f t="shared" si="40"/>
        <v>1</v>
      </c>
      <c r="L271" s="667"/>
      <c r="M271" s="21">
        <f t="shared" si="41"/>
        <v>1</v>
      </c>
      <c r="N271" s="667"/>
      <c r="O271" s="21">
        <f t="shared" si="42"/>
        <v>1</v>
      </c>
      <c r="P271" s="667"/>
      <c r="Q271" s="21">
        <f t="shared" si="43"/>
        <v>0</v>
      </c>
      <c r="R271" s="663">
        <f t="shared" si="44"/>
        <v>0</v>
      </c>
      <c r="S271" s="316">
        <f t="shared" si="35"/>
        <v>0</v>
      </c>
    </row>
    <row r="272" spans="1:19">
      <c r="A272" s="150"/>
      <c r="B272" s="54"/>
      <c r="C272" s="21">
        <f t="shared" si="36"/>
        <v>1</v>
      </c>
      <c r="D272" s="667"/>
      <c r="E272" s="21">
        <f t="shared" si="37"/>
        <v>1</v>
      </c>
      <c r="F272" s="667"/>
      <c r="G272" s="21">
        <f t="shared" si="38"/>
        <v>1</v>
      </c>
      <c r="H272" s="667"/>
      <c r="I272" s="21">
        <f t="shared" si="39"/>
        <v>1</v>
      </c>
      <c r="J272" s="667"/>
      <c r="K272" s="21">
        <f t="shared" si="40"/>
        <v>1</v>
      </c>
      <c r="L272" s="667"/>
      <c r="M272" s="21">
        <f t="shared" si="41"/>
        <v>1</v>
      </c>
      <c r="N272" s="667"/>
      <c r="O272" s="21">
        <f t="shared" si="42"/>
        <v>1</v>
      </c>
      <c r="P272" s="667"/>
      <c r="Q272" s="21">
        <f t="shared" si="43"/>
        <v>0</v>
      </c>
      <c r="R272" s="663">
        <f t="shared" si="44"/>
        <v>0</v>
      </c>
      <c r="S272" s="316">
        <f t="shared" si="35"/>
        <v>0</v>
      </c>
    </row>
    <row r="273" spans="1:19">
      <c r="A273" s="150"/>
      <c r="B273" s="54"/>
      <c r="C273" s="21">
        <f t="shared" si="36"/>
        <v>1</v>
      </c>
      <c r="D273" s="667"/>
      <c r="E273" s="21">
        <f t="shared" si="37"/>
        <v>1</v>
      </c>
      <c r="F273" s="667"/>
      <c r="G273" s="21">
        <f t="shared" si="38"/>
        <v>1</v>
      </c>
      <c r="H273" s="667"/>
      <c r="I273" s="21">
        <f t="shared" si="39"/>
        <v>1</v>
      </c>
      <c r="J273" s="667"/>
      <c r="K273" s="21">
        <f t="shared" si="40"/>
        <v>1</v>
      </c>
      <c r="L273" s="667"/>
      <c r="M273" s="21">
        <f t="shared" si="41"/>
        <v>1</v>
      </c>
      <c r="N273" s="667"/>
      <c r="O273" s="21">
        <f t="shared" si="42"/>
        <v>1</v>
      </c>
      <c r="P273" s="667"/>
      <c r="Q273" s="21">
        <f t="shared" si="43"/>
        <v>0</v>
      </c>
      <c r="R273" s="663">
        <f t="shared" si="44"/>
        <v>0</v>
      </c>
      <c r="S273" s="316">
        <f t="shared" si="35"/>
        <v>0</v>
      </c>
    </row>
    <row r="274" spans="1:19">
      <c r="A274" s="150"/>
      <c r="B274" s="54"/>
      <c r="C274" s="21">
        <f t="shared" si="36"/>
        <v>1</v>
      </c>
      <c r="D274" s="667"/>
      <c r="E274" s="21">
        <f t="shared" si="37"/>
        <v>1</v>
      </c>
      <c r="F274" s="667"/>
      <c r="G274" s="21">
        <f t="shared" si="38"/>
        <v>1</v>
      </c>
      <c r="H274" s="667"/>
      <c r="I274" s="21">
        <f t="shared" si="39"/>
        <v>1</v>
      </c>
      <c r="J274" s="667"/>
      <c r="K274" s="21">
        <f t="shared" si="40"/>
        <v>1</v>
      </c>
      <c r="L274" s="667"/>
      <c r="M274" s="21">
        <f t="shared" si="41"/>
        <v>1</v>
      </c>
      <c r="N274" s="667"/>
      <c r="O274" s="21">
        <f t="shared" si="42"/>
        <v>1</v>
      </c>
      <c r="P274" s="667"/>
      <c r="Q274" s="21">
        <f t="shared" si="43"/>
        <v>0</v>
      </c>
      <c r="R274" s="663">
        <f t="shared" si="44"/>
        <v>0</v>
      </c>
      <c r="S274" s="316">
        <f t="shared" si="35"/>
        <v>0</v>
      </c>
    </row>
    <row r="275" spans="1:19">
      <c r="A275" s="150"/>
      <c r="B275" s="54"/>
      <c r="C275" s="21">
        <f t="shared" si="36"/>
        <v>1</v>
      </c>
      <c r="D275" s="667"/>
      <c r="E275" s="21">
        <f t="shared" si="37"/>
        <v>1</v>
      </c>
      <c r="F275" s="667"/>
      <c r="G275" s="21">
        <f t="shared" si="38"/>
        <v>1</v>
      </c>
      <c r="H275" s="667"/>
      <c r="I275" s="21">
        <f t="shared" si="39"/>
        <v>1</v>
      </c>
      <c r="J275" s="667"/>
      <c r="K275" s="21">
        <f t="shared" si="40"/>
        <v>1</v>
      </c>
      <c r="L275" s="667"/>
      <c r="M275" s="21">
        <f t="shared" si="41"/>
        <v>1</v>
      </c>
      <c r="N275" s="667"/>
      <c r="O275" s="21">
        <f t="shared" si="42"/>
        <v>1</v>
      </c>
      <c r="P275" s="667"/>
      <c r="Q275" s="21">
        <f t="shared" si="43"/>
        <v>0</v>
      </c>
      <c r="R275" s="663">
        <f t="shared" si="44"/>
        <v>0</v>
      </c>
      <c r="S275" s="316">
        <f t="shared" si="35"/>
        <v>0</v>
      </c>
    </row>
    <row r="276" spans="1:19">
      <c r="A276" s="150"/>
      <c r="B276" s="54"/>
      <c r="C276" s="21">
        <f t="shared" si="36"/>
        <v>1</v>
      </c>
      <c r="D276" s="667"/>
      <c r="E276" s="21">
        <f t="shared" si="37"/>
        <v>1</v>
      </c>
      <c r="F276" s="667"/>
      <c r="G276" s="21">
        <f t="shared" si="38"/>
        <v>1</v>
      </c>
      <c r="H276" s="667"/>
      <c r="I276" s="21">
        <f t="shared" si="39"/>
        <v>1</v>
      </c>
      <c r="J276" s="667"/>
      <c r="K276" s="21">
        <f t="shared" si="40"/>
        <v>1</v>
      </c>
      <c r="L276" s="667"/>
      <c r="M276" s="21">
        <f t="shared" si="41"/>
        <v>1</v>
      </c>
      <c r="N276" s="667"/>
      <c r="O276" s="21">
        <f t="shared" si="42"/>
        <v>1</v>
      </c>
      <c r="P276" s="667"/>
      <c r="Q276" s="21">
        <f t="shared" si="43"/>
        <v>0</v>
      </c>
      <c r="R276" s="663">
        <f t="shared" si="44"/>
        <v>0</v>
      </c>
      <c r="S276" s="316">
        <f t="shared" si="35"/>
        <v>0</v>
      </c>
    </row>
    <row r="277" spans="1:19">
      <c r="A277" s="150"/>
      <c r="B277" s="54"/>
      <c r="C277" s="21">
        <f t="shared" si="36"/>
        <v>1</v>
      </c>
      <c r="D277" s="667"/>
      <c r="E277" s="21">
        <f t="shared" si="37"/>
        <v>1</v>
      </c>
      <c r="F277" s="667"/>
      <c r="G277" s="21">
        <f t="shared" si="38"/>
        <v>1</v>
      </c>
      <c r="H277" s="667"/>
      <c r="I277" s="21">
        <f t="shared" si="39"/>
        <v>1</v>
      </c>
      <c r="J277" s="667"/>
      <c r="K277" s="21">
        <f t="shared" si="40"/>
        <v>1</v>
      </c>
      <c r="L277" s="667"/>
      <c r="M277" s="21">
        <f t="shared" si="41"/>
        <v>1</v>
      </c>
      <c r="N277" s="667"/>
      <c r="O277" s="21">
        <f t="shared" si="42"/>
        <v>1</v>
      </c>
      <c r="P277" s="667"/>
      <c r="Q277" s="21">
        <f t="shared" si="43"/>
        <v>0</v>
      </c>
      <c r="R277" s="663">
        <f t="shared" si="44"/>
        <v>0</v>
      </c>
      <c r="S277" s="316">
        <f t="shared" si="35"/>
        <v>0</v>
      </c>
    </row>
    <row r="278" spans="1:19">
      <c r="A278" s="150"/>
      <c r="B278" s="54"/>
      <c r="C278" s="21">
        <f t="shared" si="36"/>
        <v>1</v>
      </c>
      <c r="D278" s="667"/>
      <c r="E278" s="21">
        <f t="shared" si="37"/>
        <v>1</v>
      </c>
      <c r="F278" s="667"/>
      <c r="G278" s="21">
        <f t="shared" si="38"/>
        <v>1</v>
      </c>
      <c r="H278" s="667"/>
      <c r="I278" s="21">
        <f t="shared" si="39"/>
        <v>1</v>
      </c>
      <c r="J278" s="667"/>
      <c r="K278" s="21">
        <f t="shared" si="40"/>
        <v>1</v>
      </c>
      <c r="L278" s="667"/>
      <c r="M278" s="21">
        <f t="shared" si="41"/>
        <v>1</v>
      </c>
      <c r="N278" s="667"/>
      <c r="O278" s="21">
        <f t="shared" si="42"/>
        <v>1</v>
      </c>
      <c r="P278" s="667"/>
      <c r="Q278" s="21">
        <f t="shared" si="43"/>
        <v>0</v>
      </c>
      <c r="R278" s="663">
        <f t="shared" si="44"/>
        <v>0</v>
      </c>
      <c r="S278" s="316">
        <f t="shared" si="35"/>
        <v>0</v>
      </c>
    </row>
    <row r="279" spans="1:19">
      <c r="A279" s="150"/>
      <c r="B279" s="54"/>
      <c r="C279" s="21">
        <f t="shared" si="36"/>
        <v>1</v>
      </c>
      <c r="D279" s="667"/>
      <c r="E279" s="21">
        <f t="shared" si="37"/>
        <v>1</v>
      </c>
      <c r="F279" s="667"/>
      <c r="G279" s="21">
        <f t="shared" si="38"/>
        <v>1</v>
      </c>
      <c r="H279" s="667"/>
      <c r="I279" s="21">
        <f t="shared" si="39"/>
        <v>1</v>
      </c>
      <c r="J279" s="667"/>
      <c r="K279" s="21">
        <f t="shared" si="40"/>
        <v>1</v>
      </c>
      <c r="L279" s="667"/>
      <c r="M279" s="21">
        <f t="shared" si="41"/>
        <v>1</v>
      </c>
      <c r="N279" s="667"/>
      <c r="O279" s="21">
        <f t="shared" si="42"/>
        <v>1</v>
      </c>
      <c r="P279" s="667"/>
      <c r="Q279" s="21">
        <f t="shared" si="43"/>
        <v>0</v>
      </c>
      <c r="R279" s="663">
        <f t="shared" si="44"/>
        <v>0</v>
      </c>
      <c r="S279" s="316">
        <f t="shared" si="35"/>
        <v>0</v>
      </c>
    </row>
    <row r="280" spans="1:19">
      <c r="A280" s="150"/>
      <c r="B280" s="54"/>
      <c r="C280" s="21">
        <f t="shared" si="36"/>
        <v>1</v>
      </c>
      <c r="D280" s="667"/>
      <c r="E280" s="21">
        <f t="shared" si="37"/>
        <v>1</v>
      </c>
      <c r="F280" s="667"/>
      <c r="G280" s="21">
        <f t="shared" si="38"/>
        <v>1</v>
      </c>
      <c r="H280" s="667"/>
      <c r="I280" s="21">
        <f t="shared" si="39"/>
        <v>1</v>
      </c>
      <c r="J280" s="667"/>
      <c r="K280" s="21">
        <f t="shared" si="40"/>
        <v>1</v>
      </c>
      <c r="L280" s="667"/>
      <c r="M280" s="21">
        <f t="shared" si="41"/>
        <v>1</v>
      </c>
      <c r="N280" s="667"/>
      <c r="O280" s="21">
        <f t="shared" si="42"/>
        <v>1</v>
      </c>
      <c r="P280" s="667"/>
      <c r="Q280" s="21">
        <f t="shared" si="43"/>
        <v>0</v>
      </c>
      <c r="R280" s="663">
        <f t="shared" si="44"/>
        <v>0</v>
      </c>
      <c r="S280" s="316">
        <f t="shared" ref="S280:S343" si="45">ROUND(R280*B280/10000,0)</f>
        <v>0</v>
      </c>
    </row>
    <row r="281" spans="1:19">
      <c r="A281" s="150"/>
      <c r="B281" s="54"/>
      <c r="C281" s="21">
        <f t="shared" si="36"/>
        <v>1</v>
      </c>
      <c r="D281" s="667"/>
      <c r="E281" s="21">
        <f t="shared" si="37"/>
        <v>1</v>
      </c>
      <c r="F281" s="667"/>
      <c r="G281" s="21">
        <f t="shared" si="38"/>
        <v>1</v>
      </c>
      <c r="H281" s="667"/>
      <c r="I281" s="21">
        <f t="shared" si="39"/>
        <v>1</v>
      </c>
      <c r="J281" s="667"/>
      <c r="K281" s="21">
        <f t="shared" si="40"/>
        <v>1</v>
      </c>
      <c r="L281" s="667"/>
      <c r="M281" s="21">
        <f t="shared" si="41"/>
        <v>1</v>
      </c>
      <c r="N281" s="667"/>
      <c r="O281" s="21">
        <f t="shared" si="42"/>
        <v>1</v>
      </c>
      <c r="P281" s="667"/>
      <c r="Q281" s="21">
        <f t="shared" si="43"/>
        <v>0</v>
      </c>
      <c r="R281" s="663">
        <f t="shared" si="44"/>
        <v>0</v>
      </c>
      <c r="S281" s="316">
        <f t="shared" si="45"/>
        <v>0</v>
      </c>
    </row>
    <row r="282" spans="1:19">
      <c r="A282" s="150"/>
      <c r="B282" s="54"/>
      <c r="C282" s="21">
        <f t="shared" ref="C282:C345" si="46">IF(B282="",1,(LOOKUP(B282,$3:$3,$4:$4)-LOOKUP($B$24,$3:$3,$4:$4)+100)/100)</f>
        <v>1</v>
      </c>
      <c r="D282" s="667"/>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667"/>
      <c r="Q282" s="21">
        <f t="shared" ref="Q282:Q345" si="53">(SUMIF($17:$17,P282,$18:$18)-SUMIF($17:$17,$P$24,$18:$18)+100)/100</f>
        <v>0</v>
      </c>
      <c r="R282" s="663">
        <f t="shared" ref="R282:R345" si="54">IF(B282="",0,ROUND($R$24*C282*E282*G282*I282*K282*M282*O282*Q282,0))</f>
        <v>0</v>
      </c>
      <c r="S282" s="316">
        <f t="shared" si="45"/>
        <v>0</v>
      </c>
    </row>
    <row r="283" spans="1:19">
      <c r="A283" s="150"/>
      <c r="B283" s="54"/>
      <c r="C283" s="21">
        <f t="shared" si="46"/>
        <v>1</v>
      </c>
      <c r="D283" s="667"/>
      <c r="E283" s="21">
        <f t="shared" si="47"/>
        <v>1</v>
      </c>
      <c r="F283" s="667"/>
      <c r="G283" s="21">
        <f t="shared" si="48"/>
        <v>1</v>
      </c>
      <c r="H283" s="667"/>
      <c r="I283" s="21">
        <f t="shared" si="49"/>
        <v>1</v>
      </c>
      <c r="J283" s="667"/>
      <c r="K283" s="21">
        <f t="shared" si="50"/>
        <v>1</v>
      </c>
      <c r="L283" s="667"/>
      <c r="M283" s="21">
        <f t="shared" si="51"/>
        <v>1</v>
      </c>
      <c r="N283" s="667"/>
      <c r="O283" s="21">
        <f t="shared" si="52"/>
        <v>1</v>
      </c>
      <c r="P283" s="667"/>
      <c r="Q283" s="21">
        <f t="shared" si="53"/>
        <v>0</v>
      </c>
      <c r="R283" s="663">
        <f t="shared" si="54"/>
        <v>0</v>
      </c>
      <c r="S283" s="316">
        <f t="shared" si="45"/>
        <v>0</v>
      </c>
    </row>
    <row r="284" spans="1:19">
      <c r="A284" s="150"/>
      <c r="B284" s="54"/>
      <c r="C284" s="21">
        <f t="shared" si="46"/>
        <v>1</v>
      </c>
      <c r="D284" s="667"/>
      <c r="E284" s="21">
        <f t="shared" si="47"/>
        <v>1</v>
      </c>
      <c r="F284" s="667"/>
      <c r="G284" s="21">
        <f t="shared" si="48"/>
        <v>1</v>
      </c>
      <c r="H284" s="667"/>
      <c r="I284" s="21">
        <f t="shared" si="49"/>
        <v>1</v>
      </c>
      <c r="J284" s="667"/>
      <c r="K284" s="21">
        <f t="shared" si="50"/>
        <v>1</v>
      </c>
      <c r="L284" s="667"/>
      <c r="M284" s="21">
        <f t="shared" si="51"/>
        <v>1</v>
      </c>
      <c r="N284" s="667"/>
      <c r="O284" s="21">
        <f t="shared" si="52"/>
        <v>1</v>
      </c>
      <c r="P284" s="667"/>
      <c r="Q284" s="21">
        <f t="shared" si="53"/>
        <v>0</v>
      </c>
      <c r="R284" s="663">
        <f t="shared" si="54"/>
        <v>0</v>
      </c>
      <c r="S284" s="316">
        <f t="shared" si="45"/>
        <v>0</v>
      </c>
    </row>
    <row r="285" spans="1:19">
      <c r="A285" s="150"/>
      <c r="B285" s="54"/>
      <c r="C285" s="21">
        <f t="shared" si="46"/>
        <v>1</v>
      </c>
      <c r="D285" s="667"/>
      <c r="E285" s="21">
        <f t="shared" si="47"/>
        <v>1</v>
      </c>
      <c r="F285" s="667"/>
      <c r="G285" s="21">
        <f t="shared" si="48"/>
        <v>1</v>
      </c>
      <c r="H285" s="667"/>
      <c r="I285" s="21">
        <f t="shared" si="49"/>
        <v>1</v>
      </c>
      <c r="J285" s="667"/>
      <c r="K285" s="21">
        <f t="shared" si="50"/>
        <v>1</v>
      </c>
      <c r="L285" s="667"/>
      <c r="M285" s="21">
        <f t="shared" si="51"/>
        <v>1</v>
      </c>
      <c r="N285" s="667"/>
      <c r="O285" s="21">
        <f t="shared" si="52"/>
        <v>1</v>
      </c>
      <c r="P285" s="667"/>
      <c r="Q285" s="21">
        <f t="shared" si="53"/>
        <v>0</v>
      </c>
      <c r="R285" s="663">
        <f t="shared" si="54"/>
        <v>0</v>
      </c>
      <c r="S285" s="316">
        <f t="shared" si="45"/>
        <v>0</v>
      </c>
    </row>
    <row r="286" spans="1:19">
      <c r="A286" s="150"/>
      <c r="B286" s="54"/>
      <c r="C286" s="21">
        <f t="shared" si="46"/>
        <v>1</v>
      </c>
      <c r="D286" s="667"/>
      <c r="E286" s="21">
        <f t="shared" si="47"/>
        <v>1</v>
      </c>
      <c r="F286" s="667"/>
      <c r="G286" s="21">
        <f t="shared" si="48"/>
        <v>1</v>
      </c>
      <c r="H286" s="667"/>
      <c r="I286" s="21">
        <f t="shared" si="49"/>
        <v>1</v>
      </c>
      <c r="J286" s="667"/>
      <c r="K286" s="21">
        <f t="shared" si="50"/>
        <v>1</v>
      </c>
      <c r="L286" s="667"/>
      <c r="M286" s="21">
        <f t="shared" si="51"/>
        <v>1</v>
      </c>
      <c r="N286" s="667"/>
      <c r="O286" s="21">
        <f t="shared" si="52"/>
        <v>1</v>
      </c>
      <c r="P286" s="667"/>
      <c r="Q286" s="21">
        <f t="shared" si="53"/>
        <v>0</v>
      </c>
      <c r="R286" s="663">
        <f t="shared" si="54"/>
        <v>0</v>
      </c>
      <c r="S286" s="316">
        <f t="shared" si="45"/>
        <v>0</v>
      </c>
    </row>
    <row r="287" spans="1:19">
      <c r="A287" s="150"/>
      <c r="B287" s="54"/>
      <c r="C287" s="21">
        <f t="shared" si="46"/>
        <v>1</v>
      </c>
      <c r="D287" s="667"/>
      <c r="E287" s="21">
        <f t="shared" si="47"/>
        <v>1</v>
      </c>
      <c r="F287" s="667"/>
      <c r="G287" s="21">
        <f t="shared" si="48"/>
        <v>1</v>
      </c>
      <c r="H287" s="667"/>
      <c r="I287" s="21">
        <f t="shared" si="49"/>
        <v>1</v>
      </c>
      <c r="J287" s="667"/>
      <c r="K287" s="21">
        <f t="shared" si="50"/>
        <v>1</v>
      </c>
      <c r="L287" s="667"/>
      <c r="M287" s="21">
        <f t="shared" si="51"/>
        <v>1</v>
      </c>
      <c r="N287" s="667"/>
      <c r="O287" s="21">
        <f t="shared" si="52"/>
        <v>1</v>
      </c>
      <c r="P287" s="667"/>
      <c r="Q287" s="21">
        <f t="shared" si="53"/>
        <v>0</v>
      </c>
      <c r="R287" s="663">
        <f t="shared" si="54"/>
        <v>0</v>
      </c>
      <c r="S287" s="316">
        <f t="shared" si="45"/>
        <v>0</v>
      </c>
    </row>
    <row r="288" spans="1:19">
      <c r="A288" s="150"/>
      <c r="B288" s="54"/>
      <c r="C288" s="21">
        <f t="shared" si="46"/>
        <v>1</v>
      </c>
      <c r="D288" s="667"/>
      <c r="E288" s="21">
        <f t="shared" si="47"/>
        <v>1</v>
      </c>
      <c r="F288" s="667"/>
      <c r="G288" s="21">
        <f t="shared" si="48"/>
        <v>1</v>
      </c>
      <c r="H288" s="667"/>
      <c r="I288" s="21">
        <f t="shared" si="49"/>
        <v>1</v>
      </c>
      <c r="J288" s="667"/>
      <c r="K288" s="21">
        <f t="shared" si="50"/>
        <v>1</v>
      </c>
      <c r="L288" s="667"/>
      <c r="M288" s="21">
        <f t="shared" si="51"/>
        <v>1</v>
      </c>
      <c r="N288" s="667"/>
      <c r="O288" s="21">
        <f t="shared" si="52"/>
        <v>1</v>
      </c>
      <c r="P288" s="667"/>
      <c r="Q288" s="21">
        <f t="shared" si="53"/>
        <v>0</v>
      </c>
      <c r="R288" s="663">
        <f t="shared" si="54"/>
        <v>0</v>
      </c>
      <c r="S288" s="316">
        <f t="shared" si="45"/>
        <v>0</v>
      </c>
    </row>
    <row r="289" spans="1:19">
      <c r="A289" s="150"/>
      <c r="B289" s="54"/>
      <c r="C289" s="21">
        <f t="shared" si="46"/>
        <v>1</v>
      </c>
      <c r="D289" s="667"/>
      <c r="E289" s="21">
        <f t="shared" si="47"/>
        <v>1</v>
      </c>
      <c r="F289" s="667"/>
      <c r="G289" s="21">
        <f t="shared" si="48"/>
        <v>1</v>
      </c>
      <c r="H289" s="667"/>
      <c r="I289" s="21">
        <f t="shared" si="49"/>
        <v>1</v>
      </c>
      <c r="J289" s="667"/>
      <c r="K289" s="21">
        <f t="shared" si="50"/>
        <v>1</v>
      </c>
      <c r="L289" s="667"/>
      <c r="M289" s="21">
        <f t="shared" si="51"/>
        <v>1</v>
      </c>
      <c r="N289" s="667"/>
      <c r="O289" s="21">
        <f t="shared" si="52"/>
        <v>1</v>
      </c>
      <c r="P289" s="667"/>
      <c r="Q289" s="21">
        <f t="shared" si="53"/>
        <v>0</v>
      </c>
      <c r="R289" s="663">
        <f t="shared" si="54"/>
        <v>0</v>
      </c>
      <c r="S289" s="316">
        <f t="shared" si="45"/>
        <v>0</v>
      </c>
    </row>
    <row r="290" spans="1:19">
      <c r="A290" s="150"/>
      <c r="B290" s="54"/>
      <c r="C290" s="21">
        <f t="shared" si="46"/>
        <v>1</v>
      </c>
      <c r="D290" s="667"/>
      <c r="E290" s="21">
        <f t="shared" si="47"/>
        <v>1</v>
      </c>
      <c r="F290" s="667"/>
      <c r="G290" s="21">
        <f t="shared" si="48"/>
        <v>1</v>
      </c>
      <c r="H290" s="667"/>
      <c r="I290" s="21">
        <f t="shared" si="49"/>
        <v>1</v>
      </c>
      <c r="J290" s="667"/>
      <c r="K290" s="21">
        <f t="shared" si="50"/>
        <v>1</v>
      </c>
      <c r="L290" s="667"/>
      <c r="M290" s="21">
        <f t="shared" si="51"/>
        <v>1</v>
      </c>
      <c r="N290" s="667"/>
      <c r="O290" s="21">
        <f t="shared" si="52"/>
        <v>1</v>
      </c>
      <c r="P290" s="667"/>
      <c r="Q290" s="21">
        <f t="shared" si="53"/>
        <v>0</v>
      </c>
      <c r="R290" s="663">
        <f t="shared" si="54"/>
        <v>0</v>
      </c>
      <c r="S290" s="316">
        <f t="shared" si="45"/>
        <v>0</v>
      </c>
    </row>
    <row r="291" spans="1:19">
      <c r="A291" s="150"/>
      <c r="B291" s="54"/>
      <c r="C291" s="21">
        <f t="shared" si="46"/>
        <v>1</v>
      </c>
      <c r="D291" s="667"/>
      <c r="E291" s="21">
        <f t="shared" si="47"/>
        <v>1</v>
      </c>
      <c r="F291" s="667"/>
      <c r="G291" s="21">
        <f t="shared" si="48"/>
        <v>1</v>
      </c>
      <c r="H291" s="667"/>
      <c r="I291" s="21">
        <f t="shared" si="49"/>
        <v>1</v>
      </c>
      <c r="J291" s="667"/>
      <c r="K291" s="21">
        <f t="shared" si="50"/>
        <v>1</v>
      </c>
      <c r="L291" s="667"/>
      <c r="M291" s="21">
        <f t="shared" si="51"/>
        <v>1</v>
      </c>
      <c r="N291" s="667"/>
      <c r="O291" s="21">
        <f t="shared" si="52"/>
        <v>1</v>
      </c>
      <c r="P291" s="667"/>
      <c r="Q291" s="21">
        <f t="shared" si="53"/>
        <v>0</v>
      </c>
      <c r="R291" s="663">
        <f t="shared" si="54"/>
        <v>0</v>
      </c>
      <c r="S291" s="316">
        <f t="shared" si="45"/>
        <v>0</v>
      </c>
    </row>
    <row r="292" spans="1:19">
      <c r="A292" s="150"/>
      <c r="B292" s="54"/>
      <c r="C292" s="21">
        <f t="shared" si="46"/>
        <v>1</v>
      </c>
      <c r="D292" s="667"/>
      <c r="E292" s="21">
        <f t="shared" si="47"/>
        <v>1</v>
      </c>
      <c r="F292" s="667"/>
      <c r="G292" s="21">
        <f t="shared" si="48"/>
        <v>1</v>
      </c>
      <c r="H292" s="667"/>
      <c r="I292" s="21">
        <f t="shared" si="49"/>
        <v>1</v>
      </c>
      <c r="J292" s="667"/>
      <c r="K292" s="21">
        <f t="shared" si="50"/>
        <v>1</v>
      </c>
      <c r="L292" s="667"/>
      <c r="M292" s="21">
        <f t="shared" si="51"/>
        <v>1</v>
      </c>
      <c r="N292" s="667"/>
      <c r="O292" s="21">
        <f t="shared" si="52"/>
        <v>1</v>
      </c>
      <c r="P292" s="667"/>
      <c r="Q292" s="21">
        <f t="shared" si="53"/>
        <v>0</v>
      </c>
      <c r="R292" s="663">
        <f t="shared" si="54"/>
        <v>0</v>
      </c>
      <c r="S292" s="316">
        <f t="shared" si="45"/>
        <v>0</v>
      </c>
    </row>
    <row r="293" spans="1:19">
      <c r="A293" s="150"/>
      <c r="B293" s="54"/>
      <c r="C293" s="21">
        <f t="shared" si="46"/>
        <v>1</v>
      </c>
      <c r="D293" s="667"/>
      <c r="E293" s="21">
        <f t="shared" si="47"/>
        <v>1</v>
      </c>
      <c r="F293" s="667"/>
      <c r="G293" s="21">
        <f t="shared" si="48"/>
        <v>1</v>
      </c>
      <c r="H293" s="667"/>
      <c r="I293" s="21">
        <f t="shared" si="49"/>
        <v>1</v>
      </c>
      <c r="J293" s="667"/>
      <c r="K293" s="21">
        <f t="shared" si="50"/>
        <v>1</v>
      </c>
      <c r="L293" s="667"/>
      <c r="M293" s="21">
        <f t="shared" si="51"/>
        <v>1</v>
      </c>
      <c r="N293" s="667"/>
      <c r="O293" s="21">
        <f t="shared" si="52"/>
        <v>1</v>
      </c>
      <c r="P293" s="667"/>
      <c r="Q293" s="21">
        <f t="shared" si="53"/>
        <v>0</v>
      </c>
      <c r="R293" s="663">
        <f t="shared" si="54"/>
        <v>0</v>
      </c>
      <c r="S293" s="316">
        <f t="shared" si="45"/>
        <v>0</v>
      </c>
    </row>
    <row r="294" spans="1:19">
      <c r="A294" s="150"/>
      <c r="B294" s="54"/>
      <c r="C294" s="21">
        <f t="shared" si="46"/>
        <v>1</v>
      </c>
      <c r="D294" s="667"/>
      <c r="E294" s="21">
        <f t="shared" si="47"/>
        <v>1</v>
      </c>
      <c r="F294" s="667"/>
      <c r="G294" s="21">
        <f t="shared" si="48"/>
        <v>1</v>
      </c>
      <c r="H294" s="667"/>
      <c r="I294" s="21">
        <f t="shared" si="49"/>
        <v>1</v>
      </c>
      <c r="J294" s="667"/>
      <c r="K294" s="21">
        <f t="shared" si="50"/>
        <v>1</v>
      </c>
      <c r="L294" s="667"/>
      <c r="M294" s="21">
        <f t="shared" si="51"/>
        <v>1</v>
      </c>
      <c r="N294" s="667"/>
      <c r="O294" s="21">
        <f t="shared" si="52"/>
        <v>1</v>
      </c>
      <c r="P294" s="667"/>
      <c r="Q294" s="21">
        <f t="shared" si="53"/>
        <v>0</v>
      </c>
      <c r="R294" s="663">
        <f t="shared" si="54"/>
        <v>0</v>
      </c>
      <c r="S294" s="316">
        <f t="shared" si="45"/>
        <v>0</v>
      </c>
    </row>
    <row r="295" spans="1:19">
      <c r="A295" s="150"/>
      <c r="B295" s="54"/>
      <c r="C295" s="21">
        <f t="shared" si="46"/>
        <v>1</v>
      </c>
      <c r="D295" s="667"/>
      <c r="E295" s="21">
        <f t="shared" si="47"/>
        <v>1</v>
      </c>
      <c r="F295" s="667"/>
      <c r="G295" s="21">
        <f t="shared" si="48"/>
        <v>1</v>
      </c>
      <c r="H295" s="667"/>
      <c r="I295" s="21">
        <f t="shared" si="49"/>
        <v>1</v>
      </c>
      <c r="J295" s="667"/>
      <c r="K295" s="21">
        <f t="shared" si="50"/>
        <v>1</v>
      </c>
      <c r="L295" s="667"/>
      <c r="M295" s="21">
        <f t="shared" si="51"/>
        <v>1</v>
      </c>
      <c r="N295" s="667"/>
      <c r="O295" s="21">
        <f t="shared" si="52"/>
        <v>1</v>
      </c>
      <c r="P295" s="667"/>
      <c r="Q295" s="21">
        <f t="shared" si="53"/>
        <v>0</v>
      </c>
      <c r="R295" s="663">
        <f t="shared" si="54"/>
        <v>0</v>
      </c>
      <c r="S295" s="316">
        <f t="shared" si="45"/>
        <v>0</v>
      </c>
    </row>
    <row r="296" spans="1:19">
      <c r="A296" s="150"/>
      <c r="B296" s="54"/>
      <c r="C296" s="21">
        <f t="shared" si="46"/>
        <v>1</v>
      </c>
      <c r="D296" s="667"/>
      <c r="E296" s="21">
        <f t="shared" si="47"/>
        <v>1</v>
      </c>
      <c r="F296" s="667"/>
      <c r="G296" s="21">
        <f t="shared" si="48"/>
        <v>1</v>
      </c>
      <c r="H296" s="667"/>
      <c r="I296" s="21">
        <f t="shared" si="49"/>
        <v>1</v>
      </c>
      <c r="J296" s="667"/>
      <c r="K296" s="21">
        <f t="shared" si="50"/>
        <v>1</v>
      </c>
      <c r="L296" s="667"/>
      <c r="M296" s="21">
        <f t="shared" si="51"/>
        <v>1</v>
      </c>
      <c r="N296" s="667"/>
      <c r="O296" s="21">
        <f t="shared" si="52"/>
        <v>1</v>
      </c>
      <c r="P296" s="667"/>
      <c r="Q296" s="21">
        <f t="shared" si="53"/>
        <v>0</v>
      </c>
      <c r="R296" s="663">
        <f t="shared" si="54"/>
        <v>0</v>
      </c>
      <c r="S296" s="316">
        <f t="shared" si="45"/>
        <v>0</v>
      </c>
    </row>
    <row r="297" spans="1:19">
      <c r="A297" s="150"/>
      <c r="B297" s="54"/>
      <c r="C297" s="21">
        <f t="shared" si="46"/>
        <v>1</v>
      </c>
      <c r="D297" s="667"/>
      <c r="E297" s="21">
        <f t="shared" si="47"/>
        <v>1</v>
      </c>
      <c r="F297" s="667"/>
      <c r="G297" s="21">
        <f t="shared" si="48"/>
        <v>1</v>
      </c>
      <c r="H297" s="667"/>
      <c r="I297" s="21">
        <f t="shared" si="49"/>
        <v>1</v>
      </c>
      <c r="J297" s="667"/>
      <c r="K297" s="21">
        <f t="shared" si="50"/>
        <v>1</v>
      </c>
      <c r="L297" s="667"/>
      <c r="M297" s="21">
        <f t="shared" si="51"/>
        <v>1</v>
      </c>
      <c r="N297" s="667"/>
      <c r="O297" s="21">
        <f t="shared" si="52"/>
        <v>1</v>
      </c>
      <c r="P297" s="667"/>
      <c r="Q297" s="21">
        <f t="shared" si="53"/>
        <v>0</v>
      </c>
      <c r="R297" s="663">
        <f t="shared" si="54"/>
        <v>0</v>
      </c>
      <c r="S297" s="316">
        <f t="shared" si="45"/>
        <v>0</v>
      </c>
    </row>
    <row r="298" spans="1:19">
      <c r="A298" s="150"/>
      <c r="B298" s="54"/>
      <c r="C298" s="21">
        <f t="shared" si="46"/>
        <v>1</v>
      </c>
      <c r="D298" s="667"/>
      <c r="E298" s="21">
        <f t="shared" si="47"/>
        <v>1</v>
      </c>
      <c r="F298" s="667"/>
      <c r="G298" s="21">
        <f t="shared" si="48"/>
        <v>1</v>
      </c>
      <c r="H298" s="667"/>
      <c r="I298" s="21">
        <f t="shared" si="49"/>
        <v>1</v>
      </c>
      <c r="J298" s="667"/>
      <c r="K298" s="21">
        <f t="shared" si="50"/>
        <v>1</v>
      </c>
      <c r="L298" s="667"/>
      <c r="M298" s="21">
        <f t="shared" si="51"/>
        <v>1</v>
      </c>
      <c r="N298" s="667"/>
      <c r="O298" s="21">
        <f t="shared" si="52"/>
        <v>1</v>
      </c>
      <c r="P298" s="667"/>
      <c r="Q298" s="21">
        <f t="shared" si="53"/>
        <v>0</v>
      </c>
      <c r="R298" s="663">
        <f t="shared" si="54"/>
        <v>0</v>
      </c>
      <c r="S298" s="316">
        <f t="shared" si="45"/>
        <v>0</v>
      </c>
    </row>
    <row r="299" spans="1:19">
      <c r="A299" s="150"/>
      <c r="B299" s="54"/>
      <c r="C299" s="21">
        <f t="shared" si="46"/>
        <v>1</v>
      </c>
      <c r="D299" s="667"/>
      <c r="E299" s="21">
        <f t="shared" si="47"/>
        <v>1</v>
      </c>
      <c r="F299" s="667"/>
      <c r="G299" s="21">
        <f t="shared" si="48"/>
        <v>1</v>
      </c>
      <c r="H299" s="667"/>
      <c r="I299" s="21">
        <f t="shared" si="49"/>
        <v>1</v>
      </c>
      <c r="J299" s="667"/>
      <c r="K299" s="21">
        <f t="shared" si="50"/>
        <v>1</v>
      </c>
      <c r="L299" s="667"/>
      <c r="M299" s="21">
        <f t="shared" si="51"/>
        <v>1</v>
      </c>
      <c r="N299" s="667"/>
      <c r="O299" s="21">
        <f t="shared" si="52"/>
        <v>1</v>
      </c>
      <c r="P299" s="667"/>
      <c r="Q299" s="21">
        <f t="shared" si="53"/>
        <v>0</v>
      </c>
      <c r="R299" s="663">
        <f t="shared" si="54"/>
        <v>0</v>
      </c>
      <c r="S299" s="316">
        <f t="shared" si="45"/>
        <v>0</v>
      </c>
    </row>
    <row r="300" spans="1:19">
      <c r="A300" s="150"/>
      <c r="B300" s="54"/>
      <c r="C300" s="21">
        <f t="shared" si="46"/>
        <v>1</v>
      </c>
      <c r="D300" s="667"/>
      <c r="E300" s="21">
        <f t="shared" si="47"/>
        <v>1</v>
      </c>
      <c r="F300" s="667"/>
      <c r="G300" s="21">
        <f t="shared" si="48"/>
        <v>1</v>
      </c>
      <c r="H300" s="667"/>
      <c r="I300" s="21">
        <f t="shared" si="49"/>
        <v>1</v>
      </c>
      <c r="J300" s="667"/>
      <c r="K300" s="21">
        <f t="shared" si="50"/>
        <v>1</v>
      </c>
      <c r="L300" s="667"/>
      <c r="M300" s="21">
        <f t="shared" si="51"/>
        <v>1</v>
      </c>
      <c r="N300" s="667"/>
      <c r="O300" s="21">
        <f t="shared" si="52"/>
        <v>1</v>
      </c>
      <c r="P300" s="667"/>
      <c r="Q300" s="21">
        <f t="shared" si="53"/>
        <v>0</v>
      </c>
      <c r="R300" s="663">
        <f t="shared" si="54"/>
        <v>0</v>
      </c>
      <c r="S300" s="316">
        <f t="shared" si="45"/>
        <v>0</v>
      </c>
    </row>
    <row r="301" spans="1:19">
      <c r="A301" s="150"/>
      <c r="B301" s="54"/>
      <c r="C301" s="21">
        <f t="shared" si="46"/>
        <v>1</v>
      </c>
      <c r="D301" s="667"/>
      <c r="E301" s="21">
        <f t="shared" si="47"/>
        <v>1</v>
      </c>
      <c r="F301" s="667"/>
      <c r="G301" s="21">
        <f t="shared" si="48"/>
        <v>1</v>
      </c>
      <c r="H301" s="667"/>
      <c r="I301" s="21">
        <f t="shared" si="49"/>
        <v>1</v>
      </c>
      <c r="J301" s="667"/>
      <c r="K301" s="21">
        <f t="shared" si="50"/>
        <v>1</v>
      </c>
      <c r="L301" s="667"/>
      <c r="M301" s="21">
        <f t="shared" si="51"/>
        <v>1</v>
      </c>
      <c r="N301" s="667"/>
      <c r="O301" s="21">
        <f t="shared" si="52"/>
        <v>1</v>
      </c>
      <c r="P301" s="667"/>
      <c r="Q301" s="21">
        <f t="shared" si="53"/>
        <v>0</v>
      </c>
      <c r="R301" s="663">
        <f t="shared" si="54"/>
        <v>0</v>
      </c>
      <c r="S301" s="316">
        <f t="shared" si="45"/>
        <v>0</v>
      </c>
    </row>
    <row r="302" spans="1:19">
      <c r="A302" s="150"/>
      <c r="B302" s="54"/>
      <c r="C302" s="21">
        <f t="shared" si="46"/>
        <v>1</v>
      </c>
      <c r="D302" s="667"/>
      <c r="E302" s="21">
        <f t="shared" si="47"/>
        <v>1</v>
      </c>
      <c r="F302" s="667"/>
      <c r="G302" s="21">
        <f t="shared" si="48"/>
        <v>1</v>
      </c>
      <c r="H302" s="667"/>
      <c r="I302" s="21">
        <f t="shared" si="49"/>
        <v>1</v>
      </c>
      <c r="J302" s="667"/>
      <c r="K302" s="21">
        <f t="shared" si="50"/>
        <v>1</v>
      </c>
      <c r="L302" s="667"/>
      <c r="M302" s="21">
        <f t="shared" si="51"/>
        <v>1</v>
      </c>
      <c r="N302" s="667"/>
      <c r="O302" s="21">
        <f t="shared" si="52"/>
        <v>1</v>
      </c>
      <c r="P302" s="667"/>
      <c r="Q302" s="21">
        <f t="shared" si="53"/>
        <v>0</v>
      </c>
      <c r="R302" s="663">
        <f t="shared" si="54"/>
        <v>0</v>
      </c>
      <c r="S302" s="316">
        <f t="shared" si="45"/>
        <v>0</v>
      </c>
    </row>
    <row r="303" spans="1:19">
      <c r="A303" s="150"/>
      <c r="B303" s="54"/>
      <c r="C303" s="21">
        <f t="shared" si="46"/>
        <v>1</v>
      </c>
      <c r="D303" s="667"/>
      <c r="E303" s="21">
        <f t="shared" si="47"/>
        <v>1</v>
      </c>
      <c r="F303" s="667"/>
      <c r="G303" s="21">
        <f t="shared" si="48"/>
        <v>1</v>
      </c>
      <c r="H303" s="667"/>
      <c r="I303" s="21">
        <f t="shared" si="49"/>
        <v>1</v>
      </c>
      <c r="J303" s="667"/>
      <c r="K303" s="21">
        <f t="shared" si="50"/>
        <v>1</v>
      </c>
      <c r="L303" s="667"/>
      <c r="M303" s="21">
        <f t="shared" si="51"/>
        <v>1</v>
      </c>
      <c r="N303" s="667"/>
      <c r="O303" s="21">
        <f t="shared" si="52"/>
        <v>1</v>
      </c>
      <c r="P303" s="667"/>
      <c r="Q303" s="21">
        <f t="shared" si="53"/>
        <v>0</v>
      </c>
      <c r="R303" s="663">
        <f t="shared" si="54"/>
        <v>0</v>
      </c>
      <c r="S303" s="316">
        <f t="shared" si="45"/>
        <v>0</v>
      </c>
    </row>
    <row r="304" spans="1:19">
      <c r="A304" s="150"/>
      <c r="B304" s="54"/>
      <c r="C304" s="21">
        <f t="shared" si="46"/>
        <v>1</v>
      </c>
      <c r="D304" s="667"/>
      <c r="E304" s="21">
        <f t="shared" si="47"/>
        <v>1</v>
      </c>
      <c r="F304" s="667"/>
      <c r="G304" s="21">
        <f t="shared" si="48"/>
        <v>1</v>
      </c>
      <c r="H304" s="667"/>
      <c r="I304" s="21">
        <f t="shared" si="49"/>
        <v>1</v>
      </c>
      <c r="J304" s="667"/>
      <c r="K304" s="21">
        <f t="shared" si="50"/>
        <v>1</v>
      </c>
      <c r="L304" s="667"/>
      <c r="M304" s="21">
        <f t="shared" si="51"/>
        <v>1</v>
      </c>
      <c r="N304" s="667"/>
      <c r="O304" s="21">
        <f t="shared" si="52"/>
        <v>1</v>
      </c>
      <c r="P304" s="667"/>
      <c r="Q304" s="21">
        <f t="shared" si="53"/>
        <v>0</v>
      </c>
      <c r="R304" s="663">
        <f t="shared" si="54"/>
        <v>0</v>
      </c>
      <c r="S304" s="316">
        <f t="shared" si="45"/>
        <v>0</v>
      </c>
    </row>
    <row r="305" spans="1:19">
      <c r="A305" s="150"/>
      <c r="B305" s="54"/>
      <c r="C305" s="21">
        <f t="shared" si="46"/>
        <v>1</v>
      </c>
      <c r="D305" s="667"/>
      <c r="E305" s="21">
        <f t="shared" si="47"/>
        <v>1</v>
      </c>
      <c r="F305" s="667"/>
      <c r="G305" s="21">
        <f t="shared" si="48"/>
        <v>1</v>
      </c>
      <c r="H305" s="667"/>
      <c r="I305" s="21">
        <f t="shared" si="49"/>
        <v>1</v>
      </c>
      <c r="J305" s="667"/>
      <c r="K305" s="21">
        <f t="shared" si="50"/>
        <v>1</v>
      </c>
      <c r="L305" s="667"/>
      <c r="M305" s="21">
        <f t="shared" si="51"/>
        <v>1</v>
      </c>
      <c r="N305" s="667"/>
      <c r="O305" s="21">
        <f t="shared" si="52"/>
        <v>1</v>
      </c>
      <c r="P305" s="667"/>
      <c r="Q305" s="21">
        <f t="shared" si="53"/>
        <v>0</v>
      </c>
      <c r="R305" s="663">
        <f t="shared" si="54"/>
        <v>0</v>
      </c>
      <c r="S305" s="316">
        <f t="shared" si="45"/>
        <v>0</v>
      </c>
    </row>
    <row r="306" spans="1:19">
      <c r="A306" s="150"/>
      <c r="B306" s="54"/>
      <c r="C306" s="21">
        <f t="shared" si="46"/>
        <v>1</v>
      </c>
      <c r="D306" s="667"/>
      <c r="E306" s="21">
        <f t="shared" si="47"/>
        <v>1</v>
      </c>
      <c r="F306" s="667"/>
      <c r="G306" s="21">
        <f t="shared" si="48"/>
        <v>1</v>
      </c>
      <c r="H306" s="667"/>
      <c r="I306" s="21">
        <f t="shared" si="49"/>
        <v>1</v>
      </c>
      <c r="J306" s="667"/>
      <c r="K306" s="21">
        <f t="shared" si="50"/>
        <v>1</v>
      </c>
      <c r="L306" s="667"/>
      <c r="M306" s="21">
        <f t="shared" si="51"/>
        <v>1</v>
      </c>
      <c r="N306" s="667"/>
      <c r="O306" s="21">
        <f t="shared" si="52"/>
        <v>1</v>
      </c>
      <c r="P306" s="667"/>
      <c r="Q306" s="21">
        <f t="shared" si="53"/>
        <v>0</v>
      </c>
      <c r="R306" s="663">
        <f t="shared" si="54"/>
        <v>0</v>
      </c>
      <c r="S306" s="316">
        <f t="shared" si="45"/>
        <v>0</v>
      </c>
    </row>
    <row r="307" spans="1:19">
      <c r="A307" s="150"/>
      <c r="B307" s="54"/>
      <c r="C307" s="21">
        <f t="shared" si="46"/>
        <v>1</v>
      </c>
      <c r="D307" s="667"/>
      <c r="E307" s="21">
        <f t="shared" si="47"/>
        <v>1</v>
      </c>
      <c r="F307" s="667"/>
      <c r="G307" s="21">
        <f t="shared" si="48"/>
        <v>1</v>
      </c>
      <c r="H307" s="667"/>
      <c r="I307" s="21">
        <f t="shared" si="49"/>
        <v>1</v>
      </c>
      <c r="J307" s="667"/>
      <c r="K307" s="21">
        <f t="shared" si="50"/>
        <v>1</v>
      </c>
      <c r="L307" s="667"/>
      <c r="M307" s="21">
        <f t="shared" si="51"/>
        <v>1</v>
      </c>
      <c r="N307" s="667"/>
      <c r="O307" s="21">
        <f t="shared" si="52"/>
        <v>1</v>
      </c>
      <c r="P307" s="667"/>
      <c r="Q307" s="21">
        <f t="shared" si="53"/>
        <v>0</v>
      </c>
      <c r="R307" s="663">
        <f t="shared" si="54"/>
        <v>0</v>
      </c>
      <c r="S307" s="316">
        <f t="shared" si="45"/>
        <v>0</v>
      </c>
    </row>
    <row r="308" spans="1:19">
      <c r="A308" s="150"/>
      <c r="B308" s="54"/>
      <c r="C308" s="21">
        <f t="shared" si="46"/>
        <v>1</v>
      </c>
      <c r="D308" s="667"/>
      <c r="E308" s="21">
        <f t="shared" si="47"/>
        <v>1</v>
      </c>
      <c r="F308" s="667"/>
      <c r="G308" s="21">
        <f t="shared" si="48"/>
        <v>1</v>
      </c>
      <c r="H308" s="667"/>
      <c r="I308" s="21">
        <f t="shared" si="49"/>
        <v>1</v>
      </c>
      <c r="J308" s="667"/>
      <c r="K308" s="21">
        <f t="shared" si="50"/>
        <v>1</v>
      </c>
      <c r="L308" s="667"/>
      <c r="M308" s="21">
        <f t="shared" si="51"/>
        <v>1</v>
      </c>
      <c r="N308" s="667"/>
      <c r="O308" s="21">
        <f t="shared" si="52"/>
        <v>1</v>
      </c>
      <c r="P308" s="667"/>
      <c r="Q308" s="21">
        <f t="shared" si="53"/>
        <v>0</v>
      </c>
      <c r="R308" s="663">
        <f t="shared" si="54"/>
        <v>0</v>
      </c>
      <c r="S308" s="316">
        <f t="shared" si="45"/>
        <v>0</v>
      </c>
    </row>
    <row r="309" spans="1:19">
      <c r="A309" s="150"/>
      <c r="B309" s="54"/>
      <c r="C309" s="21">
        <f t="shared" si="46"/>
        <v>1</v>
      </c>
      <c r="D309" s="667"/>
      <c r="E309" s="21">
        <f t="shared" si="47"/>
        <v>1</v>
      </c>
      <c r="F309" s="667"/>
      <c r="G309" s="21">
        <f t="shared" si="48"/>
        <v>1</v>
      </c>
      <c r="H309" s="667"/>
      <c r="I309" s="21">
        <f t="shared" si="49"/>
        <v>1</v>
      </c>
      <c r="J309" s="667"/>
      <c r="K309" s="21">
        <f t="shared" si="50"/>
        <v>1</v>
      </c>
      <c r="L309" s="667"/>
      <c r="M309" s="21">
        <f t="shared" si="51"/>
        <v>1</v>
      </c>
      <c r="N309" s="667"/>
      <c r="O309" s="21">
        <f t="shared" si="52"/>
        <v>1</v>
      </c>
      <c r="P309" s="667"/>
      <c r="Q309" s="21">
        <f t="shared" si="53"/>
        <v>0</v>
      </c>
      <c r="R309" s="663">
        <f t="shared" si="54"/>
        <v>0</v>
      </c>
      <c r="S309" s="316">
        <f t="shared" si="45"/>
        <v>0</v>
      </c>
    </row>
    <row r="310" spans="1:19">
      <c r="A310" s="150"/>
      <c r="B310" s="54"/>
      <c r="C310" s="21">
        <f t="shared" si="46"/>
        <v>1</v>
      </c>
      <c r="D310" s="667"/>
      <c r="E310" s="21">
        <f t="shared" si="47"/>
        <v>1</v>
      </c>
      <c r="F310" s="667"/>
      <c r="G310" s="21">
        <f t="shared" si="48"/>
        <v>1</v>
      </c>
      <c r="H310" s="667"/>
      <c r="I310" s="21">
        <f t="shared" si="49"/>
        <v>1</v>
      </c>
      <c r="J310" s="667"/>
      <c r="K310" s="21">
        <f t="shared" si="50"/>
        <v>1</v>
      </c>
      <c r="L310" s="667"/>
      <c r="M310" s="21">
        <f t="shared" si="51"/>
        <v>1</v>
      </c>
      <c r="N310" s="667"/>
      <c r="O310" s="21">
        <f t="shared" si="52"/>
        <v>1</v>
      </c>
      <c r="P310" s="667"/>
      <c r="Q310" s="21">
        <f t="shared" si="53"/>
        <v>0</v>
      </c>
      <c r="R310" s="663">
        <f t="shared" si="54"/>
        <v>0</v>
      </c>
      <c r="S310" s="316">
        <f t="shared" si="45"/>
        <v>0</v>
      </c>
    </row>
    <row r="311" spans="1:19">
      <c r="A311" s="150"/>
      <c r="B311" s="54"/>
      <c r="C311" s="21">
        <f t="shared" si="46"/>
        <v>1</v>
      </c>
      <c r="D311" s="667"/>
      <c r="E311" s="21">
        <f t="shared" si="47"/>
        <v>1</v>
      </c>
      <c r="F311" s="667"/>
      <c r="G311" s="21">
        <f t="shared" si="48"/>
        <v>1</v>
      </c>
      <c r="H311" s="667"/>
      <c r="I311" s="21">
        <f t="shared" si="49"/>
        <v>1</v>
      </c>
      <c r="J311" s="667"/>
      <c r="K311" s="21">
        <f t="shared" si="50"/>
        <v>1</v>
      </c>
      <c r="L311" s="667"/>
      <c r="M311" s="21">
        <f t="shared" si="51"/>
        <v>1</v>
      </c>
      <c r="N311" s="667"/>
      <c r="O311" s="21">
        <f t="shared" si="52"/>
        <v>1</v>
      </c>
      <c r="P311" s="667"/>
      <c r="Q311" s="21">
        <f t="shared" si="53"/>
        <v>0</v>
      </c>
      <c r="R311" s="663">
        <f t="shared" si="54"/>
        <v>0</v>
      </c>
      <c r="S311" s="316">
        <f t="shared" si="45"/>
        <v>0</v>
      </c>
    </row>
    <row r="312" spans="1:19">
      <c r="A312" s="150"/>
      <c r="B312" s="54"/>
      <c r="C312" s="21">
        <f t="shared" si="46"/>
        <v>1</v>
      </c>
      <c r="D312" s="667"/>
      <c r="E312" s="21">
        <f t="shared" si="47"/>
        <v>1</v>
      </c>
      <c r="F312" s="667"/>
      <c r="G312" s="21">
        <f t="shared" si="48"/>
        <v>1</v>
      </c>
      <c r="H312" s="667"/>
      <c r="I312" s="21">
        <f t="shared" si="49"/>
        <v>1</v>
      </c>
      <c r="J312" s="667"/>
      <c r="K312" s="21">
        <f t="shared" si="50"/>
        <v>1</v>
      </c>
      <c r="L312" s="667"/>
      <c r="M312" s="21">
        <f t="shared" si="51"/>
        <v>1</v>
      </c>
      <c r="N312" s="667"/>
      <c r="O312" s="21">
        <f t="shared" si="52"/>
        <v>1</v>
      </c>
      <c r="P312" s="667"/>
      <c r="Q312" s="21">
        <f t="shared" si="53"/>
        <v>0</v>
      </c>
      <c r="R312" s="663">
        <f t="shared" si="54"/>
        <v>0</v>
      </c>
      <c r="S312" s="316">
        <f t="shared" si="45"/>
        <v>0</v>
      </c>
    </row>
    <row r="313" spans="1:19">
      <c r="A313" s="150"/>
      <c r="B313" s="54"/>
      <c r="C313" s="21">
        <f t="shared" si="46"/>
        <v>1</v>
      </c>
      <c r="D313" s="667"/>
      <c r="E313" s="21">
        <f t="shared" si="47"/>
        <v>1</v>
      </c>
      <c r="F313" s="667"/>
      <c r="G313" s="21">
        <f t="shared" si="48"/>
        <v>1</v>
      </c>
      <c r="H313" s="667"/>
      <c r="I313" s="21">
        <f t="shared" si="49"/>
        <v>1</v>
      </c>
      <c r="J313" s="667"/>
      <c r="K313" s="21">
        <f t="shared" si="50"/>
        <v>1</v>
      </c>
      <c r="L313" s="667"/>
      <c r="M313" s="21">
        <f t="shared" si="51"/>
        <v>1</v>
      </c>
      <c r="N313" s="667"/>
      <c r="O313" s="21">
        <f t="shared" si="52"/>
        <v>1</v>
      </c>
      <c r="P313" s="667"/>
      <c r="Q313" s="21">
        <f t="shared" si="53"/>
        <v>0</v>
      </c>
      <c r="R313" s="663">
        <f t="shared" si="54"/>
        <v>0</v>
      </c>
      <c r="S313" s="316">
        <f t="shared" si="45"/>
        <v>0</v>
      </c>
    </row>
    <row r="314" spans="1:19">
      <c r="A314" s="150"/>
      <c r="B314" s="54"/>
      <c r="C314" s="21">
        <f t="shared" si="46"/>
        <v>1</v>
      </c>
      <c r="D314" s="667"/>
      <c r="E314" s="21">
        <f t="shared" si="47"/>
        <v>1</v>
      </c>
      <c r="F314" s="667"/>
      <c r="G314" s="21">
        <f t="shared" si="48"/>
        <v>1</v>
      </c>
      <c r="H314" s="667"/>
      <c r="I314" s="21">
        <f t="shared" si="49"/>
        <v>1</v>
      </c>
      <c r="J314" s="667"/>
      <c r="K314" s="21">
        <f t="shared" si="50"/>
        <v>1</v>
      </c>
      <c r="L314" s="667"/>
      <c r="M314" s="21">
        <f t="shared" si="51"/>
        <v>1</v>
      </c>
      <c r="N314" s="667"/>
      <c r="O314" s="21">
        <f t="shared" si="52"/>
        <v>1</v>
      </c>
      <c r="P314" s="667"/>
      <c r="Q314" s="21">
        <f t="shared" si="53"/>
        <v>0</v>
      </c>
      <c r="R314" s="663">
        <f t="shared" si="54"/>
        <v>0</v>
      </c>
      <c r="S314" s="316">
        <f t="shared" si="45"/>
        <v>0</v>
      </c>
    </row>
    <row r="315" spans="1:19">
      <c r="A315" s="150"/>
      <c r="B315" s="54"/>
      <c r="C315" s="21">
        <f t="shared" si="46"/>
        <v>1</v>
      </c>
      <c r="D315" s="667"/>
      <c r="E315" s="21">
        <f t="shared" si="47"/>
        <v>1</v>
      </c>
      <c r="F315" s="667"/>
      <c r="G315" s="21">
        <f t="shared" si="48"/>
        <v>1</v>
      </c>
      <c r="H315" s="667"/>
      <c r="I315" s="21">
        <f t="shared" si="49"/>
        <v>1</v>
      </c>
      <c r="J315" s="667"/>
      <c r="K315" s="21">
        <f t="shared" si="50"/>
        <v>1</v>
      </c>
      <c r="L315" s="667"/>
      <c r="M315" s="21">
        <f t="shared" si="51"/>
        <v>1</v>
      </c>
      <c r="N315" s="667"/>
      <c r="O315" s="21">
        <f t="shared" si="52"/>
        <v>1</v>
      </c>
      <c r="P315" s="667"/>
      <c r="Q315" s="21">
        <f t="shared" si="53"/>
        <v>0</v>
      </c>
      <c r="R315" s="663">
        <f t="shared" si="54"/>
        <v>0</v>
      </c>
      <c r="S315" s="316">
        <f t="shared" si="45"/>
        <v>0</v>
      </c>
    </row>
    <row r="316" spans="1:19">
      <c r="A316" s="150"/>
      <c r="B316" s="54"/>
      <c r="C316" s="21">
        <f t="shared" si="46"/>
        <v>1</v>
      </c>
      <c r="D316" s="667"/>
      <c r="E316" s="21">
        <f t="shared" si="47"/>
        <v>1</v>
      </c>
      <c r="F316" s="667"/>
      <c r="G316" s="21">
        <f t="shared" si="48"/>
        <v>1</v>
      </c>
      <c r="H316" s="667"/>
      <c r="I316" s="21">
        <f t="shared" si="49"/>
        <v>1</v>
      </c>
      <c r="J316" s="667"/>
      <c r="K316" s="21">
        <f t="shared" si="50"/>
        <v>1</v>
      </c>
      <c r="L316" s="667"/>
      <c r="M316" s="21">
        <f t="shared" si="51"/>
        <v>1</v>
      </c>
      <c r="N316" s="667"/>
      <c r="O316" s="21">
        <f t="shared" si="52"/>
        <v>1</v>
      </c>
      <c r="P316" s="667"/>
      <c r="Q316" s="21">
        <f t="shared" si="53"/>
        <v>0</v>
      </c>
      <c r="R316" s="663">
        <f t="shared" si="54"/>
        <v>0</v>
      </c>
      <c r="S316" s="316">
        <f t="shared" si="45"/>
        <v>0</v>
      </c>
    </row>
    <row r="317" spans="1:19">
      <c r="A317" s="150"/>
      <c r="B317" s="54"/>
      <c r="C317" s="21">
        <f t="shared" si="46"/>
        <v>1</v>
      </c>
      <c r="D317" s="667"/>
      <c r="E317" s="21">
        <f t="shared" si="47"/>
        <v>1</v>
      </c>
      <c r="F317" s="667"/>
      <c r="G317" s="21">
        <f t="shared" si="48"/>
        <v>1</v>
      </c>
      <c r="H317" s="667"/>
      <c r="I317" s="21">
        <f t="shared" si="49"/>
        <v>1</v>
      </c>
      <c r="J317" s="667"/>
      <c r="K317" s="21">
        <f t="shared" si="50"/>
        <v>1</v>
      </c>
      <c r="L317" s="667"/>
      <c r="M317" s="21">
        <f t="shared" si="51"/>
        <v>1</v>
      </c>
      <c r="N317" s="667"/>
      <c r="O317" s="21">
        <f t="shared" si="52"/>
        <v>1</v>
      </c>
      <c r="P317" s="667"/>
      <c r="Q317" s="21">
        <f t="shared" si="53"/>
        <v>0</v>
      </c>
      <c r="R317" s="663">
        <f t="shared" si="54"/>
        <v>0</v>
      </c>
      <c r="S317" s="316">
        <f t="shared" si="45"/>
        <v>0</v>
      </c>
    </row>
    <row r="318" spans="1:19">
      <c r="A318" s="150"/>
      <c r="B318" s="54"/>
      <c r="C318" s="21">
        <f t="shared" si="46"/>
        <v>1</v>
      </c>
      <c r="D318" s="667"/>
      <c r="E318" s="21">
        <f t="shared" si="47"/>
        <v>1</v>
      </c>
      <c r="F318" s="667"/>
      <c r="G318" s="21">
        <f t="shared" si="48"/>
        <v>1</v>
      </c>
      <c r="H318" s="667"/>
      <c r="I318" s="21">
        <f t="shared" si="49"/>
        <v>1</v>
      </c>
      <c r="J318" s="667"/>
      <c r="K318" s="21">
        <f t="shared" si="50"/>
        <v>1</v>
      </c>
      <c r="L318" s="667"/>
      <c r="M318" s="21">
        <f t="shared" si="51"/>
        <v>1</v>
      </c>
      <c r="N318" s="667"/>
      <c r="O318" s="21">
        <f t="shared" si="52"/>
        <v>1</v>
      </c>
      <c r="P318" s="667"/>
      <c r="Q318" s="21">
        <f t="shared" si="53"/>
        <v>0</v>
      </c>
      <c r="R318" s="663">
        <f t="shared" si="54"/>
        <v>0</v>
      </c>
      <c r="S318" s="316">
        <f t="shared" si="45"/>
        <v>0</v>
      </c>
    </row>
    <row r="319" spans="1:19">
      <c r="A319" s="150"/>
      <c r="B319" s="54"/>
      <c r="C319" s="21">
        <f t="shared" si="46"/>
        <v>1</v>
      </c>
      <c r="D319" s="667"/>
      <c r="E319" s="21">
        <f t="shared" si="47"/>
        <v>1</v>
      </c>
      <c r="F319" s="667"/>
      <c r="G319" s="21">
        <f t="shared" si="48"/>
        <v>1</v>
      </c>
      <c r="H319" s="667"/>
      <c r="I319" s="21">
        <f t="shared" si="49"/>
        <v>1</v>
      </c>
      <c r="J319" s="667"/>
      <c r="K319" s="21">
        <f t="shared" si="50"/>
        <v>1</v>
      </c>
      <c r="L319" s="667"/>
      <c r="M319" s="21">
        <f t="shared" si="51"/>
        <v>1</v>
      </c>
      <c r="N319" s="667"/>
      <c r="O319" s="21">
        <f t="shared" si="52"/>
        <v>1</v>
      </c>
      <c r="P319" s="667"/>
      <c r="Q319" s="21">
        <f t="shared" si="53"/>
        <v>0</v>
      </c>
      <c r="R319" s="663">
        <f t="shared" si="54"/>
        <v>0</v>
      </c>
      <c r="S319" s="316">
        <f t="shared" si="45"/>
        <v>0</v>
      </c>
    </row>
    <row r="320" spans="1:19">
      <c r="A320" s="150"/>
      <c r="B320" s="54"/>
      <c r="C320" s="21">
        <f t="shared" si="46"/>
        <v>1</v>
      </c>
      <c r="D320" s="667"/>
      <c r="E320" s="21">
        <f t="shared" si="47"/>
        <v>1</v>
      </c>
      <c r="F320" s="667"/>
      <c r="G320" s="21">
        <f t="shared" si="48"/>
        <v>1</v>
      </c>
      <c r="H320" s="667"/>
      <c r="I320" s="21">
        <f t="shared" si="49"/>
        <v>1</v>
      </c>
      <c r="J320" s="667"/>
      <c r="K320" s="21">
        <f t="shared" si="50"/>
        <v>1</v>
      </c>
      <c r="L320" s="667"/>
      <c r="M320" s="21">
        <f t="shared" si="51"/>
        <v>1</v>
      </c>
      <c r="N320" s="667"/>
      <c r="O320" s="21">
        <f t="shared" si="52"/>
        <v>1</v>
      </c>
      <c r="P320" s="667"/>
      <c r="Q320" s="21">
        <f t="shared" si="53"/>
        <v>0</v>
      </c>
      <c r="R320" s="663">
        <f t="shared" si="54"/>
        <v>0</v>
      </c>
      <c r="S320" s="316">
        <f t="shared" si="45"/>
        <v>0</v>
      </c>
    </row>
    <row r="321" spans="1:19">
      <c r="A321" s="150"/>
      <c r="B321" s="54"/>
      <c r="C321" s="21">
        <f t="shared" si="46"/>
        <v>1</v>
      </c>
      <c r="D321" s="667"/>
      <c r="E321" s="21">
        <f t="shared" si="47"/>
        <v>1</v>
      </c>
      <c r="F321" s="667"/>
      <c r="G321" s="21">
        <f t="shared" si="48"/>
        <v>1</v>
      </c>
      <c r="H321" s="667"/>
      <c r="I321" s="21">
        <f t="shared" si="49"/>
        <v>1</v>
      </c>
      <c r="J321" s="667"/>
      <c r="K321" s="21">
        <f t="shared" si="50"/>
        <v>1</v>
      </c>
      <c r="L321" s="667"/>
      <c r="M321" s="21">
        <f t="shared" si="51"/>
        <v>1</v>
      </c>
      <c r="N321" s="667"/>
      <c r="O321" s="21">
        <f t="shared" si="52"/>
        <v>1</v>
      </c>
      <c r="P321" s="667"/>
      <c r="Q321" s="21">
        <f t="shared" si="53"/>
        <v>0</v>
      </c>
      <c r="R321" s="663">
        <f t="shared" si="54"/>
        <v>0</v>
      </c>
      <c r="S321" s="316">
        <f t="shared" si="45"/>
        <v>0</v>
      </c>
    </row>
    <row r="322" spans="1:19">
      <c r="A322" s="150"/>
      <c r="B322" s="54"/>
      <c r="C322" s="21">
        <f t="shared" si="46"/>
        <v>1</v>
      </c>
      <c r="D322" s="667"/>
      <c r="E322" s="21">
        <f t="shared" si="47"/>
        <v>1</v>
      </c>
      <c r="F322" s="667"/>
      <c r="G322" s="21">
        <f t="shared" si="48"/>
        <v>1</v>
      </c>
      <c r="H322" s="667"/>
      <c r="I322" s="21">
        <f t="shared" si="49"/>
        <v>1</v>
      </c>
      <c r="J322" s="667"/>
      <c r="K322" s="21">
        <f t="shared" si="50"/>
        <v>1</v>
      </c>
      <c r="L322" s="667"/>
      <c r="M322" s="21">
        <f t="shared" si="51"/>
        <v>1</v>
      </c>
      <c r="N322" s="667"/>
      <c r="O322" s="21">
        <f t="shared" si="52"/>
        <v>1</v>
      </c>
      <c r="P322" s="667"/>
      <c r="Q322" s="21">
        <f t="shared" si="53"/>
        <v>0</v>
      </c>
      <c r="R322" s="663">
        <f t="shared" si="54"/>
        <v>0</v>
      </c>
      <c r="S322" s="316">
        <f t="shared" si="45"/>
        <v>0</v>
      </c>
    </row>
    <row r="323" spans="1:19">
      <c r="A323" s="150"/>
      <c r="B323" s="54"/>
      <c r="C323" s="21">
        <f t="shared" si="46"/>
        <v>1</v>
      </c>
      <c r="D323" s="667"/>
      <c r="E323" s="21">
        <f t="shared" si="47"/>
        <v>1</v>
      </c>
      <c r="F323" s="667"/>
      <c r="G323" s="21">
        <f t="shared" si="48"/>
        <v>1</v>
      </c>
      <c r="H323" s="667"/>
      <c r="I323" s="21">
        <f t="shared" si="49"/>
        <v>1</v>
      </c>
      <c r="J323" s="667"/>
      <c r="K323" s="21">
        <f t="shared" si="50"/>
        <v>1</v>
      </c>
      <c r="L323" s="667"/>
      <c r="M323" s="21">
        <f t="shared" si="51"/>
        <v>1</v>
      </c>
      <c r="N323" s="667"/>
      <c r="O323" s="21">
        <f t="shared" si="52"/>
        <v>1</v>
      </c>
      <c r="P323" s="667"/>
      <c r="Q323" s="21">
        <f t="shared" si="53"/>
        <v>0</v>
      </c>
      <c r="R323" s="663">
        <f t="shared" si="54"/>
        <v>0</v>
      </c>
      <c r="S323" s="316">
        <f t="shared" si="45"/>
        <v>0</v>
      </c>
    </row>
    <row r="324" spans="1:19">
      <c r="A324" s="150"/>
      <c r="B324" s="54"/>
      <c r="C324" s="21">
        <f t="shared" si="46"/>
        <v>1</v>
      </c>
      <c r="D324" s="667"/>
      <c r="E324" s="21">
        <f t="shared" si="47"/>
        <v>1</v>
      </c>
      <c r="F324" s="667"/>
      <c r="G324" s="21">
        <f t="shared" si="48"/>
        <v>1</v>
      </c>
      <c r="H324" s="667"/>
      <c r="I324" s="21">
        <f t="shared" si="49"/>
        <v>1</v>
      </c>
      <c r="J324" s="667"/>
      <c r="K324" s="21">
        <f t="shared" si="50"/>
        <v>1</v>
      </c>
      <c r="L324" s="667"/>
      <c r="M324" s="21">
        <f t="shared" si="51"/>
        <v>1</v>
      </c>
      <c r="N324" s="667"/>
      <c r="O324" s="21">
        <f t="shared" si="52"/>
        <v>1</v>
      </c>
      <c r="P324" s="667"/>
      <c r="Q324" s="21">
        <f t="shared" si="53"/>
        <v>0</v>
      </c>
      <c r="R324" s="663">
        <f t="shared" si="54"/>
        <v>0</v>
      </c>
      <c r="S324" s="316">
        <f t="shared" si="45"/>
        <v>0</v>
      </c>
    </row>
    <row r="325" spans="1:19">
      <c r="A325" s="150"/>
      <c r="B325" s="54"/>
      <c r="C325" s="21">
        <f t="shared" si="46"/>
        <v>1</v>
      </c>
      <c r="D325" s="667"/>
      <c r="E325" s="21">
        <f t="shared" si="47"/>
        <v>1</v>
      </c>
      <c r="F325" s="667"/>
      <c r="G325" s="21">
        <f t="shared" si="48"/>
        <v>1</v>
      </c>
      <c r="H325" s="667"/>
      <c r="I325" s="21">
        <f t="shared" si="49"/>
        <v>1</v>
      </c>
      <c r="J325" s="667"/>
      <c r="K325" s="21">
        <f t="shared" si="50"/>
        <v>1</v>
      </c>
      <c r="L325" s="667"/>
      <c r="M325" s="21">
        <f t="shared" si="51"/>
        <v>1</v>
      </c>
      <c r="N325" s="667"/>
      <c r="O325" s="21">
        <f t="shared" si="52"/>
        <v>1</v>
      </c>
      <c r="P325" s="667"/>
      <c r="Q325" s="21">
        <f t="shared" si="53"/>
        <v>0</v>
      </c>
      <c r="R325" s="663">
        <f t="shared" si="54"/>
        <v>0</v>
      </c>
      <c r="S325" s="316">
        <f t="shared" si="45"/>
        <v>0</v>
      </c>
    </row>
    <row r="326" spans="1:19">
      <c r="A326" s="150"/>
      <c r="B326" s="54"/>
      <c r="C326" s="21">
        <f t="shared" si="46"/>
        <v>1</v>
      </c>
      <c r="D326" s="667"/>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0</v>
      </c>
      <c r="R326" s="663">
        <f t="shared" si="54"/>
        <v>0</v>
      </c>
      <c r="S326" s="316">
        <f t="shared" si="45"/>
        <v>0</v>
      </c>
    </row>
    <row r="327" spans="1:19">
      <c r="A327" s="150"/>
      <c r="B327" s="54"/>
      <c r="C327" s="21">
        <f t="shared" si="46"/>
        <v>1</v>
      </c>
      <c r="D327" s="667"/>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0</v>
      </c>
      <c r="R327" s="663">
        <f t="shared" si="54"/>
        <v>0</v>
      </c>
      <c r="S327" s="316">
        <f t="shared" si="45"/>
        <v>0</v>
      </c>
    </row>
    <row r="328" spans="1:19">
      <c r="A328" s="150"/>
      <c r="B328" s="54"/>
      <c r="C328" s="21">
        <f t="shared" si="46"/>
        <v>1</v>
      </c>
      <c r="D328" s="667"/>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0</v>
      </c>
      <c r="R328" s="663">
        <f t="shared" si="54"/>
        <v>0</v>
      </c>
      <c r="S328" s="316">
        <f t="shared" si="45"/>
        <v>0</v>
      </c>
    </row>
    <row r="329" spans="1:19">
      <c r="A329" s="150"/>
      <c r="B329" s="54"/>
      <c r="C329" s="21">
        <f t="shared" si="46"/>
        <v>1</v>
      </c>
      <c r="D329" s="667"/>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0</v>
      </c>
      <c r="R329" s="663">
        <f t="shared" si="54"/>
        <v>0</v>
      </c>
      <c r="S329" s="316">
        <f t="shared" si="45"/>
        <v>0</v>
      </c>
    </row>
    <row r="330" spans="1:19">
      <c r="A330" s="150"/>
      <c r="B330" s="54"/>
      <c r="C330" s="21">
        <f t="shared" si="46"/>
        <v>1</v>
      </c>
      <c r="D330" s="667"/>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0</v>
      </c>
      <c r="R330" s="663">
        <f t="shared" si="54"/>
        <v>0</v>
      </c>
      <c r="S330" s="316">
        <f t="shared" si="45"/>
        <v>0</v>
      </c>
    </row>
    <row r="331" spans="1:19">
      <c r="A331" s="150"/>
      <c r="B331" s="54"/>
      <c r="C331" s="21">
        <f t="shared" si="46"/>
        <v>1</v>
      </c>
      <c r="D331" s="667"/>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0</v>
      </c>
      <c r="R331" s="663">
        <f t="shared" si="54"/>
        <v>0</v>
      </c>
      <c r="S331" s="316">
        <f t="shared" si="45"/>
        <v>0</v>
      </c>
    </row>
    <row r="332" spans="1:19">
      <c r="A332" s="150"/>
      <c r="B332" s="54"/>
      <c r="C332" s="21">
        <f t="shared" si="46"/>
        <v>1</v>
      </c>
      <c r="D332" s="667"/>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0</v>
      </c>
      <c r="R332" s="663">
        <f t="shared" si="54"/>
        <v>0</v>
      </c>
      <c r="S332" s="316">
        <f t="shared" si="45"/>
        <v>0</v>
      </c>
    </row>
    <row r="333" spans="1:19">
      <c r="A333" s="150"/>
      <c r="B333" s="54"/>
      <c r="C333" s="21">
        <f t="shared" si="46"/>
        <v>1</v>
      </c>
      <c r="D333" s="667"/>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0</v>
      </c>
      <c r="R333" s="663">
        <f t="shared" si="54"/>
        <v>0</v>
      </c>
      <c r="S333" s="316">
        <f t="shared" si="45"/>
        <v>0</v>
      </c>
    </row>
    <row r="334" spans="1:19">
      <c r="A334" s="150"/>
      <c r="B334" s="54"/>
      <c r="C334" s="21">
        <f t="shared" si="46"/>
        <v>1</v>
      </c>
      <c r="D334" s="667"/>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0</v>
      </c>
      <c r="R334" s="663">
        <f t="shared" si="54"/>
        <v>0</v>
      </c>
      <c r="S334" s="316">
        <f t="shared" si="45"/>
        <v>0</v>
      </c>
    </row>
    <row r="335" spans="1:19">
      <c r="A335" s="150"/>
      <c r="B335" s="54"/>
      <c r="C335" s="21">
        <f t="shared" si="46"/>
        <v>1</v>
      </c>
      <c r="D335" s="667"/>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0</v>
      </c>
      <c r="R335" s="663">
        <f t="shared" si="54"/>
        <v>0</v>
      </c>
      <c r="S335" s="316">
        <f t="shared" si="45"/>
        <v>0</v>
      </c>
    </row>
    <row r="336" spans="1:19">
      <c r="A336" s="150"/>
      <c r="B336" s="54"/>
      <c r="C336" s="21">
        <f t="shared" si="46"/>
        <v>1</v>
      </c>
      <c r="D336" s="667"/>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0</v>
      </c>
      <c r="R336" s="663">
        <f t="shared" si="54"/>
        <v>0</v>
      </c>
      <c r="S336" s="316">
        <f t="shared" si="45"/>
        <v>0</v>
      </c>
    </row>
    <row r="337" spans="1:19">
      <c r="A337" s="150"/>
      <c r="B337" s="54"/>
      <c r="C337" s="21">
        <f t="shared" si="46"/>
        <v>1</v>
      </c>
      <c r="D337" s="667"/>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0</v>
      </c>
      <c r="R337" s="663">
        <f t="shared" si="54"/>
        <v>0</v>
      </c>
      <c r="S337" s="316">
        <f t="shared" si="45"/>
        <v>0</v>
      </c>
    </row>
    <row r="338" spans="1:19">
      <c r="A338" s="150"/>
      <c r="B338" s="54"/>
      <c r="C338" s="21">
        <f t="shared" si="46"/>
        <v>1</v>
      </c>
      <c r="D338" s="667"/>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0</v>
      </c>
      <c r="R338" s="663">
        <f t="shared" si="54"/>
        <v>0</v>
      </c>
      <c r="S338" s="316">
        <f t="shared" si="45"/>
        <v>0</v>
      </c>
    </row>
    <row r="339" spans="1:19">
      <c r="A339" s="150"/>
      <c r="B339" s="54"/>
      <c r="C339" s="21">
        <f t="shared" si="46"/>
        <v>1</v>
      </c>
      <c r="D339" s="667"/>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0</v>
      </c>
      <c r="R339" s="663">
        <f t="shared" si="54"/>
        <v>0</v>
      </c>
      <c r="S339" s="316">
        <f t="shared" si="45"/>
        <v>0</v>
      </c>
    </row>
    <row r="340" spans="1:19">
      <c r="A340" s="150"/>
      <c r="B340" s="54"/>
      <c r="C340" s="21">
        <f t="shared" si="46"/>
        <v>1</v>
      </c>
      <c r="D340" s="667"/>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0</v>
      </c>
      <c r="R340" s="663">
        <f t="shared" si="54"/>
        <v>0</v>
      </c>
      <c r="S340" s="316">
        <f t="shared" si="45"/>
        <v>0</v>
      </c>
    </row>
    <row r="341" spans="1:19">
      <c r="A341" s="150"/>
      <c r="B341" s="54"/>
      <c r="C341" s="21">
        <f t="shared" si="46"/>
        <v>1</v>
      </c>
      <c r="D341" s="667"/>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0</v>
      </c>
      <c r="R341" s="663">
        <f t="shared" si="54"/>
        <v>0</v>
      </c>
      <c r="S341" s="316">
        <f t="shared" si="45"/>
        <v>0</v>
      </c>
    </row>
    <row r="342" spans="1:19">
      <c r="A342" s="150"/>
      <c r="B342" s="54"/>
      <c r="C342" s="21">
        <f t="shared" si="46"/>
        <v>1</v>
      </c>
      <c r="D342" s="667"/>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0</v>
      </c>
      <c r="R342" s="663">
        <f t="shared" si="54"/>
        <v>0</v>
      </c>
      <c r="S342" s="316">
        <f t="shared" si="45"/>
        <v>0</v>
      </c>
    </row>
    <row r="343" spans="1:19">
      <c r="A343" s="150"/>
      <c r="B343" s="54"/>
      <c r="C343" s="21">
        <f t="shared" si="46"/>
        <v>1</v>
      </c>
      <c r="D343" s="667"/>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0</v>
      </c>
      <c r="R343" s="663">
        <f t="shared" si="54"/>
        <v>0</v>
      </c>
      <c r="S343" s="316">
        <f t="shared" si="45"/>
        <v>0</v>
      </c>
    </row>
    <row r="344" spans="1:19">
      <c r="A344" s="150"/>
      <c r="B344" s="54"/>
      <c r="C344" s="21">
        <f t="shared" si="46"/>
        <v>1</v>
      </c>
      <c r="D344" s="667"/>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0</v>
      </c>
      <c r="R344" s="663">
        <f t="shared" si="54"/>
        <v>0</v>
      </c>
      <c r="S344" s="316">
        <f t="shared" ref="S344:S407" si="55">ROUND(R344*B344/10000,0)</f>
        <v>0</v>
      </c>
    </row>
    <row r="345" spans="1:19">
      <c r="A345" s="150"/>
      <c r="B345" s="54"/>
      <c r="C345" s="21">
        <f t="shared" si="46"/>
        <v>1</v>
      </c>
      <c r="D345" s="667"/>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0</v>
      </c>
      <c r="R345" s="663">
        <f t="shared" si="54"/>
        <v>0</v>
      </c>
      <c r="S345" s="316">
        <f t="shared" si="55"/>
        <v>0</v>
      </c>
    </row>
    <row r="346" spans="1:19">
      <c r="A346" s="150"/>
      <c r="B346" s="54"/>
      <c r="C346" s="21">
        <f t="shared" ref="C346:C409" si="56">IF(B346="",1,(LOOKUP(B346,$3:$3,$4:$4)-LOOKUP($B$24,$3:$3,$4:$4)+100)/100)</f>
        <v>1</v>
      </c>
      <c r="D346" s="667"/>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0</v>
      </c>
      <c r="R346" s="663">
        <f t="shared" ref="R346:R409" si="64">IF(B346="",0,ROUND($R$24*C346*E346*G346*I346*K346*M346*O346*Q346,0))</f>
        <v>0</v>
      </c>
      <c r="S346" s="316">
        <f t="shared" si="55"/>
        <v>0</v>
      </c>
    </row>
    <row r="347" spans="1:19">
      <c r="A347" s="150"/>
      <c r="B347" s="54"/>
      <c r="C347" s="21">
        <f t="shared" si="56"/>
        <v>1</v>
      </c>
      <c r="D347" s="667"/>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0</v>
      </c>
      <c r="R347" s="663">
        <f t="shared" si="64"/>
        <v>0</v>
      </c>
      <c r="S347" s="316">
        <f t="shared" si="55"/>
        <v>0</v>
      </c>
    </row>
    <row r="348" spans="1:19">
      <c r="A348" s="150"/>
      <c r="B348" s="54"/>
      <c r="C348" s="21">
        <f t="shared" si="56"/>
        <v>1</v>
      </c>
      <c r="D348" s="667"/>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0</v>
      </c>
      <c r="R348" s="663">
        <f t="shared" si="64"/>
        <v>0</v>
      </c>
      <c r="S348" s="316">
        <f t="shared" si="55"/>
        <v>0</v>
      </c>
    </row>
    <row r="349" spans="1:19">
      <c r="A349" s="150"/>
      <c r="B349" s="54"/>
      <c r="C349" s="21">
        <f t="shared" si="56"/>
        <v>1</v>
      </c>
      <c r="D349" s="667"/>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0</v>
      </c>
      <c r="R349" s="663">
        <f t="shared" si="64"/>
        <v>0</v>
      </c>
      <c r="S349" s="316">
        <f t="shared" si="55"/>
        <v>0</v>
      </c>
    </row>
    <row r="350" spans="1:19">
      <c r="A350" s="150"/>
      <c r="B350" s="54"/>
      <c r="C350" s="21">
        <f t="shared" si="56"/>
        <v>1</v>
      </c>
      <c r="D350" s="667"/>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0</v>
      </c>
      <c r="R350" s="663">
        <f t="shared" si="64"/>
        <v>0</v>
      </c>
      <c r="S350" s="316">
        <f t="shared" si="55"/>
        <v>0</v>
      </c>
    </row>
    <row r="351" spans="1:19">
      <c r="A351" s="150"/>
      <c r="B351" s="54"/>
      <c r="C351" s="21">
        <f t="shared" si="56"/>
        <v>1</v>
      </c>
      <c r="D351" s="667"/>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0</v>
      </c>
      <c r="R351" s="663">
        <f t="shared" si="64"/>
        <v>0</v>
      </c>
      <c r="S351" s="316">
        <f t="shared" si="55"/>
        <v>0</v>
      </c>
    </row>
    <row r="352" spans="1:19">
      <c r="A352" s="150"/>
      <c r="B352" s="54"/>
      <c r="C352" s="21">
        <f t="shared" si="56"/>
        <v>1</v>
      </c>
      <c r="D352" s="667"/>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0</v>
      </c>
      <c r="R352" s="663">
        <f t="shared" si="64"/>
        <v>0</v>
      </c>
      <c r="S352" s="316">
        <f t="shared" si="55"/>
        <v>0</v>
      </c>
    </row>
    <row r="353" spans="1:19">
      <c r="A353" s="150"/>
      <c r="B353" s="54"/>
      <c r="C353" s="21">
        <f t="shared" si="56"/>
        <v>1</v>
      </c>
      <c r="D353" s="667"/>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0</v>
      </c>
      <c r="R353" s="663">
        <f t="shared" si="64"/>
        <v>0</v>
      </c>
      <c r="S353" s="316">
        <f t="shared" si="55"/>
        <v>0</v>
      </c>
    </row>
    <row r="354" spans="1:19">
      <c r="A354" s="150"/>
      <c r="B354" s="54"/>
      <c r="C354" s="21">
        <f t="shared" si="56"/>
        <v>1</v>
      </c>
      <c r="D354" s="667"/>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0</v>
      </c>
      <c r="R354" s="663">
        <f t="shared" si="64"/>
        <v>0</v>
      </c>
      <c r="S354" s="316">
        <f t="shared" si="55"/>
        <v>0</v>
      </c>
    </row>
    <row r="355" spans="1:19">
      <c r="A355" s="150"/>
      <c r="B355" s="54"/>
      <c r="C355" s="21">
        <f t="shared" si="56"/>
        <v>1</v>
      </c>
      <c r="D355" s="667"/>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0</v>
      </c>
      <c r="R355" s="663">
        <f t="shared" si="64"/>
        <v>0</v>
      </c>
      <c r="S355" s="316">
        <f t="shared" si="55"/>
        <v>0</v>
      </c>
    </row>
    <row r="356" spans="1:19">
      <c r="A356" s="150"/>
      <c r="B356" s="54"/>
      <c r="C356" s="21">
        <f t="shared" si="56"/>
        <v>1</v>
      </c>
      <c r="D356" s="667"/>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0</v>
      </c>
      <c r="R356" s="663">
        <f t="shared" si="64"/>
        <v>0</v>
      </c>
      <c r="S356" s="316">
        <f t="shared" si="55"/>
        <v>0</v>
      </c>
    </row>
    <row r="357" spans="1:19">
      <c r="A357" s="150"/>
      <c r="B357" s="54"/>
      <c r="C357" s="21">
        <f t="shared" si="56"/>
        <v>1</v>
      </c>
      <c r="D357" s="667"/>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0</v>
      </c>
      <c r="R357" s="663">
        <f t="shared" si="64"/>
        <v>0</v>
      </c>
      <c r="S357" s="316">
        <f t="shared" si="55"/>
        <v>0</v>
      </c>
    </row>
    <row r="358" spans="1:19">
      <c r="A358" s="150"/>
      <c r="B358" s="54"/>
      <c r="C358" s="21">
        <f t="shared" si="56"/>
        <v>1</v>
      </c>
      <c r="D358" s="667"/>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0</v>
      </c>
      <c r="R358" s="663">
        <f t="shared" si="64"/>
        <v>0</v>
      </c>
      <c r="S358" s="316">
        <f t="shared" si="55"/>
        <v>0</v>
      </c>
    </row>
    <row r="359" spans="1:19">
      <c r="A359" s="150"/>
      <c r="B359" s="54"/>
      <c r="C359" s="21">
        <f t="shared" si="56"/>
        <v>1</v>
      </c>
      <c r="D359" s="667"/>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0</v>
      </c>
      <c r="R359" s="663">
        <f t="shared" si="64"/>
        <v>0</v>
      </c>
      <c r="S359" s="316">
        <f t="shared" si="55"/>
        <v>0</v>
      </c>
    </row>
    <row r="360" spans="1:19">
      <c r="A360" s="150"/>
      <c r="B360" s="54"/>
      <c r="C360" s="21">
        <f t="shared" si="56"/>
        <v>1</v>
      </c>
      <c r="D360" s="667"/>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0</v>
      </c>
      <c r="R360" s="663">
        <f t="shared" si="64"/>
        <v>0</v>
      </c>
      <c r="S360" s="316">
        <f t="shared" si="55"/>
        <v>0</v>
      </c>
    </row>
    <row r="361" spans="1:19">
      <c r="A361" s="150"/>
      <c r="B361" s="54"/>
      <c r="C361" s="21">
        <f t="shared" si="56"/>
        <v>1</v>
      </c>
      <c r="D361" s="667"/>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0</v>
      </c>
      <c r="R361" s="663">
        <f t="shared" si="64"/>
        <v>0</v>
      </c>
      <c r="S361" s="316">
        <f t="shared" si="55"/>
        <v>0</v>
      </c>
    </row>
    <row r="362" spans="1:19">
      <c r="A362" s="150"/>
      <c r="B362" s="54"/>
      <c r="C362" s="21">
        <f t="shared" si="56"/>
        <v>1</v>
      </c>
      <c r="D362" s="667"/>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0</v>
      </c>
      <c r="R362" s="663">
        <f t="shared" si="64"/>
        <v>0</v>
      </c>
      <c r="S362" s="316">
        <f t="shared" si="55"/>
        <v>0</v>
      </c>
    </row>
    <row r="363" spans="1:19">
      <c r="A363" s="150"/>
      <c r="B363" s="54"/>
      <c r="C363" s="21">
        <f t="shared" si="56"/>
        <v>1</v>
      </c>
      <c r="D363" s="667"/>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0</v>
      </c>
      <c r="R363" s="663">
        <f t="shared" si="64"/>
        <v>0</v>
      </c>
      <c r="S363" s="316">
        <f t="shared" si="55"/>
        <v>0</v>
      </c>
    </row>
    <row r="364" spans="1:19">
      <c r="A364" s="150"/>
      <c r="B364" s="54"/>
      <c r="C364" s="21">
        <f t="shared" si="56"/>
        <v>1</v>
      </c>
      <c r="D364" s="667"/>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0</v>
      </c>
      <c r="R364" s="663">
        <f t="shared" si="64"/>
        <v>0</v>
      </c>
      <c r="S364" s="316">
        <f t="shared" si="55"/>
        <v>0</v>
      </c>
    </row>
    <row r="365" spans="1:19">
      <c r="A365" s="150"/>
      <c r="B365" s="54"/>
      <c r="C365" s="21">
        <f t="shared" si="56"/>
        <v>1</v>
      </c>
      <c r="D365" s="667"/>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0</v>
      </c>
      <c r="R365" s="663">
        <f t="shared" si="64"/>
        <v>0</v>
      </c>
      <c r="S365" s="316">
        <f t="shared" si="55"/>
        <v>0</v>
      </c>
    </row>
    <row r="366" spans="1:19">
      <c r="A366" s="150"/>
      <c r="B366" s="54"/>
      <c r="C366" s="21">
        <f t="shared" si="56"/>
        <v>1</v>
      </c>
      <c r="D366" s="667"/>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0</v>
      </c>
      <c r="R366" s="663">
        <f t="shared" si="64"/>
        <v>0</v>
      </c>
      <c r="S366" s="316">
        <f t="shared" si="55"/>
        <v>0</v>
      </c>
    </row>
    <row r="367" spans="1:19">
      <c r="A367" s="150"/>
      <c r="B367" s="54"/>
      <c r="C367" s="21">
        <f t="shared" si="56"/>
        <v>1</v>
      </c>
      <c r="D367" s="667"/>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0</v>
      </c>
      <c r="R367" s="663">
        <f t="shared" si="64"/>
        <v>0</v>
      </c>
      <c r="S367" s="316">
        <f t="shared" si="55"/>
        <v>0</v>
      </c>
    </row>
    <row r="368" spans="1:19">
      <c r="A368" s="150"/>
      <c r="B368" s="54"/>
      <c r="C368" s="21">
        <f t="shared" si="56"/>
        <v>1</v>
      </c>
      <c r="D368" s="667"/>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0</v>
      </c>
      <c r="R368" s="663">
        <f t="shared" si="64"/>
        <v>0</v>
      </c>
      <c r="S368" s="316">
        <f t="shared" si="55"/>
        <v>0</v>
      </c>
    </row>
    <row r="369" spans="1:19">
      <c r="A369" s="150"/>
      <c r="B369" s="54"/>
      <c r="C369" s="21">
        <f t="shared" si="56"/>
        <v>1</v>
      </c>
      <c r="D369" s="667"/>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0</v>
      </c>
      <c r="R369" s="663">
        <f t="shared" si="64"/>
        <v>0</v>
      </c>
      <c r="S369" s="316">
        <f t="shared" si="55"/>
        <v>0</v>
      </c>
    </row>
    <row r="370" spans="1:19">
      <c r="A370" s="150"/>
      <c r="B370" s="54"/>
      <c r="C370" s="21">
        <f t="shared" si="56"/>
        <v>1</v>
      </c>
      <c r="D370" s="667"/>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0</v>
      </c>
      <c r="R370" s="663">
        <f t="shared" si="64"/>
        <v>0</v>
      </c>
      <c r="S370" s="316">
        <f t="shared" si="55"/>
        <v>0</v>
      </c>
    </row>
    <row r="371" spans="1:19">
      <c r="A371" s="150"/>
      <c r="B371" s="54"/>
      <c r="C371" s="21">
        <f t="shared" si="56"/>
        <v>1</v>
      </c>
      <c r="D371" s="667"/>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0</v>
      </c>
      <c r="R371" s="663">
        <f t="shared" si="64"/>
        <v>0</v>
      </c>
      <c r="S371" s="316">
        <f t="shared" si="55"/>
        <v>0</v>
      </c>
    </row>
    <row r="372" spans="1:19">
      <c r="A372" s="150"/>
      <c r="B372" s="54"/>
      <c r="C372" s="21">
        <f t="shared" si="56"/>
        <v>1</v>
      </c>
      <c r="D372" s="667"/>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0</v>
      </c>
      <c r="R372" s="663">
        <f t="shared" si="64"/>
        <v>0</v>
      </c>
      <c r="S372" s="316">
        <f t="shared" si="55"/>
        <v>0</v>
      </c>
    </row>
    <row r="373" spans="1:19">
      <c r="A373" s="150"/>
      <c r="B373" s="54"/>
      <c r="C373" s="21">
        <f t="shared" si="56"/>
        <v>1</v>
      </c>
      <c r="D373" s="667"/>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0</v>
      </c>
      <c r="R373" s="663">
        <f t="shared" si="64"/>
        <v>0</v>
      </c>
      <c r="S373" s="316">
        <f t="shared" si="55"/>
        <v>0</v>
      </c>
    </row>
    <row r="374" spans="1:19">
      <c r="A374" s="150"/>
      <c r="B374" s="54"/>
      <c r="C374" s="21">
        <f t="shared" si="56"/>
        <v>1</v>
      </c>
      <c r="D374" s="667"/>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0</v>
      </c>
      <c r="R374" s="663">
        <f t="shared" si="64"/>
        <v>0</v>
      </c>
      <c r="S374" s="316">
        <f t="shared" si="55"/>
        <v>0</v>
      </c>
    </row>
    <row r="375" spans="1:19">
      <c r="A375" s="150"/>
      <c r="B375" s="54"/>
      <c r="C375" s="21">
        <f t="shared" si="56"/>
        <v>1</v>
      </c>
      <c r="D375" s="667"/>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0</v>
      </c>
      <c r="R375" s="663">
        <f t="shared" si="64"/>
        <v>0</v>
      </c>
      <c r="S375" s="316">
        <f t="shared" si="55"/>
        <v>0</v>
      </c>
    </row>
    <row r="376" spans="1:19">
      <c r="A376" s="150"/>
      <c r="B376" s="54"/>
      <c r="C376" s="21">
        <f t="shared" si="56"/>
        <v>1</v>
      </c>
      <c r="D376" s="667"/>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0</v>
      </c>
      <c r="R376" s="663">
        <f t="shared" si="64"/>
        <v>0</v>
      </c>
      <c r="S376" s="316">
        <f t="shared" si="55"/>
        <v>0</v>
      </c>
    </row>
    <row r="377" spans="1:19">
      <c r="A377" s="150"/>
      <c r="B377" s="54"/>
      <c r="C377" s="21">
        <f t="shared" si="56"/>
        <v>1</v>
      </c>
      <c r="D377" s="667"/>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0</v>
      </c>
      <c r="R377" s="663">
        <f t="shared" si="64"/>
        <v>0</v>
      </c>
      <c r="S377" s="316">
        <f t="shared" si="55"/>
        <v>0</v>
      </c>
    </row>
    <row r="378" spans="1:19">
      <c r="A378" s="150"/>
      <c r="B378" s="54"/>
      <c r="C378" s="21">
        <f t="shared" si="56"/>
        <v>1</v>
      </c>
      <c r="D378" s="667"/>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0</v>
      </c>
      <c r="R378" s="663">
        <f t="shared" si="64"/>
        <v>0</v>
      </c>
      <c r="S378" s="316">
        <f t="shared" si="55"/>
        <v>0</v>
      </c>
    </row>
    <row r="379" spans="1:19">
      <c r="A379" s="150"/>
      <c r="B379" s="54"/>
      <c r="C379" s="21">
        <f t="shared" si="56"/>
        <v>1</v>
      </c>
      <c r="D379" s="667"/>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0</v>
      </c>
      <c r="R379" s="663">
        <f t="shared" si="64"/>
        <v>0</v>
      </c>
      <c r="S379" s="316">
        <f t="shared" si="55"/>
        <v>0</v>
      </c>
    </row>
    <row r="380" spans="1:19">
      <c r="A380" s="150"/>
      <c r="B380" s="54"/>
      <c r="C380" s="21">
        <f t="shared" si="56"/>
        <v>1</v>
      </c>
      <c r="D380" s="667"/>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0</v>
      </c>
      <c r="R380" s="663">
        <f t="shared" si="64"/>
        <v>0</v>
      </c>
      <c r="S380" s="316">
        <f t="shared" si="55"/>
        <v>0</v>
      </c>
    </row>
    <row r="381" spans="1:19">
      <c r="A381" s="150"/>
      <c r="B381" s="54"/>
      <c r="C381" s="21">
        <f t="shared" si="56"/>
        <v>1</v>
      </c>
      <c r="D381" s="667"/>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0</v>
      </c>
      <c r="R381" s="663">
        <f t="shared" si="64"/>
        <v>0</v>
      </c>
      <c r="S381" s="316">
        <f t="shared" si="55"/>
        <v>0</v>
      </c>
    </row>
    <row r="382" spans="1:19">
      <c r="A382" s="150"/>
      <c r="B382" s="54"/>
      <c r="C382" s="21">
        <f t="shared" si="56"/>
        <v>1</v>
      </c>
      <c r="D382" s="667"/>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0</v>
      </c>
      <c r="R382" s="663">
        <f t="shared" si="64"/>
        <v>0</v>
      </c>
      <c r="S382" s="316">
        <f t="shared" si="55"/>
        <v>0</v>
      </c>
    </row>
    <row r="383" spans="1:19">
      <c r="A383" s="150"/>
      <c r="B383" s="54"/>
      <c r="C383" s="21">
        <f t="shared" si="56"/>
        <v>1</v>
      </c>
      <c r="D383" s="667"/>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0</v>
      </c>
      <c r="R383" s="663">
        <f t="shared" si="64"/>
        <v>0</v>
      </c>
      <c r="S383" s="316">
        <f t="shared" si="55"/>
        <v>0</v>
      </c>
    </row>
    <row r="384" spans="1:19">
      <c r="A384" s="150"/>
      <c r="B384" s="54"/>
      <c r="C384" s="21">
        <f t="shared" si="56"/>
        <v>1</v>
      </c>
      <c r="D384" s="667"/>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0</v>
      </c>
      <c r="R384" s="663">
        <f t="shared" si="64"/>
        <v>0</v>
      </c>
      <c r="S384" s="316">
        <f t="shared" si="55"/>
        <v>0</v>
      </c>
    </row>
    <row r="385" spans="1:19">
      <c r="A385" s="150"/>
      <c r="B385" s="54"/>
      <c r="C385" s="21">
        <f t="shared" si="56"/>
        <v>1</v>
      </c>
      <c r="D385" s="667"/>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0</v>
      </c>
      <c r="R385" s="663">
        <f t="shared" si="64"/>
        <v>0</v>
      </c>
      <c r="S385" s="316">
        <f t="shared" si="55"/>
        <v>0</v>
      </c>
    </row>
    <row r="386" spans="1:19">
      <c r="A386" s="150"/>
      <c r="B386" s="54"/>
      <c r="C386" s="21">
        <f t="shared" si="56"/>
        <v>1</v>
      </c>
      <c r="D386" s="667"/>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0</v>
      </c>
      <c r="R386" s="663">
        <f t="shared" si="64"/>
        <v>0</v>
      </c>
      <c r="S386" s="316">
        <f t="shared" si="55"/>
        <v>0</v>
      </c>
    </row>
    <row r="387" spans="1:19">
      <c r="A387" s="150"/>
      <c r="B387" s="54"/>
      <c r="C387" s="21">
        <f t="shared" si="56"/>
        <v>1</v>
      </c>
      <c r="D387" s="667"/>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0</v>
      </c>
      <c r="R387" s="663">
        <f t="shared" si="64"/>
        <v>0</v>
      </c>
      <c r="S387" s="316">
        <f t="shared" si="55"/>
        <v>0</v>
      </c>
    </row>
    <row r="388" spans="1:19">
      <c r="A388" s="150"/>
      <c r="B388" s="54"/>
      <c r="C388" s="21">
        <f t="shared" si="56"/>
        <v>1</v>
      </c>
      <c r="D388" s="667"/>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0</v>
      </c>
      <c r="R388" s="663">
        <f t="shared" si="64"/>
        <v>0</v>
      </c>
      <c r="S388" s="316">
        <f t="shared" si="55"/>
        <v>0</v>
      </c>
    </row>
    <row r="389" spans="1:19">
      <c r="A389" s="150"/>
      <c r="B389" s="54"/>
      <c r="C389" s="21">
        <f t="shared" si="56"/>
        <v>1</v>
      </c>
      <c r="D389" s="667"/>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0</v>
      </c>
      <c r="R389" s="663">
        <f t="shared" si="64"/>
        <v>0</v>
      </c>
      <c r="S389" s="316">
        <f t="shared" si="55"/>
        <v>0</v>
      </c>
    </row>
    <row r="390" spans="1:19">
      <c r="A390" s="150"/>
      <c r="B390" s="54"/>
      <c r="C390" s="21">
        <f t="shared" si="56"/>
        <v>1</v>
      </c>
      <c r="D390" s="667"/>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0</v>
      </c>
      <c r="R390" s="663">
        <f t="shared" si="64"/>
        <v>0</v>
      </c>
      <c r="S390" s="316">
        <f t="shared" si="55"/>
        <v>0</v>
      </c>
    </row>
    <row r="391" spans="1:19">
      <c r="A391" s="150"/>
      <c r="B391" s="54"/>
      <c r="C391" s="21">
        <f t="shared" si="56"/>
        <v>1</v>
      </c>
      <c r="D391" s="667"/>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0</v>
      </c>
      <c r="R391" s="663">
        <f t="shared" si="64"/>
        <v>0</v>
      </c>
      <c r="S391" s="316">
        <f t="shared" si="55"/>
        <v>0</v>
      </c>
    </row>
    <row r="392" spans="1:19">
      <c r="A392" s="150"/>
      <c r="B392" s="54"/>
      <c r="C392" s="21">
        <f t="shared" si="56"/>
        <v>1</v>
      </c>
      <c r="D392" s="667"/>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0</v>
      </c>
      <c r="R392" s="663">
        <f t="shared" si="64"/>
        <v>0</v>
      </c>
      <c r="S392" s="316">
        <f t="shared" si="55"/>
        <v>0</v>
      </c>
    </row>
    <row r="393" spans="1:19">
      <c r="A393" s="150"/>
      <c r="B393" s="54"/>
      <c r="C393" s="21">
        <f t="shared" si="56"/>
        <v>1</v>
      </c>
      <c r="D393" s="667"/>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0</v>
      </c>
      <c r="R393" s="663">
        <f t="shared" si="64"/>
        <v>0</v>
      </c>
      <c r="S393" s="316">
        <f t="shared" si="55"/>
        <v>0</v>
      </c>
    </row>
    <row r="394" spans="1:19">
      <c r="A394" s="150"/>
      <c r="B394" s="54"/>
      <c r="C394" s="21">
        <f t="shared" si="56"/>
        <v>1</v>
      </c>
      <c r="D394" s="667"/>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0</v>
      </c>
      <c r="R394" s="663">
        <f t="shared" si="64"/>
        <v>0</v>
      </c>
      <c r="S394" s="316">
        <f t="shared" si="55"/>
        <v>0</v>
      </c>
    </row>
    <row r="395" spans="1:19">
      <c r="A395" s="150"/>
      <c r="B395" s="54"/>
      <c r="C395" s="21">
        <f t="shared" si="56"/>
        <v>1</v>
      </c>
      <c r="D395" s="667"/>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0</v>
      </c>
      <c r="R395" s="663">
        <f t="shared" si="64"/>
        <v>0</v>
      </c>
      <c r="S395" s="316">
        <f t="shared" si="55"/>
        <v>0</v>
      </c>
    </row>
    <row r="396" spans="1:19">
      <c r="A396" s="150"/>
      <c r="B396" s="54"/>
      <c r="C396" s="21">
        <f t="shared" si="56"/>
        <v>1</v>
      </c>
      <c r="D396" s="667"/>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0</v>
      </c>
      <c r="R396" s="663">
        <f t="shared" si="64"/>
        <v>0</v>
      </c>
      <c r="S396" s="316">
        <f t="shared" si="55"/>
        <v>0</v>
      </c>
    </row>
    <row r="397" spans="1:19">
      <c r="A397" s="150"/>
      <c r="B397" s="54"/>
      <c r="C397" s="21">
        <f t="shared" si="56"/>
        <v>1</v>
      </c>
      <c r="D397" s="667"/>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0</v>
      </c>
      <c r="R397" s="663">
        <f t="shared" si="64"/>
        <v>0</v>
      </c>
      <c r="S397" s="316">
        <f t="shared" si="55"/>
        <v>0</v>
      </c>
    </row>
    <row r="398" spans="1:19">
      <c r="A398" s="150"/>
      <c r="B398" s="54"/>
      <c r="C398" s="21">
        <f t="shared" si="56"/>
        <v>1</v>
      </c>
      <c r="D398" s="667"/>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0</v>
      </c>
      <c r="R398" s="663">
        <f t="shared" si="64"/>
        <v>0</v>
      </c>
      <c r="S398" s="316">
        <f t="shared" si="55"/>
        <v>0</v>
      </c>
    </row>
    <row r="399" spans="1:19">
      <c r="A399" s="150"/>
      <c r="B399" s="54"/>
      <c r="C399" s="21">
        <f t="shared" si="56"/>
        <v>1</v>
      </c>
      <c r="D399" s="667"/>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0</v>
      </c>
      <c r="R399" s="663">
        <f t="shared" si="64"/>
        <v>0</v>
      </c>
      <c r="S399" s="316">
        <f t="shared" si="55"/>
        <v>0</v>
      </c>
    </row>
    <row r="400" spans="1:19">
      <c r="A400" s="150"/>
      <c r="B400" s="54"/>
      <c r="C400" s="21">
        <f t="shared" si="56"/>
        <v>1</v>
      </c>
      <c r="D400" s="667"/>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0</v>
      </c>
      <c r="R400" s="663">
        <f t="shared" si="64"/>
        <v>0</v>
      </c>
      <c r="S400" s="316">
        <f t="shared" si="55"/>
        <v>0</v>
      </c>
    </row>
    <row r="401" spans="1:19">
      <c r="A401" s="150"/>
      <c r="B401" s="54"/>
      <c r="C401" s="21">
        <f t="shared" si="56"/>
        <v>1</v>
      </c>
      <c r="D401" s="667"/>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0</v>
      </c>
      <c r="R401" s="663">
        <f t="shared" si="64"/>
        <v>0</v>
      </c>
      <c r="S401" s="316">
        <f t="shared" si="55"/>
        <v>0</v>
      </c>
    </row>
    <row r="402" spans="1:19">
      <c r="A402" s="150"/>
      <c r="B402" s="54"/>
      <c r="C402" s="21">
        <f t="shared" si="56"/>
        <v>1</v>
      </c>
      <c r="D402" s="667"/>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0</v>
      </c>
      <c r="R402" s="663">
        <f t="shared" si="64"/>
        <v>0</v>
      </c>
      <c r="S402" s="316">
        <f t="shared" si="55"/>
        <v>0</v>
      </c>
    </row>
    <row r="403" spans="1:19">
      <c r="A403" s="150"/>
      <c r="B403" s="54"/>
      <c r="C403" s="21">
        <f t="shared" si="56"/>
        <v>1</v>
      </c>
      <c r="D403" s="667"/>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0</v>
      </c>
      <c r="R403" s="663">
        <f t="shared" si="64"/>
        <v>0</v>
      </c>
      <c r="S403" s="316">
        <f t="shared" si="55"/>
        <v>0</v>
      </c>
    </row>
    <row r="404" spans="1:19">
      <c r="A404" s="150"/>
      <c r="B404" s="54"/>
      <c r="C404" s="21">
        <f t="shared" si="56"/>
        <v>1</v>
      </c>
      <c r="D404" s="667"/>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0</v>
      </c>
      <c r="R404" s="663">
        <f t="shared" si="64"/>
        <v>0</v>
      </c>
      <c r="S404" s="316">
        <f t="shared" si="55"/>
        <v>0</v>
      </c>
    </row>
    <row r="405" spans="1:19">
      <c r="A405" s="150"/>
      <c r="B405" s="54"/>
      <c r="C405" s="21">
        <f t="shared" si="56"/>
        <v>1</v>
      </c>
      <c r="D405" s="667"/>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0</v>
      </c>
      <c r="R405" s="663">
        <f t="shared" si="64"/>
        <v>0</v>
      </c>
      <c r="S405" s="316">
        <f t="shared" si="55"/>
        <v>0</v>
      </c>
    </row>
    <row r="406" spans="1:19">
      <c r="A406" s="150"/>
      <c r="B406" s="54"/>
      <c r="C406" s="21">
        <f t="shared" si="56"/>
        <v>1</v>
      </c>
      <c r="D406" s="667"/>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0</v>
      </c>
      <c r="R406" s="663">
        <f t="shared" si="64"/>
        <v>0</v>
      </c>
      <c r="S406" s="316">
        <f t="shared" si="55"/>
        <v>0</v>
      </c>
    </row>
    <row r="407" spans="1:19">
      <c r="A407" s="150"/>
      <c r="B407" s="54"/>
      <c r="C407" s="21">
        <f t="shared" si="56"/>
        <v>1</v>
      </c>
      <c r="D407" s="667"/>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0</v>
      </c>
      <c r="R407" s="663">
        <f t="shared" si="64"/>
        <v>0</v>
      </c>
      <c r="S407" s="316">
        <f t="shared" si="55"/>
        <v>0</v>
      </c>
    </row>
    <row r="408" spans="1:19">
      <c r="A408" s="150"/>
      <c r="B408" s="54"/>
      <c r="C408" s="21">
        <f t="shared" si="56"/>
        <v>1</v>
      </c>
      <c r="D408" s="667"/>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0</v>
      </c>
      <c r="R408" s="663">
        <f t="shared" si="64"/>
        <v>0</v>
      </c>
      <c r="S408" s="316">
        <f t="shared" ref="S408:S471" si="65">ROUND(R408*B408/10000,0)</f>
        <v>0</v>
      </c>
    </row>
    <row r="409" spans="1:19">
      <c r="A409" s="150"/>
      <c r="B409" s="54"/>
      <c r="C409" s="21">
        <f t="shared" si="56"/>
        <v>1</v>
      </c>
      <c r="D409" s="667"/>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0</v>
      </c>
      <c r="R409" s="663">
        <f t="shared" si="64"/>
        <v>0</v>
      </c>
      <c r="S409" s="316">
        <f t="shared" si="65"/>
        <v>0</v>
      </c>
    </row>
    <row r="410" spans="1:19">
      <c r="A410" s="150"/>
      <c r="B410" s="54"/>
      <c r="C410" s="21">
        <f t="shared" ref="C410:C473" si="66">IF(B410="",1,(LOOKUP(B410,$3:$3,$4:$4)-LOOKUP($B$24,$3:$3,$4:$4)+100)/100)</f>
        <v>1</v>
      </c>
      <c r="D410" s="667"/>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0</v>
      </c>
      <c r="R410" s="663">
        <f t="shared" ref="R410:R473" si="74">IF(B410="",0,ROUND($R$24*C410*E410*G410*I410*K410*M410*O410*Q410,0))</f>
        <v>0</v>
      </c>
      <c r="S410" s="316">
        <f t="shared" si="65"/>
        <v>0</v>
      </c>
    </row>
    <row r="411" spans="1:19">
      <c r="A411" s="150"/>
      <c r="B411" s="54"/>
      <c r="C411" s="21">
        <f t="shared" si="66"/>
        <v>1</v>
      </c>
      <c r="D411" s="667"/>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0</v>
      </c>
      <c r="R411" s="663">
        <f t="shared" si="74"/>
        <v>0</v>
      </c>
      <c r="S411" s="316">
        <f t="shared" si="65"/>
        <v>0</v>
      </c>
    </row>
    <row r="412" spans="1:19">
      <c r="A412" s="150"/>
      <c r="B412" s="54"/>
      <c r="C412" s="21">
        <f t="shared" si="66"/>
        <v>1</v>
      </c>
      <c r="D412" s="667"/>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0</v>
      </c>
      <c r="R412" s="663">
        <f t="shared" si="74"/>
        <v>0</v>
      </c>
      <c r="S412" s="316">
        <f t="shared" si="65"/>
        <v>0</v>
      </c>
    </row>
    <row r="413" spans="1:19">
      <c r="A413" s="150"/>
      <c r="B413" s="54"/>
      <c r="C413" s="21">
        <f t="shared" si="66"/>
        <v>1</v>
      </c>
      <c r="D413" s="667"/>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0</v>
      </c>
      <c r="R413" s="663">
        <f t="shared" si="74"/>
        <v>0</v>
      </c>
      <c r="S413" s="316">
        <f t="shared" si="65"/>
        <v>0</v>
      </c>
    </row>
    <row r="414" spans="1:19">
      <c r="A414" s="150"/>
      <c r="B414" s="54"/>
      <c r="C414" s="21">
        <f t="shared" si="66"/>
        <v>1</v>
      </c>
      <c r="D414" s="667"/>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0</v>
      </c>
      <c r="R414" s="663">
        <f t="shared" si="74"/>
        <v>0</v>
      </c>
      <c r="S414" s="316">
        <f t="shared" si="65"/>
        <v>0</v>
      </c>
    </row>
    <row r="415" spans="1:19">
      <c r="A415" s="150"/>
      <c r="B415" s="54"/>
      <c r="C415" s="21">
        <f t="shared" si="66"/>
        <v>1</v>
      </c>
      <c r="D415" s="667"/>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0</v>
      </c>
      <c r="R415" s="663">
        <f t="shared" si="74"/>
        <v>0</v>
      </c>
      <c r="S415" s="316">
        <f t="shared" si="65"/>
        <v>0</v>
      </c>
    </row>
    <row r="416" spans="1:19">
      <c r="A416" s="150"/>
      <c r="B416" s="54"/>
      <c r="C416" s="21">
        <f t="shared" si="66"/>
        <v>1</v>
      </c>
      <c r="D416" s="667"/>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0</v>
      </c>
      <c r="R416" s="663">
        <f t="shared" si="74"/>
        <v>0</v>
      </c>
      <c r="S416" s="316">
        <f t="shared" si="65"/>
        <v>0</v>
      </c>
    </row>
    <row r="417" spans="1:19">
      <c r="A417" s="150"/>
      <c r="B417" s="54"/>
      <c r="C417" s="21">
        <f t="shared" si="66"/>
        <v>1</v>
      </c>
      <c r="D417" s="667"/>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0</v>
      </c>
      <c r="R417" s="663">
        <f t="shared" si="74"/>
        <v>0</v>
      </c>
      <c r="S417" s="316">
        <f t="shared" si="65"/>
        <v>0</v>
      </c>
    </row>
    <row r="418" spans="1:19">
      <c r="A418" s="150"/>
      <c r="B418" s="54"/>
      <c r="C418" s="21">
        <f t="shared" si="66"/>
        <v>1</v>
      </c>
      <c r="D418" s="667"/>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0</v>
      </c>
      <c r="R418" s="663">
        <f t="shared" si="74"/>
        <v>0</v>
      </c>
      <c r="S418" s="316">
        <f t="shared" si="65"/>
        <v>0</v>
      </c>
    </row>
    <row r="419" spans="1:19">
      <c r="A419" s="150"/>
      <c r="B419" s="54"/>
      <c r="C419" s="21">
        <f t="shared" si="66"/>
        <v>1</v>
      </c>
      <c r="D419" s="667"/>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0</v>
      </c>
      <c r="R419" s="663">
        <f t="shared" si="74"/>
        <v>0</v>
      </c>
      <c r="S419" s="316">
        <f t="shared" si="65"/>
        <v>0</v>
      </c>
    </row>
    <row r="420" spans="1:19">
      <c r="A420" s="150"/>
      <c r="B420" s="54"/>
      <c r="C420" s="21">
        <f t="shared" si="66"/>
        <v>1</v>
      </c>
      <c r="D420" s="667"/>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0</v>
      </c>
      <c r="R420" s="663">
        <f t="shared" si="74"/>
        <v>0</v>
      </c>
      <c r="S420" s="316">
        <f t="shared" si="65"/>
        <v>0</v>
      </c>
    </row>
    <row r="421" spans="1:19">
      <c r="A421" s="150"/>
      <c r="B421" s="54"/>
      <c r="C421" s="21">
        <f t="shared" si="66"/>
        <v>1</v>
      </c>
      <c r="D421" s="667"/>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0</v>
      </c>
      <c r="R421" s="663">
        <f t="shared" si="74"/>
        <v>0</v>
      </c>
      <c r="S421" s="316">
        <f t="shared" si="65"/>
        <v>0</v>
      </c>
    </row>
    <row r="422" spans="1:19">
      <c r="A422" s="150"/>
      <c r="B422" s="54"/>
      <c r="C422" s="21">
        <f t="shared" si="66"/>
        <v>1</v>
      </c>
      <c r="D422" s="667"/>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0</v>
      </c>
      <c r="R422" s="663">
        <f t="shared" si="74"/>
        <v>0</v>
      </c>
      <c r="S422" s="316">
        <f t="shared" si="65"/>
        <v>0</v>
      </c>
    </row>
    <row r="423" spans="1:19">
      <c r="A423" s="150"/>
      <c r="B423" s="54"/>
      <c r="C423" s="21">
        <f t="shared" si="66"/>
        <v>1</v>
      </c>
      <c r="D423" s="667"/>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0</v>
      </c>
      <c r="R423" s="663">
        <f t="shared" si="74"/>
        <v>0</v>
      </c>
      <c r="S423" s="316">
        <f t="shared" si="65"/>
        <v>0</v>
      </c>
    </row>
    <row r="424" spans="1:19">
      <c r="A424" s="150"/>
      <c r="B424" s="54"/>
      <c r="C424" s="21">
        <f t="shared" si="66"/>
        <v>1</v>
      </c>
      <c r="D424" s="667"/>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0</v>
      </c>
      <c r="R424" s="663">
        <f t="shared" si="74"/>
        <v>0</v>
      </c>
      <c r="S424" s="316">
        <f t="shared" si="65"/>
        <v>0</v>
      </c>
    </row>
    <row r="425" spans="1:19">
      <c r="A425" s="150"/>
      <c r="B425" s="54"/>
      <c r="C425" s="21">
        <f t="shared" si="66"/>
        <v>1</v>
      </c>
      <c r="D425" s="667"/>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0</v>
      </c>
      <c r="R425" s="663">
        <f t="shared" si="74"/>
        <v>0</v>
      </c>
      <c r="S425" s="316">
        <f t="shared" si="65"/>
        <v>0</v>
      </c>
    </row>
    <row r="426" spans="1:19">
      <c r="A426" s="150"/>
      <c r="B426" s="54"/>
      <c r="C426" s="21">
        <f t="shared" si="66"/>
        <v>1</v>
      </c>
      <c r="D426" s="667"/>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0</v>
      </c>
      <c r="R426" s="663">
        <f t="shared" si="74"/>
        <v>0</v>
      </c>
      <c r="S426" s="316">
        <f t="shared" si="65"/>
        <v>0</v>
      </c>
    </row>
    <row r="427" spans="1:19">
      <c r="A427" s="150"/>
      <c r="B427" s="54"/>
      <c r="C427" s="21">
        <f t="shared" si="66"/>
        <v>1</v>
      </c>
      <c r="D427" s="667"/>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0</v>
      </c>
      <c r="R427" s="663">
        <f t="shared" si="74"/>
        <v>0</v>
      </c>
      <c r="S427" s="316">
        <f t="shared" si="65"/>
        <v>0</v>
      </c>
    </row>
    <row r="428" spans="1:19">
      <c r="A428" s="150"/>
      <c r="B428" s="54"/>
      <c r="C428" s="21">
        <f t="shared" si="66"/>
        <v>1</v>
      </c>
      <c r="D428" s="667"/>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0</v>
      </c>
      <c r="R428" s="663">
        <f t="shared" si="74"/>
        <v>0</v>
      </c>
      <c r="S428" s="316">
        <f t="shared" si="65"/>
        <v>0</v>
      </c>
    </row>
    <row r="429" spans="1:19">
      <c r="A429" s="150"/>
      <c r="B429" s="54"/>
      <c r="C429" s="21">
        <f t="shared" si="66"/>
        <v>1</v>
      </c>
      <c r="D429" s="667"/>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0</v>
      </c>
      <c r="R429" s="663">
        <f t="shared" si="74"/>
        <v>0</v>
      </c>
      <c r="S429" s="316">
        <f t="shared" si="65"/>
        <v>0</v>
      </c>
    </row>
    <row r="430" spans="1:19">
      <c r="A430" s="150"/>
      <c r="B430" s="54"/>
      <c r="C430" s="21">
        <f t="shared" si="66"/>
        <v>1</v>
      </c>
      <c r="D430" s="667"/>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0</v>
      </c>
      <c r="R430" s="663">
        <f t="shared" si="74"/>
        <v>0</v>
      </c>
      <c r="S430" s="316">
        <f t="shared" si="65"/>
        <v>0</v>
      </c>
    </row>
    <row r="431" spans="1:19">
      <c r="A431" s="150"/>
      <c r="B431" s="54"/>
      <c r="C431" s="21">
        <f t="shared" si="66"/>
        <v>1</v>
      </c>
      <c r="D431" s="667"/>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0</v>
      </c>
      <c r="R431" s="663">
        <f t="shared" si="74"/>
        <v>0</v>
      </c>
      <c r="S431" s="316">
        <f t="shared" si="65"/>
        <v>0</v>
      </c>
    </row>
    <row r="432" spans="1:19">
      <c r="A432" s="150"/>
      <c r="B432" s="54"/>
      <c r="C432" s="21">
        <f t="shared" si="66"/>
        <v>1</v>
      </c>
      <c r="D432" s="667"/>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0</v>
      </c>
      <c r="R432" s="663">
        <f t="shared" si="74"/>
        <v>0</v>
      </c>
      <c r="S432" s="316">
        <f t="shared" si="65"/>
        <v>0</v>
      </c>
    </row>
    <row r="433" spans="1:19">
      <c r="A433" s="150"/>
      <c r="B433" s="54"/>
      <c r="C433" s="21">
        <f t="shared" si="66"/>
        <v>1</v>
      </c>
      <c r="D433" s="667"/>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0</v>
      </c>
      <c r="R433" s="663">
        <f t="shared" si="74"/>
        <v>0</v>
      </c>
      <c r="S433" s="316">
        <f t="shared" si="65"/>
        <v>0</v>
      </c>
    </row>
    <row r="434" spans="1:19">
      <c r="A434" s="150"/>
      <c r="B434" s="54"/>
      <c r="C434" s="21">
        <f t="shared" si="66"/>
        <v>1</v>
      </c>
      <c r="D434" s="667"/>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0</v>
      </c>
      <c r="R434" s="663">
        <f t="shared" si="74"/>
        <v>0</v>
      </c>
      <c r="S434" s="316">
        <f t="shared" si="65"/>
        <v>0</v>
      </c>
    </row>
    <row r="435" spans="1:19">
      <c r="A435" s="150"/>
      <c r="B435" s="54"/>
      <c r="C435" s="21">
        <f t="shared" si="66"/>
        <v>1</v>
      </c>
      <c r="D435" s="667"/>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0</v>
      </c>
      <c r="R435" s="663">
        <f t="shared" si="74"/>
        <v>0</v>
      </c>
      <c r="S435" s="316">
        <f t="shared" si="65"/>
        <v>0</v>
      </c>
    </row>
    <row r="436" spans="1:19">
      <c r="A436" s="150"/>
      <c r="B436" s="54"/>
      <c r="C436" s="21">
        <f t="shared" si="66"/>
        <v>1</v>
      </c>
      <c r="D436" s="667"/>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0</v>
      </c>
      <c r="R436" s="663">
        <f t="shared" si="74"/>
        <v>0</v>
      </c>
      <c r="S436" s="316">
        <f t="shared" si="65"/>
        <v>0</v>
      </c>
    </row>
    <row r="437" spans="1:19">
      <c r="A437" s="150"/>
      <c r="B437" s="54"/>
      <c r="C437" s="21">
        <f t="shared" si="66"/>
        <v>1</v>
      </c>
      <c r="D437" s="667"/>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0</v>
      </c>
      <c r="R437" s="663">
        <f t="shared" si="74"/>
        <v>0</v>
      </c>
      <c r="S437" s="316">
        <f t="shared" si="65"/>
        <v>0</v>
      </c>
    </row>
    <row r="438" spans="1:19">
      <c r="A438" s="150"/>
      <c r="B438" s="54"/>
      <c r="C438" s="21">
        <f t="shared" si="66"/>
        <v>1</v>
      </c>
      <c r="D438" s="667"/>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0</v>
      </c>
      <c r="R438" s="663">
        <f t="shared" si="74"/>
        <v>0</v>
      </c>
      <c r="S438" s="316">
        <f t="shared" si="65"/>
        <v>0</v>
      </c>
    </row>
    <row r="439" spans="1:19">
      <c r="A439" s="150"/>
      <c r="B439" s="54"/>
      <c r="C439" s="21">
        <f t="shared" si="66"/>
        <v>1</v>
      </c>
      <c r="D439" s="667"/>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0</v>
      </c>
      <c r="R439" s="663">
        <f t="shared" si="74"/>
        <v>0</v>
      </c>
      <c r="S439" s="316">
        <f t="shared" si="65"/>
        <v>0</v>
      </c>
    </row>
    <row r="440" spans="1:19">
      <c r="A440" s="150"/>
      <c r="B440" s="54"/>
      <c r="C440" s="21">
        <f t="shared" si="66"/>
        <v>1</v>
      </c>
      <c r="D440" s="667"/>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0</v>
      </c>
      <c r="R440" s="663">
        <f t="shared" si="74"/>
        <v>0</v>
      </c>
      <c r="S440" s="316">
        <f t="shared" si="65"/>
        <v>0</v>
      </c>
    </row>
    <row r="441" spans="1:19">
      <c r="A441" s="150"/>
      <c r="B441" s="54"/>
      <c r="C441" s="21">
        <f t="shared" si="66"/>
        <v>1</v>
      </c>
      <c r="D441" s="667"/>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0</v>
      </c>
      <c r="R441" s="663">
        <f t="shared" si="74"/>
        <v>0</v>
      </c>
      <c r="S441" s="316">
        <f t="shared" si="65"/>
        <v>0</v>
      </c>
    </row>
    <row r="442" spans="1:19">
      <c r="A442" s="150"/>
      <c r="B442" s="54"/>
      <c r="C442" s="21">
        <f t="shared" si="66"/>
        <v>1</v>
      </c>
      <c r="D442" s="667"/>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0</v>
      </c>
      <c r="R442" s="663">
        <f t="shared" si="74"/>
        <v>0</v>
      </c>
      <c r="S442" s="316">
        <f t="shared" si="65"/>
        <v>0</v>
      </c>
    </row>
    <row r="443" spans="1:19">
      <c r="A443" s="150"/>
      <c r="B443" s="54"/>
      <c r="C443" s="21">
        <f t="shared" si="66"/>
        <v>1</v>
      </c>
      <c r="D443" s="667"/>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0</v>
      </c>
      <c r="R443" s="663">
        <f t="shared" si="74"/>
        <v>0</v>
      </c>
      <c r="S443" s="316">
        <f t="shared" si="65"/>
        <v>0</v>
      </c>
    </row>
    <row r="444" spans="1:19">
      <c r="A444" s="150"/>
      <c r="B444" s="54"/>
      <c r="C444" s="21">
        <f t="shared" si="66"/>
        <v>1</v>
      </c>
      <c r="D444" s="667"/>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0</v>
      </c>
      <c r="R444" s="663">
        <f t="shared" si="74"/>
        <v>0</v>
      </c>
      <c r="S444" s="316">
        <f t="shared" si="65"/>
        <v>0</v>
      </c>
    </row>
    <row r="445" spans="1:19">
      <c r="A445" s="150"/>
      <c r="B445" s="54"/>
      <c r="C445" s="21">
        <f t="shared" si="66"/>
        <v>1</v>
      </c>
      <c r="D445" s="667"/>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0</v>
      </c>
      <c r="R445" s="663">
        <f t="shared" si="74"/>
        <v>0</v>
      </c>
      <c r="S445" s="316">
        <f t="shared" si="65"/>
        <v>0</v>
      </c>
    </row>
    <row r="446" spans="1:19">
      <c r="A446" s="150"/>
      <c r="B446" s="54"/>
      <c r="C446" s="21">
        <f t="shared" si="66"/>
        <v>1</v>
      </c>
      <c r="D446" s="667"/>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0</v>
      </c>
      <c r="R446" s="663">
        <f t="shared" si="74"/>
        <v>0</v>
      </c>
      <c r="S446" s="316">
        <f t="shared" si="65"/>
        <v>0</v>
      </c>
    </row>
    <row r="447" spans="1:19">
      <c r="A447" s="150"/>
      <c r="B447" s="54"/>
      <c r="C447" s="21">
        <f t="shared" si="66"/>
        <v>1</v>
      </c>
      <c r="D447" s="667"/>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0</v>
      </c>
      <c r="R447" s="663">
        <f t="shared" si="74"/>
        <v>0</v>
      </c>
      <c r="S447" s="316">
        <f t="shared" si="65"/>
        <v>0</v>
      </c>
    </row>
    <row r="448" spans="1:19">
      <c r="A448" s="150"/>
      <c r="B448" s="54"/>
      <c r="C448" s="21">
        <f t="shared" si="66"/>
        <v>1</v>
      </c>
      <c r="D448" s="667"/>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0</v>
      </c>
      <c r="R448" s="663">
        <f t="shared" si="74"/>
        <v>0</v>
      </c>
      <c r="S448" s="316">
        <f t="shared" si="65"/>
        <v>0</v>
      </c>
    </row>
    <row r="449" spans="1:19">
      <c r="A449" s="150"/>
      <c r="B449" s="54"/>
      <c r="C449" s="21">
        <f t="shared" si="66"/>
        <v>1</v>
      </c>
      <c r="D449" s="667"/>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0</v>
      </c>
      <c r="R449" s="663">
        <f t="shared" si="74"/>
        <v>0</v>
      </c>
      <c r="S449" s="316">
        <f t="shared" si="65"/>
        <v>0</v>
      </c>
    </row>
    <row r="450" spans="1:19">
      <c r="A450" s="150"/>
      <c r="B450" s="54"/>
      <c r="C450" s="21">
        <f t="shared" si="66"/>
        <v>1</v>
      </c>
      <c r="D450" s="667"/>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0</v>
      </c>
      <c r="R450" s="663">
        <f t="shared" si="74"/>
        <v>0</v>
      </c>
      <c r="S450" s="316">
        <f t="shared" si="65"/>
        <v>0</v>
      </c>
    </row>
    <row r="451" spans="1:19">
      <c r="A451" s="150"/>
      <c r="B451" s="54"/>
      <c r="C451" s="21">
        <f t="shared" si="66"/>
        <v>1</v>
      </c>
      <c r="D451" s="667"/>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0</v>
      </c>
      <c r="R451" s="663">
        <f t="shared" si="74"/>
        <v>0</v>
      </c>
      <c r="S451" s="316">
        <f t="shared" si="65"/>
        <v>0</v>
      </c>
    </row>
    <row r="452" spans="1:19">
      <c r="A452" s="150"/>
      <c r="B452" s="54"/>
      <c r="C452" s="21">
        <f t="shared" si="66"/>
        <v>1</v>
      </c>
      <c r="D452" s="667"/>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0</v>
      </c>
      <c r="R452" s="663">
        <f t="shared" si="74"/>
        <v>0</v>
      </c>
      <c r="S452" s="316">
        <f t="shared" si="65"/>
        <v>0</v>
      </c>
    </row>
    <row r="453" spans="1:19">
      <c r="A453" s="150"/>
      <c r="B453" s="54"/>
      <c r="C453" s="21">
        <f t="shared" si="66"/>
        <v>1</v>
      </c>
      <c r="D453" s="667"/>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0</v>
      </c>
      <c r="R453" s="663">
        <f t="shared" si="74"/>
        <v>0</v>
      </c>
      <c r="S453" s="316">
        <f t="shared" si="65"/>
        <v>0</v>
      </c>
    </row>
    <row r="454" spans="1:19">
      <c r="A454" s="150"/>
      <c r="B454" s="54"/>
      <c r="C454" s="21">
        <f t="shared" si="66"/>
        <v>1</v>
      </c>
      <c r="D454" s="667"/>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0</v>
      </c>
      <c r="R454" s="663">
        <f t="shared" si="74"/>
        <v>0</v>
      </c>
      <c r="S454" s="316">
        <f t="shared" si="65"/>
        <v>0</v>
      </c>
    </row>
    <row r="455" spans="1:19">
      <c r="A455" s="150"/>
      <c r="B455" s="54"/>
      <c r="C455" s="21">
        <f t="shared" si="66"/>
        <v>1</v>
      </c>
      <c r="D455" s="667"/>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0</v>
      </c>
      <c r="R455" s="663">
        <f t="shared" si="74"/>
        <v>0</v>
      </c>
      <c r="S455" s="316">
        <f t="shared" si="65"/>
        <v>0</v>
      </c>
    </row>
    <row r="456" spans="1:19">
      <c r="A456" s="150"/>
      <c r="B456" s="54"/>
      <c r="C456" s="21">
        <f t="shared" si="66"/>
        <v>1</v>
      </c>
      <c r="D456" s="667"/>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0</v>
      </c>
      <c r="R456" s="663">
        <f t="shared" si="74"/>
        <v>0</v>
      </c>
      <c r="S456" s="316">
        <f t="shared" si="65"/>
        <v>0</v>
      </c>
    </row>
    <row r="457" spans="1:19">
      <c r="A457" s="150"/>
      <c r="B457" s="54"/>
      <c r="C457" s="21">
        <f t="shared" si="66"/>
        <v>1</v>
      </c>
      <c r="D457" s="667"/>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0</v>
      </c>
      <c r="R457" s="663">
        <f t="shared" si="74"/>
        <v>0</v>
      </c>
      <c r="S457" s="316">
        <f t="shared" si="65"/>
        <v>0</v>
      </c>
    </row>
    <row r="458" spans="1:19">
      <c r="A458" s="150"/>
      <c r="B458" s="54"/>
      <c r="C458" s="21">
        <f t="shared" si="66"/>
        <v>1</v>
      </c>
      <c r="D458" s="667"/>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0</v>
      </c>
      <c r="R458" s="663">
        <f t="shared" si="74"/>
        <v>0</v>
      </c>
      <c r="S458" s="316">
        <f t="shared" si="65"/>
        <v>0</v>
      </c>
    </row>
    <row r="459" spans="1:19">
      <c r="A459" s="150"/>
      <c r="B459" s="54"/>
      <c r="C459" s="21">
        <f t="shared" si="66"/>
        <v>1</v>
      </c>
      <c r="D459" s="667"/>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0</v>
      </c>
      <c r="R459" s="663">
        <f t="shared" si="74"/>
        <v>0</v>
      </c>
      <c r="S459" s="316">
        <f t="shared" si="65"/>
        <v>0</v>
      </c>
    </row>
    <row r="460" spans="1:19">
      <c r="A460" s="150"/>
      <c r="B460" s="54"/>
      <c r="C460" s="21">
        <f t="shared" si="66"/>
        <v>1</v>
      </c>
      <c r="D460" s="667"/>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0</v>
      </c>
      <c r="R460" s="663">
        <f t="shared" si="74"/>
        <v>0</v>
      </c>
      <c r="S460" s="316">
        <f t="shared" si="65"/>
        <v>0</v>
      </c>
    </row>
    <row r="461" spans="1:19">
      <c r="A461" s="150"/>
      <c r="B461" s="54"/>
      <c r="C461" s="21">
        <f t="shared" si="66"/>
        <v>1</v>
      </c>
      <c r="D461" s="667"/>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0</v>
      </c>
      <c r="R461" s="663">
        <f t="shared" si="74"/>
        <v>0</v>
      </c>
      <c r="S461" s="316">
        <f t="shared" si="65"/>
        <v>0</v>
      </c>
    </row>
    <row r="462" spans="1:19">
      <c r="A462" s="150"/>
      <c r="B462" s="54"/>
      <c r="C462" s="21">
        <f t="shared" si="66"/>
        <v>1</v>
      </c>
      <c r="D462" s="667"/>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0</v>
      </c>
      <c r="R462" s="663">
        <f t="shared" si="74"/>
        <v>0</v>
      </c>
      <c r="S462" s="316">
        <f t="shared" si="65"/>
        <v>0</v>
      </c>
    </row>
    <row r="463" spans="1:19">
      <c r="A463" s="150"/>
      <c r="B463" s="54"/>
      <c r="C463" s="21">
        <f t="shared" si="66"/>
        <v>1</v>
      </c>
      <c r="D463" s="667"/>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0</v>
      </c>
      <c r="R463" s="663">
        <f t="shared" si="74"/>
        <v>0</v>
      </c>
      <c r="S463" s="316">
        <f t="shared" si="65"/>
        <v>0</v>
      </c>
    </row>
    <row r="464" spans="1:19">
      <c r="A464" s="150"/>
      <c r="B464" s="54"/>
      <c r="C464" s="21">
        <f t="shared" si="66"/>
        <v>1</v>
      </c>
      <c r="D464" s="667"/>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0</v>
      </c>
      <c r="R464" s="663">
        <f t="shared" si="74"/>
        <v>0</v>
      </c>
      <c r="S464" s="316">
        <f t="shared" si="65"/>
        <v>0</v>
      </c>
    </row>
    <row r="465" spans="1:19">
      <c r="A465" s="150"/>
      <c r="B465" s="54"/>
      <c r="C465" s="21">
        <f t="shared" si="66"/>
        <v>1</v>
      </c>
      <c r="D465" s="667"/>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0</v>
      </c>
      <c r="R465" s="663">
        <f t="shared" si="74"/>
        <v>0</v>
      </c>
      <c r="S465" s="316">
        <f t="shared" si="65"/>
        <v>0</v>
      </c>
    </row>
    <row r="466" spans="1:19">
      <c r="A466" s="150"/>
      <c r="B466" s="54"/>
      <c r="C466" s="21">
        <f t="shared" si="66"/>
        <v>1</v>
      </c>
      <c r="D466" s="667"/>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0</v>
      </c>
      <c r="R466" s="663">
        <f t="shared" si="74"/>
        <v>0</v>
      </c>
      <c r="S466" s="316">
        <f t="shared" si="65"/>
        <v>0</v>
      </c>
    </row>
    <row r="467" spans="1:19">
      <c r="A467" s="150"/>
      <c r="B467" s="54"/>
      <c r="C467" s="21">
        <f t="shared" si="66"/>
        <v>1</v>
      </c>
      <c r="D467" s="667"/>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0</v>
      </c>
      <c r="R467" s="663">
        <f t="shared" si="74"/>
        <v>0</v>
      </c>
      <c r="S467" s="316">
        <f t="shared" si="65"/>
        <v>0</v>
      </c>
    </row>
    <row r="468" spans="1:19">
      <c r="A468" s="150"/>
      <c r="B468" s="54"/>
      <c r="C468" s="21">
        <f t="shared" si="66"/>
        <v>1</v>
      </c>
      <c r="D468" s="667"/>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0</v>
      </c>
      <c r="R468" s="663">
        <f t="shared" si="74"/>
        <v>0</v>
      </c>
      <c r="S468" s="316">
        <f t="shared" si="65"/>
        <v>0</v>
      </c>
    </row>
    <row r="469" spans="1:19">
      <c r="A469" s="150"/>
      <c r="B469" s="54"/>
      <c r="C469" s="21">
        <f t="shared" si="66"/>
        <v>1</v>
      </c>
      <c r="D469" s="667"/>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0</v>
      </c>
      <c r="R469" s="663">
        <f t="shared" si="74"/>
        <v>0</v>
      </c>
      <c r="S469" s="316">
        <f t="shared" si="65"/>
        <v>0</v>
      </c>
    </row>
    <row r="470" spans="1:19">
      <c r="A470" s="150"/>
      <c r="B470" s="54"/>
      <c r="C470" s="21">
        <f t="shared" si="66"/>
        <v>1</v>
      </c>
      <c r="D470" s="667"/>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0</v>
      </c>
      <c r="R470" s="663">
        <f t="shared" si="74"/>
        <v>0</v>
      </c>
      <c r="S470" s="316">
        <f t="shared" si="65"/>
        <v>0</v>
      </c>
    </row>
    <row r="471" spans="1:19">
      <c r="A471" s="150"/>
      <c r="B471" s="54"/>
      <c r="C471" s="21">
        <f t="shared" si="66"/>
        <v>1</v>
      </c>
      <c r="D471" s="667"/>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0</v>
      </c>
      <c r="R471" s="663">
        <f t="shared" si="74"/>
        <v>0</v>
      </c>
      <c r="S471" s="316">
        <f t="shared" si="65"/>
        <v>0</v>
      </c>
    </row>
    <row r="472" spans="1:19">
      <c r="A472" s="150"/>
      <c r="B472" s="54"/>
      <c r="C472" s="21">
        <f t="shared" si="66"/>
        <v>1</v>
      </c>
      <c r="D472" s="667"/>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0</v>
      </c>
      <c r="R472" s="663">
        <f t="shared" si="74"/>
        <v>0</v>
      </c>
      <c r="S472" s="316">
        <f t="shared" ref="S472:S524" si="75">ROUND(R472*B472/10000,0)</f>
        <v>0</v>
      </c>
    </row>
    <row r="473" spans="1:19">
      <c r="A473" s="150"/>
      <c r="B473" s="54"/>
      <c r="C473" s="21">
        <f t="shared" si="66"/>
        <v>1</v>
      </c>
      <c r="D473" s="667"/>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0</v>
      </c>
      <c r="R473" s="663">
        <f t="shared" si="74"/>
        <v>0</v>
      </c>
      <c r="S473" s="316">
        <f t="shared" si="75"/>
        <v>0</v>
      </c>
    </row>
    <row r="474" spans="1:19">
      <c r="A474" s="150"/>
      <c r="B474" s="54"/>
      <c r="C474" s="21">
        <f t="shared" ref="C474:C524" si="76">IF(B474="",1,(LOOKUP(B474,$3:$3,$4:$4)-LOOKUP($B$24,$3:$3,$4:$4)+100)/100)</f>
        <v>1</v>
      </c>
      <c r="D474" s="667"/>
      <c r="E474" s="21">
        <f t="shared" ref="E474:E524" si="77">(SUMIF($5:$5,D474,$6:$6)-SUMIF($5:$5,$D$24,$6:$6)+100)/100</f>
        <v>1</v>
      </c>
      <c r="F474" s="667"/>
      <c r="G474" s="21">
        <f t="shared" ref="G474:G524" si="78">(SUMIF($7:$7,F474,$8:$8)-SUMIF($7:$7,$F$24,$8:$8)+100)/100</f>
        <v>1</v>
      </c>
      <c r="H474" s="667"/>
      <c r="I474" s="21">
        <f t="shared" ref="I474:I524" si="79">(SUMIF($9:$9,H474,$10:$10)-SUMIF($9:$9,$H$24,$10:$10)+100)/100</f>
        <v>1</v>
      </c>
      <c r="J474" s="667"/>
      <c r="K474" s="21">
        <f t="shared" ref="K474:K524" si="80">(SUMIF($11:$11,J474,$12:$12)-SUMIF($11:$11,$J$24,$12:$12)+100)/100</f>
        <v>1</v>
      </c>
      <c r="L474" s="667"/>
      <c r="M474" s="21">
        <f t="shared" ref="M474:M524" si="81">(SUMIF($13:$13,L474,$14:$14)-SUMIF($13:$13,$L$24,$14:$14)+100)/100</f>
        <v>1</v>
      </c>
      <c r="N474" s="667"/>
      <c r="O474" s="21">
        <f t="shared" ref="O474:O524" si="82">(SUMIF($15:$15,N474,$16:$16)-SUMIF($15:$15,$N$24,$16:$16)+100)/100</f>
        <v>1</v>
      </c>
      <c r="P474" s="667"/>
      <c r="Q474" s="21">
        <f t="shared" ref="Q474:Q524" si="83">(SUMIF($17:$17,P474,$18:$18)-SUMIF($17:$17,$P$24,$18:$18)+100)/100</f>
        <v>0</v>
      </c>
      <c r="R474" s="663">
        <f t="shared" ref="R474:R524" si="84">IF(B474="",0,ROUND($R$24*C474*E474*G474*I474*K474*M474*O474*Q474,0))</f>
        <v>0</v>
      </c>
      <c r="S474" s="316">
        <f t="shared" si="75"/>
        <v>0</v>
      </c>
    </row>
    <row r="475" spans="1:19">
      <c r="A475" s="150"/>
      <c r="B475" s="54"/>
      <c r="C475" s="21">
        <f t="shared" si="76"/>
        <v>1</v>
      </c>
      <c r="D475" s="667"/>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0</v>
      </c>
      <c r="R475" s="663">
        <f t="shared" si="84"/>
        <v>0</v>
      </c>
      <c r="S475" s="316">
        <f t="shared" si="75"/>
        <v>0</v>
      </c>
    </row>
    <row r="476" spans="1:19">
      <c r="A476" s="150"/>
      <c r="B476" s="54"/>
      <c r="C476" s="21">
        <f t="shared" si="76"/>
        <v>1</v>
      </c>
      <c r="D476" s="667"/>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0</v>
      </c>
      <c r="R476" s="663">
        <f t="shared" si="84"/>
        <v>0</v>
      </c>
      <c r="S476" s="316">
        <f t="shared" si="75"/>
        <v>0</v>
      </c>
    </row>
    <row r="477" spans="1:19">
      <c r="A477" s="150"/>
      <c r="B477" s="54"/>
      <c r="C477" s="21">
        <f t="shared" si="76"/>
        <v>1</v>
      </c>
      <c r="D477" s="667"/>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0</v>
      </c>
      <c r="R477" s="663">
        <f t="shared" si="84"/>
        <v>0</v>
      </c>
      <c r="S477" s="316">
        <f t="shared" si="75"/>
        <v>0</v>
      </c>
    </row>
    <row r="478" spans="1:19">
      <c r="A478" s="150"/>
      <c r="B478" s="54"/>
      <c r="C478" s="21">
        <f t="shared" si="76"/>
        <v>1</v>
      </c>
      <c r="D478" s="667"/>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0</v>
      </c>
      <c r="R478" s="663">
        <f t="shared" si="84"/>
        <v>0</v>
      </c>
      <c r="S478" s="316">
        <f t="shared" si="75"/>
        <v>0</v>
      </c>
    </row>
    <row r="479" spans="1:19">
      <c r="A479" s="150"/>
      <c r="B479" s="54"/>
      <c r="C479" s="21">
        <f t="shared" si="76"/>
        <v>1</v>
      </c>
      <c r="D479" s="667"/>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0</v>
      </c>
      <c r="R479" s="663">
        <f t="shared" si="84"/>
        <v>0</v>
      </c>
      <c r="S479" s="316">
        <f t="shared" si="75"/>
        <v>0</v>
      </c>
    </row>
    <row r="480" spans="1:19">
      <c r="A480" s="150"/>
      <c r="B480" s="54"/>
      <c r="C480" s="21">
        <f t="shared" si="76"/>
        <v>1</v>
      </c>
      <c r="D480" s="667"/>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0</v>
      </c>
      <c r="R480" s="663">
        <f t="shared" si="84"/>
        <v>0</v>
      </c>
      <c r="S480" s="316">
        <f t="shared" si="75"/>
        <v>0</v>
      </c>
    </row>
    <row r="481" spans="1:19">
      <c r="A481" s="150"/>
      <c r="B481" s="54"/>
      <c r="C481" s="21">
        <f t="shared" si="76"/>
        <v>1</v>
      </c>
      <c r="D481" s="667"/>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0</v>
      </c>
      <c r="R481" s="663">
        <f t="shared" si="84"/>
        <v>0</v>
      </c>
      <c r="S481" s="316">
        <f t="shared" si="75"/>
        <v>0</v>
      </c>
    </row>
    <row r="482" spans="1:19">
      <c r="A482" s="150"/>
      <c r="B482" s="54"/>
      <c r="C482" s="21">
        <f t="shared" si="76"/>
        <v>1</v>
      </c>
      <c r="D482" s="667"/>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0</v>
      </c>
      <c r="R482" s="663">
        <f t="shared" si="84"/>
        <v>0</v>
      </c>
      <c r="S482" s="316">
        <f t="shared" si="75"/>
        <v>0</v>
      </c>
    </row>
    <row r="483" spans="1:19">
      <c r="A483" s="150"/>
      <c r="B483" s="54"/>
      <c r="C483" s="21">
        <f t="shared" si="76"/>
        <v>1</v>
      </c>
      <c r="D483" s="667"/>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0</v>
      </c>
      <c r="R483" s="663">
        <f t="shared" si="84"/>
        <v>0</v>
      </c>
      <c r="S483" s="316">
        <f t="shared" si="75"/>
        <v>0</v>
      </c>
    </row>
    <row r="484" spans="1:19">
      <c r="A484" s="150"/>
      <c r="B484" s="54"/>
      <c r="C484" s="21">
        <f t="shared" si="76"/>
        <v>1</v>
      </c>
      <c r="D484" s="667"/>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0</v>
      </c>
      <c r="R484" s="663">
        <f t="shared" si="84"/>
        <v>0</v>
      </c>
      <c r="S484" s="316">
        <f t="shared" si="75"/>
        <v>0</v>
      </c>
    </row>
    <row r="485" spans="1:19">
      <c r="A485" s="150"/>
      <c r="B485" s="54"/>
      <c r="C485" s="21">
        <f t="shared" si="76"/>
        <v>1</v>
      </c>
      <c r="D485" s="667"/>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0</v>
      </c>
      <c r="R485" s="663">
        <f t="shared" si="84"/>
        <v>0</v>
      </c>
      <c r="S485" s="316">
        <f t="shared" si="75"/>
        <v>0</v>
      </c>
    </row>
    <row r="486" spans="1:19">
      <c r="A486" s="150"/>
      <c r="B486" s="54"/>
      <c r="C486" s="21">
        <f t="shared" si="76"/>
        <v>1</v>
      </c>
      <c r="D486" s="667"/>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0</v>
      </c>
      <c r="R486" s="663">
        <f t="shared" si="84"/>
        <v>0</v>
      </c>
      <c r="S486" s="316">
        <f t="shared" si="75"/>
        <v>0</v>
      </c>
    </row>
    <row r="487" spans="1:19">
      <c r="A487" s="150"/>
      <c r="B487" s="54"/>
      <c r="C487" s="21">
        <f t="shared" si="76"/>
        <v>1</v>
      </c>
      <c r="D487" s="667"/>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0</v>
      </c>
      <c r="R487" s="663">
        <f t="shared" si="84"/>
        <v>0</v>
      </c>
      <c r="S487" s="316">
        <f t="shared" si="75"/>
        <v>0</v>
      </c>
    </row>
    <row r="488" spans="1:19">
      <c r="A488" s="150"/>
      <c r="B488" s="54"/>
      <c r="C488" s="21">
        <f t="shared" si="76"/>
        <v>1</v>
      </c>
      <c r="D488" s="667"/>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0</v>
      </c>
      <c r="R488" s="663">
        <f t="shared" si="84"/>
        <v>0</v>
      </c>
      <c r="S488" s="316">
        <f t="shared" si="75"/>
        <v>0</v>
      </c>
    </row>
    <row r="489" spans="1:19">
      <c r="A489" s="150"/>
      <c r="B489" s="54"/>
      <c r="C489" s="21">
        <f t="shared" si="76"/>
        <v>1</v>
      </c>
      <c r="D489" s="667"/>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0</v>
      </c>
      <c r="R489" s="663">
        <f t="shared" si="84"/>
        <v>0</v>
      </c>
      <c r="S489" s="316">
        <f t="shared" si="75"/>
        <v>0</v>
      </c>
    </row>
    <row r="490" spans="1:19">
      <c r="A490" s="150"/>
      <c r="B490" s="54"/>
      <c r="C490" s="21">
        <f t="shared" si="76"/>
        <v>1</v>
      </c>
      <c r="D490" s="667"/>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0</v>
      </c>
      <c r="R490" s="663">
        <f t="shared" si="84"/>
        <v>0</v>
      </c>
      <c r="S490" s="316">
        <f t="shared" si="75"/>
        <v>0</v>
      </c>
    </row>
    <row r="491" spans="1:19">
      <c r="A491" s="150"/>
      <c r="B491" s="54"/>
      <c r="C491" s="21">
        <f t="shared" si="76"/>
        <v>1</v>
      </c>
      <c r="D491" s="667"/>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0</v>
      </c>
      <c r="R491" s="663">
        <f t="shared" si="84"/>
        <v>0</v>
      </c>
      <c r="S491" s="316">
        <f t="shared" si="75"/>
        <v>0</v>
      </c>
    </row>
    <row r="492" spans="1:19">
      <c r="A492" s="150"/>
      <c r="B492" s="54"/>
      <c r="C492" s="21">
        <f t="shared" si="76"/>
        <v>1</v>
      </c>
      <c r="D492" s="667"/>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0</v>
      </c>
      <c r="R492" s="663">
        <f t="shared" si="84"/>
        <v>0</v>
      </c>
      <c r="S492" s="316">
        <f t="shared" si="75"/>
        <v>0</v>
      </c>
    </row>
    <row r="493" spans="1:19">
      <c r="A493" s="150"/>
      <c r="B493" s="54"/>
      <c r="C493" s="21">
        <f t="shared" si="76"/>
        <v>1</v>
      </c>
      <c r="D493" s="667"/>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0</v>
      </c>
      <c r="R493" s="663">
        <f t="shared" si="84"/>
        <v>0</v>
      </c>
      <c r="S493" s="316">
        <f t="shared" si="75"/>
        <v>0</v>
      </c>
    </row>
    <row r="494" spans="1:19">
      <c r="A494" s="150"/>
      <c r="B494" s="54"/>
      <c r="C494" s="21">
        <f t="shared" si="76"/>
        <v>1</v>
      </c>
      <c r="D494" s="667"/>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0</v>
      </c>
      <c r="R494" s="663">
        <f t="shared" si="84"/>
        <v>0</v>
      </c>
      <c r="S494" s="316">
        <f t="shared" si="75"/>
        <v>0</v>
      </c>
    </row>
    <row r="495" spans="1:19">
      <c r="A495" s="150"/>
      <c r="B495" s="54"/>
      <c r="C495" s="21">
        <f t="shared" si="76"/>
        <v>1</v>
      </c>
      <c r="D495" s="667"/>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0</v>
      </c>
      <c r="R495" s="663">
        <f t="shared" si="84"/>
        <v>0</v>
      </c>
      <c r="S495" s="316">
        <f t="shared" si="75"/>
        <v>0</v>
      </c>
    </row>
    <row r="496" spans="1:19">
      <c r="A496" s="150"/>
      <c r="B496" s="54"/>
      <c r="C496" s="21">
        <f t="shared" si="76"/>
        <v>1</v>
      </c>
      <c r="D496" s="667"/>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0</v>
      </c>
      <c r="R496" s="663">
        <f t="shared" si="84"/>
        <v>0</v>
      </c>
      <c r="S496" s="316">
        <f t="shared" si="75"/>
        <v>0</v>
      </c>
    </row>
    <row r="497" spans="1:19">
      <c r="A497" s="150"/>
      <c r="B497" s="54"/>
      <c r="C497" s="21">
        <f t="shared" si="76"/>
        <v>1</v>
      </c>
      <c r="D497" s="667"/>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0</v>
      </c>
      <c r="R497" s="663">
        <f t="shared" si="84"/>
        <v>0</v>
      </c>
      <c r="S497" s="316">
        <f t="shared" si="75"/>
        <v>0</v>
      </c>
    </row>
    <row r="498" spans="1:19">
      <c r="A498" s="150"/>
      <c r="B498" s="54"/>
      <c r="C498" s="21">
        <f t="shared" si="76"/>
        <v>1</v>
      </c>
      <c r="D498" s="667"/>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0</v>
      </c>
      <c r="R498" s="663">
        <f t="shared" si="84"/>
        <v>0</v>
      </c>
      <c r="S498" s="316">
        <f t="shared" si="75"/>
        <v>0</v>
      </c>
    </row>
    <row r="499" spans="1:19">
      <c r="A499" s="150"/>
      <c r="B499" s="54"/>
      <c r="C499" s="21">
        <f t="shared" si="76"/>
        <v>1</v>
      </c>
      <c r="D499" s="667"/>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0</v>
      </c>
      <c r="R499" s="663">
        <f t="shared" si="84"/>
        <v>0</v>
      </c>
      <c r="S499" s="316">
        <f t="shared" si="75"/>
        <v>0</v>
      </c>
    </row>
    <row r="500" spans="1:19">
      <c r="A500" s="150"/>
      <c r="B500" s="54"/>
      <c r="C500" s="21">
        <f t="shared" si="76"/>
        <v>1</v>
      </c>
      <c r="D500" s="667"/>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0</v>
      </c>
      <c r="R500" s="663">
        <f t="shared" si="84"/>
        <v>0</v>
      </c>
      <c r="S500" s="316">
        <f t="shared" si="75"/>
        <v>0</v>
      </c>
    </row>
    <row r="501" spans="1:19">
      <c r="A501" s="150"/>
      <c r="B501" s="54"/>
      <c r="C501" s="21">
        <f t="shared" si="76"/>
        <v>1</v>
      </c>
      <c r="D501" s="667"/>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0</v>
      </c>
      <c r="R501" s="663">
        <f t="shared" si="84"/>
        <v>0</v>
      </c>
      <c r="S501" s="316">
        <f t="shared" si="75"/>
        <v>0</v>
      </c>
    </row>
    <row r="502" spans="1:19">
      <c r="A502" s="150"/>
      <c r="B502" s="54"/>
      <c r="C502" s="21">
        <f t="shared" si="76"/>
        <v>1</v>
      </c>
      <c r="D502" s="667"/>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0</v>
      </c>
      <c r="R502" s="663">
        <f t="shared" si="84"/>
        <v>0</v>
      </c>
      <c r="S502" s="316">
        <f t="shared" si="75"/>
        <v>0</v>
      </c>
    </row>
    <row r="503" spans="1:19">
      <c r="A503" s="150"/>
      <c r="B503" s="54"/>
      <c r="C503" s="21">
        <f t="shared" si="76"/>
        <v>1</v>
      </c>
      <c r="D503" s="667"/>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0</v>
      </c>
      <c r="R503" s="663">
        <f t="shared" si="84"/>
        <v>0</v>
      </c>
      <c r="S503" s="316">
        <f t="shared" si="75"/>
        <v>0</v>
      </c>
    </row>
    <row r="504" spans="1:19">
      <c r="A504" s="150"/>
      <c r="B504" s="54"/>
      <c r="C504" s="21">
        <f t="shared" si="76"/>
        <v>1</v>
      </c>
      <c r="D504" s="667"/>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0</v>
      </c>
      <c r="R504" s="663">
        <f t="shared" si="84"/>
        <v>0</v>
      </c>
      <c r="S504" s="316">
        <f t="shared" si="75"/>
        <v>0</v>
      </c>
    </row>
    <row r="505" spans="1:19">
      <c r="A505" s="150"/>
      <c r="B505" s="54"/>
      <c r="C505" s="21">
        <f t="shared" si="76"/>
        <v>1</v>
      </c>
      <c r="D505" s="667"/>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0</v>
      </c>
      <c r="R505" s="663">
        <f t="shared" si="84"/>
        <v>0</v>
      </c>
      <c r="S505" s="316">
        <f t="shared" si="75"/>
        <v>0</v>
      </c>
    </row>
    <row r="506" spans="1:19">
      <c r="A506" s="150"/>
      <c r="B506" s="54"/>
      <c r="C506" s="21">
        <f t="shared" si="76"/>
        <v>1</v>
      </c>
      <c r="D506" s="667"/>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0</v>
      </c>
      <c r="R506" s="663">
        <f t="shared" si="84"/>
        <v>0</v>
      </c>
      <c r="S506" s="316">
        <f t="shared" si="75"/>
        <v>0</v>
      </c>
    </row>
    <row r="507" spans="1:19">
      <c r="A507" s="150"/>
      <c r="B507" s="54"/>
      <c r="C507" s="21">
        <f t="shared" si="76"/>
        <v>1</v>
      </c>
      <c r="D507" s="667"/>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0</v>
      </c>
      <c r="R507" s="663">
        <f t="shared" si="84"/>
        <v>0</v>
      </c>
      <c r="S507" s="316">
        <f t="shared" si="75"/>
        <v>0</v>
      </c>
    </row>
    <row r="508" spans="1:19">
      <c r="A508" s="150"/>
      <c r="B508" s="54"/>
      <c r="C508" s="21">
        <f t="shared" si="76"/>
        <v>1</v>
      </c>
      <c r="D508" s="667"/>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0</v>
      </c>
      <c r="R508" s="663">
        <f t="shared" si="84"/>
        <v>0</v>
      </c>
      <c r="S508" s="316">
        <f t="shared" si="75"/>
        <v>0</v>
      </c>
    </row>
    <row r="509" spans="1:19">
      <c r="A509" s="150"/>
      <c r="B509" s="54"/>
      <c r="C509" s="21">
        <f t="shared" si="76"/>
        <v>1</v>
      </c>
      <c r="D509" s="667"/>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0</v>
      </c>
      <c r="R509" s="663">
        <f t="shared" si="84"/>
        <v>0</v>
      </c>
      <c r="S509" s="316">
        <f t="shared" si="75"/>
        <v>0</v>
      </c>
    </row>
    <row r="510" spans="1:19">
      <c r="A510" s="150"/>
      <c r="B510" s="54"/>
      <c r="C510" s="21">
        <f t="shared" si="76"/>
        <v>1</v>
      </c>
      <c r="D510" s="667"/>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0</v>
      </c>
      <c r="R510" s="663">
        <f t="shared" si="84"/>
        <v>0</v>
      </c>
      <c r="S510" s="316">
        <f t="shared" si="75"/>
        <v>0</v>
      </c>
    </row>
    <row r="511" spans="1:19">
      <c r="A511" s="150"/>
      <c r="B511" s="54"/>
      <c r="C511" s="21">
        <f t="shared" si="76"/>
        <v>1</v>
      </c>
      <c r="D511" s="667"/>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0</v>
      </c>
      <c r="R511" s="663">
        <f t="shared" si="84"/>
        <v>0</v>
      </c>
      <c r="S511" s="316">
        <f t="shared" si="75"/>
        <v>0</v>
      </c>
    </row>
    <row r="512" spans="1:19">
      <c r="A512" s="150"/>
      <c r="B512" s="54"/>
      <c r="C512" s="21">
        <f t="shared" si="76"/>
        <v>1</v>
      </c>
      <c r="D512" s="667"/>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0</v>
      </c>
      <c r="R512" s="663">
        <f t="shared" si="84"/>
        <v>0</v>
      </c>
      <c r="S512" s="316">
        <f t="shared" si="75"/>
        <v>0</v>
      </c>
    </row>
    <row r="513" spans="1:19">
      <c r="A513" s="150"/>
      <c r="B513" s="54"/>
      <c r="C513" s="21">
        <f t="shared" si="76"/>
        <v>1</v>
      </c>
      <c r="D513" s="667"/>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0</v>
      </c>
      <c r="R513" s="663">
        <f t="shared" si="84"/>
        <v>0</v>
      </c>
      <c r="S513" s="316">
        <f t="shared" si="75"/>
        <v>0</v>
      </c>
    </row>
    <row r="514" spans="1:19">
      <c r="A514" s="150"/>
      <c r="B514" s="54"/>
      <c r="C514" s="21">
        <f t="shared" si="76"/>
        <v>1</v>
      </c>
      <c r="D514" s="667"/>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0</v>
      </c>
      <c r="R514" s="663">
        <f t="shared" si="84"/>
        <v>0</v>
      </c>
      <c r="S514" s="316">
        <f t="shared" si="75"/>
        <v>0</v>
      </c>
    </row>
    <row r="515" spans="1:19">
      <c r="A515" s="150"/>
      <c r="B515" s="54"/>
      <c r="C515" s="21">
        <f t="shared" si="76"/>
        <v>1</v>
      </c>
      <c r="D515" s="667"/>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0</v>
      </c>
      <c r="R515" s="663">
        <f t="shared" si="84"/>
        <v>0</v>
      </c>
      <c r="S515" s="316">
        <f t="shared" si="75"/>
        <v>0</v>
      </c>
    </row>
    <row r="516" spans="1:19">
      <c r="A516" s="150"/>
      <c r="B516" s="54"/>
      <c r="C516" s="21">
        <f t="shared" si="76"/>
        <v>1</v>
      </c>
      <c r="D516" s="667"/>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0</v>
      </c>
      <c r="R516" s="663">
        <f t="shared" si="84"/>
        <v>0</v>
      </c>
      <c r="S516" s="316">
        <f t="shared" si="75"/>
        <v>0</v>
      </c>
    </row>
    <row r="517" spans="1:19">
      <c r="A517" s="150"/>
      <c r="B517" s="54"/>
      <c r="C517" s="21">
        <f t="shared" si="76"/>
        <v>1</v>
      </c>
      <c r="D517" s="667"/>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0</v>
      </c>
      <c r="R517" s="663">
        <f t="shared" si="84"/>
        <v>0</v>
      </c>
      <c r="S517" s="316">
        <f t="shared" si="75"/>
        <v>0</v>
      </c>
    </row>
    <row r="518" spans="1:19">
      <c r="A518" s="150"/>
      <c r="B518" s="54"/>
      <c r="C518" s="21">
        <f t="shared" si="76"/>
        <v>1</v>
      </c>
      <c r="D518" s="667"/>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0</v>
      </c>
      <c r="R518" s="663">
        <f t="shared" si="84"/>
        <v>0</v>
      </c>
      <c r="S518" s="316">
        <f t="shared" si="75"/>
        <v>0</v>
      </c>
    </row>
    <row r="519" spans="1:19">
      <c r="A519" s="150"/>
      <c r="B519" s="54"/>
      <c r="C519" s="21">
        <f t="shared" si="76"/>
        <v>1</v>
      </c>
      <c r="D519" s="667"/>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0</v>
      </c>
      <c r="R519" s="663">
        <f t="shared" si="84"/>
        <v>0</v>
      </c>
      <c r="S519" s="316">
        <f t="shared" si="75"/>
        <v>0</v>
      </c>
    </row>
    <row r="520" spans="1:19">
      <c r="A520" s="150"/>
      <c r="B520" s="54"/>
      <c r="C520" s="21">
        <f t="shared" si="76"/>
        <v>1</v>
      </c>
      <c r="D520" s="667"/>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0</v>
      </c>
      <c r="R520" s="663">
        <f t="shared" si="84"/>
        <v>0</v>
      </c>
      <c r="S520" s="316">
        <f t="shared" si="75"/>
        <v>0</v>
      </c>
    </row>
    <row r="521" spans="1:19">
      <c r="A521" s="150"/>
      <c r="B521" s="54"/>
      <c r="C521" s="21">
        <f t="shared" si="76"/>
        <v>1</v>
      </c>
      <c r="D521" s="667"/>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0</v>
      </c>
      <c r="R521" s="663">
        <f t="shared" si="84"/>
        <v>0</v>
      </c>
      <c r="S521" s="316">
        <f t="shared" si="75"/>
        <v>0</v>
      </c>
    </row>
    <row r="522" spans="1:19">
      <c r="A522" s="150"/>
      <c r="B522" s="54"/>
      <c r="C522" s="21">
        <f t="shared" si="76"/>
        <v>1</v>
      </c>
      <c r="D522" s="667"/>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0</v>
      </c>
      <c r="R522" s="663">
        <f t="shared" si="84"/>
        <v>0</v>
      </c>
      <c r="S522" s="316">
        <f t="shared" si="75"/>
        <v>0</v>
      </c>
    </row>
    <row r="523" spans="1:19">
      <c r="A523" s="150"/>
      <c r="B523" s="54"/>
      <c r="C523" s="21">
        <f t="shared" si="76"/>
        <v>1</v>
      </c>
      <c r="D523" s="667"/>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0</v>
      </c>
      <c r="R523" s="663">
        <f t="shared" si="84"/>
        <v>0</v>
      </c>
      <c r="S523" s="316">
        <f t="shared" si="75"/>
        <v>0</v>
      </c>
    </row>
    <row r="524" spans="1:19">
      <c r="A524" s="150"/>
      <c r="B524" s="54"/>
      <c r="C524" s="21">
        <f t="shared" si="76"/>
        <v>1</v>
      </c>
      <c r="D524" s="667"/>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0</v>
      </c>
      <c r="R524" s="663">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3"/>
    <col min="3" max="3" width="12.625" style="1753" customWidth="1"/>
    <col min="4" max="4" width="15.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8" t="str">
        <f>项目基本情况!S2</f>
        <v>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4" t="s">
        <v>1265</v>
      </c>
      <c r="B4" s="1755" t="s">
        <v>1266</v>
      </c>
      <c r="C4" s="1756" t="s">
        <v>3407</v>
      </c>
      <c r="D4" s="1756" t="s">
        <v>3408</v>
      </c>
      <c r="E4" s="3604" t="s">
        <v>1267</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565">
        <v>25</v>
      </c>
      <c r="C5" s="3581"/>
      <c r="D5" s="3601"/>
      <c r="E5" s="131" t="s">
        <v>1269</v>
      </c>
      <c r="F5" s="1757"/>
      <c r="G5" s="1757"/>
      <c r="H5" s="1757"/>
      <c r="I5" s="1373"/>
    </row>
    <row r="6" spans="1:12" ht="12.75">
      <c r="A6" s="3578"/>
      <c r="B6" s="3565"/>
      <c r="C6" s="3582"/>
      <c r="D6" s="3601"/>
      <c r="E6" s="131" t="s">
        <v>1270</v>
      </c>
      <c r="F6" s="1757"/>
      <c r="G6" s="1757"/>
      <c r="H6" s="1757"/>
      <c r="I6" s="1373"/>
    </row>
    <row r="7" spans="1:12" ht="12.75">
      <c r="A7" s="3578"/>
      <c r="B7" s="3565"/>
      <c r="C7" s="3583"/>
      <c r="D7" s="3601"/>
      <c r="E7" s="131" t="s">
        <v>1271</v>
      </c>
      <c r="F7" s="1757"/>
      <c r="G7" s="1757"/>
      <c r="H7" s="1757"/>
      <c r="I7" s="1373"/>
    </row>
    <row r="8" spans="1:12" ht="12.75">
      <c r="A8" s="3578" t="s">
        <v>1272</v>
      </c>
      <c r="B8" s="3565">
        <v>15</v>
      </c>
      <c r="C8" s="3581"/>
      <c r="D8" s="3601"/>
      <c r="E8" s="131" t="s">
        <v>1273</v>
      </c>
      <c r="F8" s="1757"/>
      <c r="G8" s="1757"/>
      <c r="H8" s="1757"/>
      <c r="I8" s="1373"/>
    </row>
    <row r="9" spans="1:12" ht="12.75">
      <c r="A9" s="3578"/>
      <c r="B9" s="3565"/>
      <c r="C9" s="3583"/>
      <c r="D9" s="3601"/>
      <c r="E9" s="131" t="s">
        <v>1274</v>
      </c>
      <c r="F9" s="1757"/>
      <c r="G9" s="1757"/>
      <c r="H9" s="1757"/>
      <c r="I9" s="1373"/>
    </row>
    <row r="10" spans="1:12" ht="12.75">
      <c r="A10" s="3578" t="s">
        <v>1275</v>
      </c>
      <c r="B10" s="3565">
        <v>15</v>
      </c>
      <c r="C10" s="3581"/>
      <c r="D10" s="3601"/>
      <c r="E10" s="131" t="s">
        <v>1276</v>
      </c>
      <c r="F10" s="1757"/>
      <c r="G10" s="1757"/>
      <c r="H10" s="1757"/>
      <c r="I10" s="1373"/>
    </row>
    <row r="11" spans="1:12" ht="12.75">
      <c r="A11" s="3578"/>
      <c r="B11" s="3565"/>
      <c r="C11" s="3583"/>
      <c r="D11" s="3601"/>
      <c r="E11" s="131" t="s">
        <v>1277</v>
      </c>
      <c r="F11" s="1757"/>
      <c r="G11" s="1757"/>
      <c r="H11" s="1757"/>
      <c r="I11" s="1373"/>
    </row>
    <row r="12" spans="1:12" ht="12.75">
      <c r="A12" s="3578" t="s">
        <v>1278</v>
      </c>
      <c r="B12" s="3565">
        <v>15</v>
      </c>
      <c r="C12" s="3581"/>
      <c r="D12" s="3601"/>
      <c r="E12" s="131" t="s">
        <v>1279</v>
      </c>
      <c r="F12" s="1757"/>
      <c r="G12" s="1757"/>
      <c r="H12" s="1757"/>
      <c r="I12" s="1373"/>
    </row>
    <row r="13" spans="1:12" ht="12.75">
      <c r="A13" s="3578"/>
      <c r="B13" s="3565"/>
      <c r="C13" s="3583"/>
      <c r="D13" s="3601"/>
      <c r="E13" s="131" t="s">
        <v>1280</v>
      </c>
      <c r="F13" s="1757"/>
      <c r="G13" s="1757"/>
      <c r="H13" s="1757"/>
      <c r="I13" s="1373"/>
    </row>
    <row r="14" spans="1:12" ht="12.75">
      <c r="A14" s="3578" t="s">
        <v>1281</v>
      </c>
      <c r="B14" s="3565">
        <v>30</v>
      </c>
      <c r="C14" s="3581">
        <v>5</v>
      </c>
      <c r="D14" s="3601">
        <v>5</v>
      </c>
      <c r="E14" s="131" t="s">
        <v>1282</v>
      </c>
      <c r="F14" s="1757"/>
      <c r="G14" s="1757"/>
      <c r="H14" s="1757"/>
      <c r="I14" s="1373"/>
    </row>
    <row r="15" spans="1:12" ht="12.75">
      <c r="A15" s="3578"/>
      <c r="B15" s="3565"/>
      <c r="C15" s="3582"/>
      <c r="D15" s="3601"/>
      <c r="E15" s="131" t="s">
        <v>1283</v>
      </c>
      <c r="F15" s="1757"/>
      <c r="G15" s="1757"/>
      <c r="H15" s="1757"/>
      <c r="I15" s="1373"/>
    </row>
    <row r="16" spans="1:12" ht="12.75">
      <c r="A16" s="3578"/>
      <c r="B16" s="3565"/>
      <c r="C16" s="3583"/>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8" t="s">
        <v>2130</v>
      </c>
      <c r="F18" s="3589"/>
      <c r="G18" s="3589"/>
      <c r="H18" s="3589"/>
      <c r="I18" s="3589"/>
      <c r="K18" s="302" t="s">
        <v>1289</v>
      </c>
      <c r="L18" s="302">
        <f>IF(C1="",'数据-汇总表'!E3,SUMIF(项目类型,C1,'数据-汇总表'!E17:E26)+SUMIF(项目类型,C1,'数据-汇总表'!I17:I26))</f>
        <v>26891.389999999996</v>
      </c>
      <c r="M18" s="302">
        <f>IF(C1="",'数据-汇总表'!E3,SUMIF(项目类型,C1,'数据-汇总表'!E17:E26))</f>
        <v>26891.389999999996</v>
      </c>
    </row>
    <row r="19" spans="1:36" ht="15">
      <c r="A19" s="1761" t="s">
        <v>1290</v>
      </c>
      <c r="B19" s="1762" t="s">
        <v>1291</v>
      </c>
      <c r="C19" s="134">
        <f ca="1">SUMIF(INDIRECT("'"&amp;C4&amp;"'"&amp;"!A:A"),结果表!B19,INDIRECT("'"&amp;C4&amp;"'"&amp;"!B:B"))</f>
        <v>74973</v>
      </c>
      <c r="D19" s="135">
        <f ca="1">SUMIF(INDIRECT("'"&amp;D4&amp;"'"&amp;"!A:A"),结果表!B19,INDIRECT("'"&amp;D4&amp;"'"&amp;"!B:B"))</f>
        <v>71269</v>
      </c>
      <c r="E19" s="1761" t="s">
        <v>1292</v>
      </c>
      <c r="F19" s="1762" t="s">
        <v>1291</v>
      </c>
      <c r="G19" s="136">
        <f ca="1">ROUND(C19*$C$18+D19*$D$18,0)</f>
        <v>73121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27880</v>
      </c>
      <c r="D20" s="138">
        <f ca="1">SUMIF(INDIRECT("'"&amp;D4&amp;"'"&amp;"!A:A"),结果表!B20,INDIRECT("'"&amp;D4&amp;"'"&amp;"!B:B"))</f>
        <v>26503</v>
      </c>
      <c r="E20" s="1764"/>
      <c r="F20" s="1026" t="s">
        <v>1295</v>
      </c>
      <c r="G20" s="139">
        <f ca="1">ROUND(C20*$C$18+D20*$D$18,0)</f>
        <v>27192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5.1972105684098269E-2</v>
      </c>
      <c r="E22" s="129"/>
      <c r="F22" s="129"/>
      <c r="G22" s="129"/>
      <c r="H22" s="129"/>
      <c r="I22" s="129"/>
    </row>
    <row r="23" spans="1:36" ht="13.5" thickBot="1">
      <c r="A23" s="1747"/>
      <c r="B23" s="1747"/>
      <c r="C23" s="1747"/>
      <c r="D23" s="1747"/>
      <c r="E23" s="129"/>
      <c r="F23" s="129"/>
      <c r="G23" s="129"/>
      <c r="H23" s="129"/>
      <c r="I23" s="129"/>
    </row>
    <row r="24" spans="1:36" ht="14.25">
      <c r="A24" s="3572" t="s">
        <v>1299</v>
      </c>
      <c r="B24" s="1762" t="s">
        <v>1291</v>
      </c>
      <c r="C24" s="136">
        <f>IF(B30=0,0,D30)</f>
        <v>0</v>
      </c>
      <c r="D24" s="1769"/>
      <c r="E24" s="129"/>
      <c r="F24" s="129"/>
      <c r="G24" s="129"/>
      <c r="H24" s="129"/>
      <c r="I24" s="129"/>
      <c r="J24" s="725" t="s">
        <v>3423</v>
      </c>
      <c r="K24" s="725">
        <f>'数据-取费表'!T19</f>
        <v>4691.97</v>
      </c>
      <c r="L24" s="725">
        <v>75000</v>
      </c>
      <c r="M24" s="725">
        <v>1</v>
      </c>
      <c r="N24" s="725">
        <f>L24*K24</f>
        <v>351897750</v>
      </c>
    </row>
    <row r="25" spans="1:36" ht="14.25">
      <c r="A25" s="3573"/>
      <c r="B25" s="1026" t="s">
        <v>1295</v>
      </c>
      <c r="C25" s="141">
        <f>IF(B30=0,0,C30)</f>
        <v>0</v>
      </c>
      <c r="D25" s="1770"/>
      <c r="E25" s="129"/>
      <c r="F25" s="129"/>
      <c r="G25" s="129"/>
      <c r="H25" s="129"/>
      <c r="I25" s="129"/>
      <c r="J25" s="725" t="s">
        <v>3424</v>
      </c>
      <c r="K25" s="725">
        <f>'数据-取费表'!T20</f>
        <v>6439.65</v>
      </c>
      <c r="L25" s="725">
        <f>L24*M25</f>
        <v>52500</v>
      </c>
      <c r="M25" s="725">
        <v>0.7</v>
      </c>
      <c r="N25" s="725">
        <f t="shared" ref="N25:N27" si="0">L25*K25</f>
        <v>338081625</v>
      </c>
    </row>
    <row r="26" spans="1:36" ht="13.5" customHeight="1">
      <c r="A26" s="1771" t="s">
        <v>1300</v>
      </c>
      <c r="B26" s="142" t="s">
        <v>1301</v>
      </c>
      <c r="C26" s="142" t="s">
        <v>1302</v>
      </c>
      <c r="D26" s="143" t="s">
        <v>1303</v>
      </c>
      <c r="E26" s="129"/>
      <c r="F26" s="129"/>
      <c r="G26" s="129"/>
      <c r="H26" s="129"/>
      <c r="I26" s="129"/>
      <c r="J26" s="725" t="s">
        <v>3425</v>
      </c>
      <c r="K26" s="725">
        <f>'数据-取费表'!T21</f>
        <v>6514.75</v>
      </c>
      <c r="L26" s="725">
        <f>L24*M26</f>
        <v>45000</v>
      </c>
      <c r="M26" s="725">
        <v>0.6</v>
      </c>
      <c r="N26" s="725">
        <f t="shared" si="0"/>
        <v>293163750</v>
      </c>
    </row>
    <row r="27" spans="1:36" ht="14.25">
      <c r="A27" s="1771"/>
      <c r="B27" s="142">
        <v>0</v>
      </c>
      <c r="C27" s="142">
        <v>0</v>
      </c>
      <c r="D27" s="143">
        <f>ROUND(C27*B27/10000,0)</f>
        <v>0</v>
      </c>
      <c r="E27" s="129"/>
      <c r="F27" s="129"/>
      <c r="G27" s="129"/>
      <c r="H27" s="129"/>
      <c r="I27" s="129"/>
      <c r="J27" s="725" t="s">
        <v>3426</v>
      </c>
      <c r="K27" s="725">
        <f>'数据-取费表'!T22</f>
        <v>760.17</v>
      </c>
      <c r="L27" s="725">
        <f>L24*M27</f>
        <v>22500</v>
      </c>
      <c r="M27" s="725">
        <v>0.3</v>
      </c>
      <c r="N27" s="725">
        <f t="shared" si="0"/>
        <v>17103825</v>
      </c>
    </row>
    <row r="28" spans="1:36" ht="14.25">
      <c r="A28" s="1771"/>
      <c r="B28" s="142"/>
      <c r="C28" s="142"/>
      <c r="D28" s="143">
        <f ca="1">G19/'数据-汇总表'!F31</f>
        <v>4.1436850751741012</v>
      </c>
      <c r="E28" s="129"/>
      <c r="F28" s="129"/>
      <c r="G28" s="129"/>
      <c r="H28" s="129"/>
      <c r="I28" s="129"/>
      <c r="K28" s="725">
        <f>SUM(K24:K27)</f>
        <v>18406.539999999997</v>
      </c>
      <c r="L28" s="725">
        <f>N28/K28</f>
        <v>54341.932269725876</v>
      </c>
      <c r="N28" s="725">
        <f>SUM(N24:N27)</f>
        <v>1000246950</v>
      </c>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27192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2" t="s">
        <v>1312</v>
      </c>
      <c r="B36" s="1787" t="s">
        <v>1313</v>
      </c>
      <c r="C36" s="145"/>
      <c r="D36" s="1788"/>
      <c r="E36" s="1789"/>
      <c r="F36" s="1790"/>
      <c r="G36" s="129"/>
      <c r="H36" s="129"/>
      <c r="I36" s="129"/>
    </row>
    <row r="37" spans="1:15" ht="15.75" thickBot="1">
      <c r="A37" s="3593"/>
      <c r="B37" s="1674" t="s">
        <v>1314</v>
      </c>
      <c r="C37" s="147"/>
      <c r="D37" s="1139"/>
      <c r="E37" s="1139"/>
      <c r="F37" s="1790"/>
      <c r="G37" s="129"/>
      <c r="H37" s="129"/>
      <c r="I37" s="129"/>
    </row>
    <row r="38" spans="1:15" ht="15.75" thickBot="1">
      <c r="A38" s="359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9" t="s">
        <v>1326</v>
      </c>
      <c r="B45" s="3570"/>
      <c r="C45" s="3571"/>
      <c r="D45" s="155" t="e">
        <f ca="1">ROUND(H101*F45,0)</f>
        <v>#REF!</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6"/>
      <c r="I46" s="159"/>
      <c r="J46" s="2523">
        <v>1</v>
      </c>
      <c r="K46" s="3628" t="s">
        <v>1331</v>
      </c>
      <c r="L46" s="3628"/>
      <c r="M46" s="3648"/>
      <c r="N46" s="3648"/>
      <c r="O46" s="3648"/>
    </row>
    <row r="47" spans="1:15" ht="12" customHeight="1">
      <c r="A47" s="160" t="s">
        <v>1332</v>
      </c>
      <c r="B47" s="161"/>
      <c r="C47" s="162"/>
      <c r="D47" s="1087" t="s">
        <v>1333</v>
      </c>
      <c r="E47" s="302" t="s">
        <v>1334</v>
      </c>
      <c r="F47" s="163" t="s">
        <v>1335</v>
      </c>
      <c r="G47" s="2546" t="s">
        <v>1336</v>
      </c>
      <c r="H47" s="2547"/>
      <c r="I47" s="159"/>
      <c r="J47" s="2523">
        <v>2</v>
      </c>
      <c r="K47" s="3628" t="s">
        <v>1337</v>
      </c>
      <c r="L47" s="3628"/>
      <c r="M47" s="3649">
        <f>'数据-取费表'!B2</f>
        <v>45243</v>
      </c>
      <c r="N47" s="3649"/>
      <c r="O47" s="3649"/>
    </row>
    <row r="48" spans="1:15" ht="25.5">
      <c r="A48" s="3597" t="s">
        <v>1338</v>
      </c>
      <c r="B48" s="3580"/>
      <c r="C48" s="358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8" t="s">
        <v>1340</v>
      </c>
      <c r="L48" s="3628"/>
      <c r="M48" s="3650" t="e">
        <f ca="1">H101</f>
        <v>#REF!</v>
      </c>
      <c r="N48" s="3650"/>
      <c r="O48" s="3650"/>
    </row>
    <row r="49" spans="1:35" ht="25.5" customHeight="1">
      <c r="A49" s="2333" t="s">
        <v>1341</v>
      </c>
      <c r="B49" s="3564" t="s">
        <v>1342</v>
      </c>
      <c r="C49" s="3564"/>
      <c r="D49" s="1590">
        <v>0</v>
      </c>
      <c r="E49" s="324" t="s">
        <v>1343</v>
      </c>
      <c r="F49" s="2424" t="s">
        <v>28</v>
      </c>
      <c r="G49" s="3634"/>
      <c r="H49" s="2310" t="s">
        <v>2133</v>
      </c>
      <c r="I49" s="2311"/>
      <c r="J49" s="2523">
        <v>4</v>
      </c>
      <c r="K49" s="3628" t="str">
        <f>IF(项目基本情况!E8="房地产抵押价值","房地产抵押价值","抵押担保权已注销时的房地产抵押价值")</f>
        <v>房地产抵押价值</v>
      </c>
      <c r="L49" s="3628"/>
      <c r="M49" s="3650" t="str">
        <f ca="1">IF(项目基本情况!E8="房地产抵押价值",H107,H109)</f>
        <v>——</v>
      </c>
      <c r="N49" s="3650"/>
      <c r="O49" s="3650"/>
    </row>
    <row r="50" spans="1:35" ht="25.5" customHeight="1">
      <c r="A50" s="2551"/>
      <c r="B50" s="3564" t="s">
        <v>1344</v>
      </c>
      <c r="C50" s="3564"/>
      <c r="D50" s="2552"/>
      <c r="E50" s="332"/>
      <c r="F50" s="2424"/>
      <c r="G50" s="3635"/>
      <c r="H50" s="2312" t="s">
        <v>2134</v>
      </c>
      <c r="I50" s="2311"/>
      <c r="J50" s="3647" t="s">
        <v>1345</v>
      </c>
      <c r="K50" s="3647"/>
      <c r="L50" s="3647"/>
      <c r="M50" s="3647"/>
      <c r="N50" s="3647"/>
      <c r="O50" s="3647"/>
    </row>
    <row r="51" spans="1:35" ht="20.45" customHeight="1">
      <c r="A51" s="2553"/>
      <c r="B51" s="3564" t="s">
        <v>1346</v>
      </c>
      <c r="C51" s="3564"/>
      <c r="D51" s="1087"/>
      <c r="E51" s="327"/>
      <c r="F51" s="2424"/>
      <c r="G51" s="3636"/>
      <c r="H51" s="2312" t="s">
        <v>2135</v>
      </c>
      <c r="I51" s="2311"/>
      <c r="J51" s="2524" t="s">
        <v>1347</v>
      </c>
      <c r="K51" s="3628" t="s">
        <v>1348</v>
      </c>
      <c r="L51" s="3628"/>
      <c r="M51" s="2524" t="s">
        <v>1349</v>
      </c>
      <c r="N51" s="2524" t="s">
        <v>1350</v>
      </c>
      <c r="O51" s="2524" t="s">
        <v>1351</v>
      </c>
    </row>
    <row r="52" spans="1:35" ht="24" customHeight="1">
      <c r="A52" s="2335" t="s">
        <v>1352</v>
      </c>
      <c r="B52" s="3564" t="s">
        <v>1353</v>
      </c>
      <c r="C52" s="3564"/>
      <c r="D52" s="1087" t="e">
        <f ca="1">ROUND(D45*'数据-取费表'!B41/(1+'数据-取费表'!C42),0)</f>
        <v>#REF!</v>
      </c>
      <c r="E52" s="2334" t="s">
        <v>1354</v>
      </c>
      <c r="F52" s="2554">
        <f>'数据-取费表'!B41</f>
        <v>5.6000000000000001E-2</v>
      </c>
      <c r="G52" s="2555"/>
      <c r="H52" s="2544"/>
      <c r="I52" s="1807"/>
      <c r="J52" s="2523">
        <v>1</v>
      </c>
      <c r="K52" s="3629" t="s">
        <v>1355</v>
      </c>
      <c r="L52" s="3629"/>
      <c r="M52" s="2525" t="b">
        <f>D48</f>
        <v>0</v>
      </c>
      <c r="N52" s="2523" t="str">
        <f>E48</f>
        <v>销售额×税（费）率</v>
      </c>
      <c r="O52" s="2526">
        <f>F48</f>
        <v>5.6000000000000001E-2</v>
      </c>
    </row>
    <row r="53" spans="1:35" ht="12" customHeight="1">
      <c r="A53" s="2335" t="s">
        <v>1356</v>
      </c>
      <c r="B53" s="3590" t="s">
        <v>2290</v>
      </c>
      <c r="C53" s="3591"/>
      <c r="D53" s="1087" t="e">
        <f ca="1">ROUND(D45*'数据-取费表'!B41/(1+'数据-取费表'!C42),0)</f>
        <v>#REF!</v>
      </c>
      <c r="E53" s="2334" t="s">
        <v>1354</v>
      </c>
      <c r="F53" s="2554">
        <f>'数据-取费表'!B41</f>
        <v>5.6000000000000001E-2</v>
      </c>
      <c r="G53" s="2555"/>
      <c r="H53" s="2544"/>
      <c r="I53" s="1807"/>
      <c r="J53" s="2523">
        <v>2</v>
      </c>
      <c r="K53" s="3629" t="s">
        <v>1357</v>
      </c>
      <c r="L53" s="3629"/>
      <c r="M53" s="2525" t="e">
        <f t="shared" ref="M53:O54" ca="1" si="1">D55</f>
        <v>#REF!</v>
      </c>
      <c r="N53" s="2523" t="str">
        <f t="shared" si="1"/>
        <v>销售额×税（费）率</v>
      </c>
      <c r="O53" s="2526" t="str">
        <f t="shared" si="1"/>
        <v>免征</v>
      </c>
    </row>
    <row r="54" spans="1:35" ht="12" customHeight="1">
      <c r="A54" s="2335" t="s">
        <v>1358</v>
      </c>
      <c r="B54" s="3590" t="s">
        <v>2291</v>
      </c>
      <c r="C54" s="3591"/>
      <c r="D54" s="1087" t="e">
        <f ca="1">C68</f>
        <v>#REF!</v>
      </c>
      <c r="E54" s="327" t="s">
        <v>1359</v>
      </c>
      <c r="F54" s="2554">
        <f>'数据-取费表'!B41</f>
        <v>5.6000000000000001E-2</v>
      </c>
      <c r="G54" s="2555"/>
      <c r="H54" s="2556"/>
      <c r="I54" s="1807"/>
      <c r="J54" s="2523">
        <v>3</v>
      </c>
      <c r="K54" s="3629" t="s">
        <v>1360</v>
      </c>
      <c r="L54" s="3629"/>
      <c r="M54" s="2525" t="e">
        <f t="shared" ca="1" si="1"/>
        <v>#REF!</v>
      </c>
      <c r="N54" s="2523" t="str">
        <f t="shared" si="1"/>
        <v>增值额×税（费）率</v>
      </c>
      <c r="O54" s="2527" t="str">
        <f t="shared" si="1"/>
        <v>免征</v>
      </c>
    </row>
    <row r="55" spans="1:35" ht="24" customHeight="1">
      <c r="A55" s="3579" t="s">
        <v>1361</v>
      </c>
      <c r="B55" s="3580"/>
      <c r="C55" s="3580"/>
      <c r="D55" s="2324" t="e">
        <f ca="1">IF(H55="个人住宅",0,ROUND(D45*I55,0))</f>
        <v>#REF!</v>
      </c>
      <c r="E55" s="2334" t="s">
        <v>1362</v>
      </c>
      <c r="F55" s="2554" t="str">
        <f>IF(H55="正常",I55,"免征")</f>
        <v>免征</v>
      </c>
      <c r="G55" s="2555"/>
      <c r="H55" s="2550"/>
      <c r="I55" s="165">
        <f>'数据-取费表'!B49</f>
        <v>5.0000000000000001E-4</v>
      </c>
      <c r="J55" s="2523">
        <f>IF(H59="非个人房产","",4)</f>
        <v>4</v>
      </c>
      <c r="K55" s="3629" t="str">
        <f>IF(H59="非个人房产","——","个人所得税")</f>
        <v>个人所得税</v>
      </c>
      <c r="L55" s="3629"/>
      <c r="M55" s="2528" t="e">
        <f ca="1">D59</f>
        <v>#REF!</v>
      </c>
      <c r="N55" s="2040" t="str">
        <f>E59</f>
        <v>差额计税</v>
      </c>
      <c r="O55" s="2529">
        <f>F59</f>
        <v>0.01</v>
      </c>
    </row>
    <row r="56" spans="1:35" ht="24.75">
      <c r="A56" s="3579" t="s">
        <v>1363</v>
      </c>
      <c r="B56" s="3580"/>
      <c r="C56" s="3580"/>
      <c r="D56" s="2324" t="e">
        <f ca="1">IF(H56="个人住宅",D57,D58)</f>
        <v>#REF!</v>
      </c>
      <c r="E56" s="2334" t="s">
        <v>1364</v>
      </c>
      <c r="F56" s="2554" t="str">
        <f>IF(H56="正常",F58,"免征")</f>
        <v>免征</v>
      </c>
      <c r="G56" s="2557" t="s">
        <v>1365</v>
      </c>
      <c r="H56" s="2558"/>
      <c r="I56" s="1808"/>
      <c r="J56" s="2523" t="str">
        <f>IF(项目基本情况!K6="上海银行",IF(J55="",4,J55+1),"")</f>
        <v/>
      </c>
      <c r="K56" s="3652" t="str">
        <f>IF(项目基本情况!K6="上海银行","其他处置费用","")</f>
        <v/>
      </c>
      <c r="L56" s="3653"/>
      <c r="M56" s="2525" t="str">
        <f>IF(项目基本情况!K6="上海银行",M69,"")</f>
        <v/>
      </c>
      <c r="N56" s="3652" t="str">
        <f>IF(项目基本情况!K6="上海银行","包含处置中涉及的律师、诉讼、拍卖、评估等费用","")</f>
        <v/>
      </c>
      <c r="O56" s="3655"/>
    </row>
    <row r="57" spans="1:35" ht="12.75">
      <c r="A57" s="2335" t="s">
        <v>1341</v>
      </c>
      <c r="B57" s="3590" t="s">
        <v>1366</v>
      </c>
      <c r="C57" s="3591"/>
      <c r="D57" s="1590">
        <v>0</v>
      </c>
      <c r="E57" s="324" t="s">
        <v>1343</v>
      </c>
      <c r="F57" s="302"/>
      <c r="G57" s="2555"/>
      <c r="H57" s="2559"/>
      <c r="I57" s="1808"/>
      <c r="J57" s="3629">
        <f>IF(AND(J55="",J56=""),4,IF(项目基本情况!K6="上海银行",结果表!J56+1,结果表!J55+1))</f>
        <v>5</v>
      </c>
      <c r="K57" s="3629" t="s">
        <v>1367</v>
      </c>
      <c r="L57" s="2530" t="s">
        <v>1368</v>
      </c>
      <c r="M57" s="2531"/>
      <c r="N57" s="2532">
        <f ca="1">SUMIF(M52:M56,"&lt;9e307")</f>
        <v>0</v>
      </c>
      <c r="O57" s="2533"/>
      <c r="P57" s="2690" t="e">
        <f ca="1">N57/M49</f>
        <v>#VALUE!</v>
      </c>
    </row>
    <row r="58" spans="1:35" ht="24.75">
      <c r="A58" s="2335" t="s">
        <v>1352</v>
      </c>
      <c r="B58" s="3590" t="s">
        <v>1369</v>
      </c>
      <c r="C58" s="3564"/>
      <c r="D58" s="2324" t="e">
        <f ca="1">IF(H58="转让取得",C81,C97)</f>
        <v>#REF!</v>
      </c>
      <c r="E58" s="2334" t="s">
        <v>1364</v>
      </c>
      <c r="F58" s="302" t="s">
        <v>28</v>
      </c>
      <c r="G58" s="2555"/>
      <c r="H58" s="2558"/>
      <c r="I58" s="1808"/>
      <c r="J58" s="3629"/>
      <c r="K58" s="3629"/>
      <c r="L58" s="2530" t="s">
        <v>1370</v>
      </c>
      <c r="M58" s="2534"/>
      <c r="N58" s="2535" t="str">
        <f ca="1">NUMBERSTRING(INT(N57*10000),2)&amp;"元整"</f>
        <v>零元整</v>
      </c>
      <c r="O58" s="2536"/>
    </row>
    <row r="59" spans="1:35" ht="24.75" thickBot="1">
      <c r="A59" s="3632" t="s">
        <v>1371</v>
      </c>
      <c r="B59" s="3633"/>
      <c r="C59" s="363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0">
        <f>J57+1</f>
        <v>6</v>
      </c>
      <c r="K59" s="3629" t="s">
        <v>1372</v>
      </c>
      <c r="L59" s="2523" t="s">
        <v>1368</v>
      </c>
      <c r="M59" s="2537"/>
      <c r="N59" s="2538" t="e">
        <f ca="1">M49-N57</f>
        <v>#VALUE!</v>
      </c>
      <c r="O59" s="2539"/>
    </row>
    <row r="60" spans="1:35" ht="12" customHeight="1">
      <c r="A60" s="1809"/>
      <c r="B60" s="1747"/>
      <c r="C60" s="1747"/>
      <c r="D60" s="1747"/>
      <c r="E60" s="1578"/>
      <c r="F60" s="1808"/>
      <c r="G60" s="1808"/>
      <c r="H60" s="1810"/>
      <c r="I60" s="129"/>
      <c r="J60" s="3631"/>
      <c r="K60" s="3629"/>
      <c r="L60" s="2530" t="s">
        <v>1370</v>
      </c>
      <c r="M60" s="2534"/>
      <c r="N60" s="2535" t="e">
        <f ca="1">NUMBERSTRING(INT(N59*10000),2)&amp;"元整"</f>
        <v>#VALUE!</v>
      </c>
      <c r="O60" s="2536"/>
    </row>
    <row r="61" spans="1:35" ht="13.5" thickBot="1">
      <c r="A61" s="3577" t="s">
        <v>1373</v>
      </c>
      <c r="B61" s="3577"/>
      <c r="C61" s="3577"/>
      <c r="D61" s="3577"/>
      <c r="E61" s="3577"/>
      <c r="F61" s="1808"/>
      <c r="G61" s="1808"/>
      <c r="H61" s="1810"/>
      <c r="I61" s="129"/>
      <c r="J61" s="2523">
        <f>J59+1</f>
        <v>7</v>
      </c>
      <c r="K61" s="3629" t="s">
        <v>1374</v>
      </c>
      <c r="L61" s="3629"/>
      <c r="M61" s="2540"/>
      <c r="N61" s="2541" t="e">
        <f ca="1">ROUND(N59*10000/'数据-汇总表'!E3,0)</f>
        <v>#VALUE!</v>
      </c>
      <c r="O61" s="2542"/>
    </row>
    <row r="62" spans="1:35" ht="12.75">
      <c r="A62" s="3595" t="s">
        <v>1375</v>
      </c>
      <c r="B62" s="359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4"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4"/>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2">ROUND(L64,1)</f>
        <v>#VALUE!</v>
      </c>
      <c r="N64" s="2544" t="s">
        <v>1383</v>
      </c>
      <c r="Z64" s="1752"/>
      <c r="AI64" s="1753"/>
    </row>
    <row r="65" spans="1:35" ht="14.25" customHeight="1">
      <c r="A65" s="169" t="s">
        <v>326</v>
      </c>
      <c r="B65" s="170" t="s">
        <v>1384</v>
      </c>
      <c r="C65" s="2566"/>
      <c r="D65" s="170"/>
      <c r="E65" s="172"/>
      <c r="F65" s="1808"/>
      <c r="G65" s="1808"/>
      <c r="H65" s="1810"/>
      <c r="I65" s="129"/>
      <c r="J65" s="3654"/>
      <c r="K65" s="1332" t="s">
        <v>1385</v>
      </c>
      <c r="L65" s="1332" t="e">
        <f ca="1">IF(M49&gt;1000,M49*0.1%,IF(AND(M49&gt;500,M49&lt;=1000),M49*0.5%,IF(AND(M49&gt;50,M49&lt;=500),M49*1%,IF(AND(M49&gt;1,M49&lt;=50),M49*1.5%))))</f>
        <v>#VALUE!</v>
      </c>
      <c r="M65" s="302" t="e">
        <f t="shared" ca="1" si="2"/>
        <v>#VALUE!</v>
      </c>
      <c r="N65" s="2544" t="s">
        <v>1383</v>
      </c>
      <c r="Z65" s="1752"/>
      <c r="AI65" s="1753"/>
    </row>
    <row r="66" spans="1:35" ht="14.25" customHeight="1">
      <c r="A66" s="173" t="s">
        <v>327</v>
      </c>
      <c r="B66" s="174" t="s">
        <v>1386</v>
      </c>
      <c r="C66" s="2567"/>
      <c r="D66" s="174" t="s">
        <v>26</v>
      </c>
      <c r="E66" s="1338" t="s">
        <v>671</v>
      </c>
      <c r="F66" s="1808"/>
      <c r="G66" s="1808"/>
      <c r="H66" s="1810"/>
      <c r="I66" s="129"/>
      <c r="J66" s="3654"/>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4"/>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4"/>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54"/>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64"/>
      <c r="G76" s="3564"/>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4" t="s">
        <v>1406</v>
      </c>
      <c r="F78" s="3575"/>
      <c r="G78" s="3575"/>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6" t="s">
        <v>2128</v>
      </c>
      <c r="H90" s="365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4" t="s">
        <v>1419</v>
      </c>
      <c r="F91" s="3575"/>
      <c r="G91" s="357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4" t="s">
        <v>1422</v>
      </c>
      <c r="F92" s="3575"/>
      <c r="G92" s="3575"/>
      <c r="H92" s="358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4" t="s">
        <v>1406</v>
      </c>
      <c r="F93" s="3575"/>
      <c r="G93" s="3575"/>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5" t="s">
        <v>1426</v>
      </c>
      <c r="F94" s="3586"/>
      <c r="G94" s="3586"/>
      <c r="H94" s="358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85" t="str">
        <f>C4</f>
        <v>成本法</v>
      </c>
      <c r="D101" s="2586" t="str">
        <f>D4</f>
        <v>收益法（汇总）</v>
      </c>
      <c r="E101" s="3651" t="s">
        <v>1431</v>
      </c>
      <c r="F101" s="3608"/>
      <c r="G101" s="1827" t="s">
        <v>1432</v>
      </c>
      <c r="H101" s="2595" t="e">
        <f ca="1">H118</f>
        <v>#REF!</v>
      </c>
      <c r="I101" s="129"/>
    </row>
    <row r="102" spans="1:35" ht="18.75" customHeight="1">
      <c r="A102" s="3610" t="s">
        <v>1433</v>
      </c>
      <c r="B102" s="2584" t="s">
        <v>1432</v>
      </c>
      <c r="C102" s="2585">
        <f ca="1">IF(D32="楼面单价",ROUND(C19,0),C19)</f>
        <v>74973</v>
      </c>
      <c r="D102" s="2586">
        <f ca="1">IF(D32="楼面单价",ROUND(D19,0),D19)</f>
        <v>71269</v>
      </c>
      <c r="E102" s="3651"/>
      <c r="F102" s="3608"/>
      <c r="G102" s="1827" t="s">
        <v>1434</v>
      </c>
      <c r="H102" s="2555" t="e">
        <f ca="1">I118</f>
        <v>#REF!</v>
      </c>
      <c r="I102" s="129"/>
    </row>
    <row r="103" spans="1:35" ht="42.75" customHeight="1">
      <c r="A103" s="3610"/>
      <c r="B103" s="2584" t="s">
        <v>1434</v>
      </c>
      <c r="C103" s="2587">
        <f ca="1">C20</f>
        <v>27880</v>
      </c>
      <c r="D103" s="2588">
        <f ca="1">D20</f>
        <v>26503</v>
      </c>
      <c r="E103" s="3645" t="s">
        <v>1435</v>
      </c>
      <c r="F103" s="3646"/>
      <c r="G103" s="1828" t="s">
        <v>1436</v>
      </c>
      <c r="H103" s="2595">
        <f>IF(D36="正常操作",H104+H105+H106,H105+H106)</f>
        <v>0</v>
      </c>
      <c r="I103" s="129"/>
    </row>
    <row r="104" spans="1:35" ht="18.75" customHeight="1">
      <c r="A104" s="361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608"/>
      <c r="G107" s="1827" t="s">
        <v>1432</v>
      </c>
      <c r="H107" s="2595" t="e">
        <f ca="1">IF(E107="——","——",H101-H103)</f>
        <v>#REF!</v>
      </c>
      <c r="I107" s="129"/>
    </row>
    <row r="108" spans="1:35" ht="18.75" customHeight="1">
      <c r="A108" s="129"/>
      <c r="B108" s="129"/>
      <c r="C108" s="129"/>
      <c r="D108" s="129"/>
      <c r="E108" s="3607"/>
      <c r="F108" s="3608"/>
      <c r="G108" s="1827" t="s">
        <v>1434</v>
      </c>
      <c r="H108" s="2555">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7" t="s">
        <v>1432</v>
      </c>
      <c r="H109" s="2598" t="str">
        <f>IF(E109="——","——",H101-H105-H106)</f>
        <v>——</v>
      </c>
      <c r="I109" s="129"/>
    </row>
    <row r="110" spans="1:35" ht="18.75" customHeight="1">
      <c r="A110" s="129"/>
      <c r="B110" s="129"/>
      <c r="C110" s="129"/>
      <c r="D110" s="129"/>
      <c r="E110" s="3607"/>
      <c r="F110" s="3608"/>
      <c r="G110" s="1827" t="s">
        <v>1434</v>
      </c>
      <c r="H110" s="2555"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7" t="s">
        <v>1432</v>
      </c>
      <c r="H111" s="2595" t="str">
        <f>IF(E111="——","——",N59)</f>
        <v>——</v>
      </c>
      <c r="I111" s="129"/>
    </row>
    <row r="112" spans="1:35" ht="18.75" customHeight="1" thickBot="1">
      <c r="A112" s="129"/>
      <c r="B112" s="129"/>
      <c r="C112" s="129"/>
      <c r="D112" s="129"/>
      <c r="E112" s="3640"/>
      <c r="F112" s="3641"/>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2329" t="s">
        <v>1449</v>
      </c>
      <c r="E117" s="2329" t="s">
        <v>1450</v>
      </c>
      <c r="F117" s="2329" t="s">
        <v>1449</v>
      </c>
      <c r="G117" s="2329" t="s">
        <v>1451</v>
      </c>
      <c r="H117" s="2329" t="s">
        <v>1449</v>
      </c>
      <c r="I117" s="2329" t="s">
        <v>1451</v>
      </c>
    </row>
    <row r="118" spans="1:27" ht="24.75" customHeight="1">
      <c r="A118" s="2600" t="str">
        <f>项目基本情况!S2</f>
        <v>房地产</v>
      </c>
      <c r="B118" s="2329">
        <f>M18</f>
        <v>26891.389999999996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8" t="s">
        <v>1452</v>
      </c>
      <c r="B119" s="3578"/>
      <c r="C119" s="3578"/>
      <c r="D119" s="3618" t="e">
        <f ca="1">NUMBERSTRING(INT(D118*10000),2)&amp;"元整"</f>
        <v>#REF!</v>
      </c>
      <c r="E119" s="3620"/>
      <c r="F119" s="3618" t="e">
        <f ca="1">NUMBERSTRING(INT(F118*10000),2)&amp;"元整"</f>
        <v>#REF!</v>
      </c>
      <c r="G119" s="3620"/>
      <c r="H119" s="3618" t="e">
        <f ca="1">NUMBERSTRING(INT(H118*10000),2)&amp;"元整"</f>
        <v>#REF!</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房地产抵押价值</v>
      </c>
      <c r="B122" s="3609"/>
      <c r="C122" s="3609"/>
      <c r="D122" s="3642" t="e">
        <f ca="1">H107</f>
        <v>#REF!</v>
      </c>
      <c r="E122" s="3643"/>
      <c r="F122" s="3643"/>
      <c r="G122" s="3643"/>
      <c r="H122" s="3643"/>
      <c r="I122" s="3644"/>
      <c r="AA122" s="725"/>
    </row>
    <row r="123" spans="1:27" ht="18.75" customHeight="1">
      <c r="A123" s="3578" t="s">
        <v>1452</v>
      </c>
      <c r="B123" s="3578"/>
      <c r="C123" s="3578"/>
      <c r="D123" s="3618" t="e">
        <f ca="1">NUMBERSTRING(INT(D122*10000),2)&amp;"元整"</f>
        <v>#REF!</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9</v>
      </c>
    </row>
    <row r="2" spans="1:9" s="200" customFormat="1" ht="18" customHeight="1">
      <c r="A2" s="201" t="s">
        <v>1462</v>
      </c>
      <c r="B2" s="202">
        <f ca="1">IF(D2="——",C52,C52-E2)</f>
        <v>74973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27880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47550</v>
      </c>
      <c r="D5" s="211" t="s">
        <v>1469</v>
      </c>
      <c r="E5" s="212" t="s">
        <v>1470</v>
      </c>
      <c r="F5" s="212" t="s">
        <v>1471</v>
      </c>
      <c r="G5" s="213"/>
    </row>
    <row r="6" spans="1:9" s="214" customFormat="1" ht="13.5" customHeight="1">
      <c r="A6" s="778" t="s">
        <v>1472</v>
      </c>
      <c r="B6" s="215" t="s">
        <v>1473</v>
      </c>
      <c r="C6" s="216">
        <f>基准地价修正!B2</f>
        <v>45621</v>
      </c>
      <c r="D6" s="217"/>
      <c r="E6" s="218"/>
      <c r="F6" s="218"/>
      <c r="G6" s="219"/>
    </row>
    <row r="7" spans="1:9" s="214" customFormat="1" ht="13.5" customHeight="1">
      <c r="A7" s="778" t="s">
        <v>1474</v>
      </c>
      <c r="B7" s="215" t="s">
        <v>1475</v>
      </c>
      <c r="C7" s="220">
        <f>ROUND(C6*F7,0)</f>
        <v>1391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538</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3405</v>
      </c>
      <c r="H9" s="1137"/>
      <c r="I9" s="1858" t="s">
        <v>1479</v>
      </c>
    </row>
    <row r="10" spans="1:9" s="214" customFormat="1" ht="13.5" customHeight="1">
      <c r="A10" s="779" t="s">
        <v>356</v>
      </c>
      <c r="B10" s="224" t="s">
        <v>1480</v>
      </c>
      <c r="C10" s="225">
        <f ca="1">ROUND(D10*E10/10000,0)</f>
        <v>538</v>
      </c>
      <c r="D10" s="845">
        <f ca="1">IF(B1="",'数据-汇总表'!E6,IF(INDIRECT("'数据-取费表'!c"&amp;$G$1)="住宅",INDIRECT("'数据-取费表'!s"&amp;$G$1),INDIRECT("'数据-取费表'!k"&amp;$G$1)+INDIRECT("'数据-取费表'!s"&amp;$G$1)))</f>
        <v>26891.389999999996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26891.389999999996</v>
      </c>
      <c r="E19" s="211">
        <f>'数据-取费表'!B31</f>
        <v>200</v>
      </c>
      <c r="F19" s="231"/>
      <c r="G19" s="1856" t="s">
        <v>3406</v>
      </c>
    </row>
    <row r="20" spans="1:7" s="214" customFormat="1" ht="13.5" customHeight="1">
      <c r="A20" s="255" t="s">
        <v>1493</v>
      </c>
      <c r="B20" s="210" t="s">
        <v>1494</v>
      </c>
      <c r="C20" s="232">
        <f ca="1">ROUND((C5+C19)*F20,0)</f>
        <v>951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3371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6305</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6305</v>
      </c>
      <c r="D28" s="235"/>
      <c r="E28" s="236"/>
      <c r="F28" s="246"/>
      <c r="G28" s="247"/>
    </row>
    <row r="29" spans="1:7" s="214" customFormat="1" ht="13.5" customHeight="1">
      <c r="A29" s="780" t="s">
        <v>347</v>
      </c>
      <c r="B29" s="248" t="s">
        <v>1517</v>
      </c>
      <c r="C29" s="238">
        <f ca="1">ROUND(C21*F27*'数据-取费表'!B21/'数据-取费表'!B20,4)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63003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11779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10757</v>
      </c>
      <c r="D34" s="217"/>
      <c r="E34" s="220"/>
      <c r="F34" s="257">
        <f ca="1">IF('数据-取费表'!B24=0,1,IF(B1="",'数据-取费表'!N16,INDIRECT("'数据-取费表'!n"&amp;$G$1)))</f>
        <v>1</v>
      </c>
      <c r="G34" s="219" t="s">
        <v>1526</v>
      </c>
    </row>
    <row r="35" spans="1:7" ht="13.5" customHeight="1">
      <c r="A35" s="780" t="s">
        <v>351</v>
      </c>
      <c r="B35" s="215" t="s">
        <v>1527</v>
      </c>
      <c r="C35" s="220">
        <f ca="1">ROUND(C34*F35,0)</f>
        <v>323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538</v>
      </c>
      <c r="D37" s="217">
        <f ca="1">D19</f>
        <v>26891.389999999996</v>
      </c>
      <c r="E37" s="249">
        <f>'数据-取费表'!B35</f>
        <v>200</v>
      </c>
      <c r="F37" s="259"/>
      <c r="G37" s="261" t="s">
        <v>1532</v>
      </c>
    </row>
    <row r="38" spans="1:7" ht="13.5" customHeight="1">
      <c r="A38" s="780" t="s">
        <v>354</v>
      </c>
      <c r="B38" s="215" t="s">
        <v>1533</v>
      </c>
      <c r="C38" s="220">
        <f ca="1">ROUND(C34*F38,0)</f>
        <v>161</v>
      </c>
      <c r="D38" s="220"/>
      <c r="E38" s="220"/>
      <c r="F38" s="259">
        <f>'数据-取费表'!B36</f>
        <v>1.4999999999999999E-2</v>
      </c>
      <c r="G38" s="219" t="s">
        <v>1528</v>
      </c>
    </row>
    <row r="39" spans="1:7" s="214" customFormat="1" ht="13.5" customHeight="1">
      <c r="A39" s="255" t="s">
        <v>1534</v>
      </c>
      <c r="B39" s="210" t="s">
        <v>1535</v>
      </c>
      <c r="C39" s="232">
        <f ca="1">ROUND(C33*F20,0)</f>
        <v>236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406</v>
      </c>
      <c r="D42" s="238"/>
      <c r="E42" s="238"/>
      <c r="F42" s="239"/>
      <c r="G42" s="3658" t="s">
        <v>1544</v>
      </c>
    </row>
    <row r="43" spans="1:7" ht="13.5" customHeight="1">
      <c r="A43" s="780" t="s">
        <v>347</v>
      </c>
      <c r="B43" s="215" t="s">
        <v>1545</v>
      </c>
      <c r="C43" s="238">
        <f ca="1">ROUND(IF('数据-取费表'!B22&lt;=1,C39*F22*'数据-取费表'!B21/2,C39*(POWER((1+F22),'数据-取费表'!B21/2)-1)),0)</f>
        <v>8</v>
      </c>
      <c r="D43" s="238"/>
      <c r="E43" s="238"/>
      <c r="F43" s="239"/>
      <c r="G43" s="3659"/>
    </row>
    <row r="44" spans="1:7" ht="13.5" customHeight="1">
      <c r="A44" s="780" t="s">
        <v>348</v>
      </c>
      <c r="B44" s="215" t="s">
        <v>1546</v>
      </c>
      <c r="C44" s="238">
        <f ca="1">ROUND(IF('数据-取费表'!B22&lt;=1,C40*F22*'数据-取费表'!B21/2,C40*(POWER((1+F22),'数据-取费表'!B21/2)-1)),4)</f>
        <v>6.9999999999999999E-4</v>
      </c>
      <c r="D44" s="238"/>
      <c r="E44" s="238"/>
      <c r="F44" s="239"/>
      <c r="G44" s="3660"/>
    </row>
    <row r="45" spans="1:7" s="214" customFormat="1" ht="13.5" customHeight="1">
      <c r="A45" s="255" t="s">
        <v>1547</v>
      </c>
      <c r="B45" s="244" t="s">
        <v>1513</v>
      </c>
      <c r="C45" s="245">
        <f ca="1">C46</f>
        <v>1562</v>
      </c>
      <c r="D45" s="235">
        <f ca="1">C47</f>
        <v>2.5999999999999999E-3</v>
      </c>
      <c r="E45" s="236" t="s">
        <v>1539</v>
      </c>
      <c r="F45" s="246">
        <f ca="1">F27</f>
        <v>0.13</v>
      </c>
      <c r="G45" s="247" t="s">
        <v>1548</v>
      </c>
    </row>
    <row r="46" spans="1:7" s="214" customFormat="1" ht="13.5" customHeight="1">
      <c r="A46" s="780" t="s">
        <v>346</v>
      </c>
      <c r="B46" s="248" t="s">
        <v>1549</v>
      </c>
      <c r="C46" s="249">
        <f ca="1">ROUND((C33+C39)*F27,0)</f>
        <v>1562</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15152</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11970</v>
      </c>
      <c r="D51" s="232"/>
      <c r="E51" s="232"/>
      <c r="F51" s="264"/>
      <c r="G51" s="234" t="s">
        <v>1560</v>
      </c>
    </row>
    <row r="52" spans="1:7" s="208" customFormat="1" ht="16.5" thickBot="1">
      <c r="A52" s="265" t="s">
        <v>1561</v>
      </c>
      <c r="B52" s="266"/>
      <c r="C52" s="267">
        <f ca="1">C31+C51</f>
        <v>74973</v>
      </c>
      <c r="D52" s="266"/>
      <c r="E52" s="266"/>
      <c r="F52" s="266"/>
      <c r="G52" s="268"/>
    </row>
    <row r="55" spans="1:7" ht="15">
      <c r="B55" s="270" t="s">
        <v>1562</v>
      </c>
      <c r="C55" s="271"/>
    </row>
    <row r="56" spans="1:7">
      <c r="B56" s="273" t="s">
        <v>802</v>
      </c>
      <c r="C56" s="275">
        <f ca="1">1-C57</f>
        <v>0.84</v>
      </c>
    </row>
    <row r="57" spans="1:7">
      <c r="B57" s="273" t="s">
        <v>803</v>
      </c>
      <c r="C57" s="274">
        <f ca="1">ROUND(C51/C52,3)</f>
        <v>0.16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9</v>
      </c>
      <c r="H1" s="1061" t="str">
        <f>IF(ISERROR(FIND("住宅",B1)),"非住宅","住宅")</f>
        <v>非住宅</v>
      </c>
    </row>
    <row r="2" spans="1:8" s="200" customFormat="1" ht="18" customHeight="1">
      <c r="A2" s="201" t="s">
        <v>1462</v>
      </c>
      <c r="B2" s="3424">
        <f ca="1">ROUND(IF(D2="——",C52/10000,C52/10000-E2),4)</f>
        <v>13394.3907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5378278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5378278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5378278</v>
      </c>
      <c r="D10" s="845">
        <f ca="1">IF(B1="",'数据-汇总表'!E6,IF(INDIRECT("'数据-取费表'!c"&amp;$G$1)="住宅",INDIRECT("'数据-取费表'!s"&amp;$G$1),INDIRECT("'数据-取费表'!k"&amp;$G$1)+INDIRECT("'数据-取费表'!s"&amp;$G$1)))</f>
        <v>26891.389999999996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5378278</v>
      </c>
      <c r="D19" s="849">
        <f ca="1">D9+D10</f>
        <v>26891.389999999996</v>
      </c>
      <c r="E19" s="211">
        <f>'数据-取费表'!B31</f>
        <v>200</v>
      </c>
      <c r="F19" s="231"/>
      <c r="G19" s="1856"/>
    </row>
    <row r="20" spans="1:7" s="214" customFormat="1" ht="13.5" customHeight="1">
      <c r="A20" s="255" t="s">
        <v>1574</v>
      </c>
      <c r="B20" s="210" t="s">
        <v>1575</v>
      </c>
      <c r="C20" s="232">
        <f ca="1">ROUND((C5+C19)*F20,0)</f>
        <v>215131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762428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377503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377503</v>
      </c>
      <c r="D24" s="238"/>
      <c r="E24" s="238"/>
      <c r="F24" s="239"/>
      <c r="G24" s="240" t="s">
        <v>1586</v>
      </c>
    </row>
    <row r="25" spans="1:7" s="214" customFormat="1" ht="24">
      <c r="A25" s="780" t="s">
        <v>1476</v>
      </c>
      <c r="B25" s="215" t="s">
        <v>1587</v>
      </c>
      <c r="C25" s="1128">
        <f ca="1">ROUND(IF('数据-取费表'!B22&lt;=1,C20*F22*'数据-取费表'!B22/2,C20*(POWER((1+F22),'数据-取费表'!B22/2)-1)),0)</f>
        <v>7422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1426319</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ROUND((C5+C19+C20)*F27,0)</f>
        <v>1426319</v>
      </c>
      <c r="D28" s="235"/>
      <c r="E28" s="236"/>
      <c r="F28" s="246"/>
      <c r="G28" s="247"/>
    </row>
    <row r="29" spans="1:7" s="214" customFormat="1" ht="13.5" customHeight="1">
      <c r="A29" s="780"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14252149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117784288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107565560</v>
      </c>
      <c r="D34" s="217"/>
      <c r="E34" s="220"/>
      <c r="F34" s="257"/>
      <c r="G34" s="219"/>
    </row>
    <row r="35" spans="1:7" ht="13.5" customHeight="1">
      <c r="A35" s="780" t="s">
        <v>351</v>
      </c>
      <c r="B35" s="215" t="s">
        <v>1527</v>
      </c>
      <c r="C35" s="220">
        <f ca="1">ROUND(C34*F35,0)</f>
        <v>3226967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5378278</v>
      </c>
      <c r="D37" s="217">
        <f ca="1">D19</f>
        <v>26891.389999999996</v>
      </c>
      <c r="E37" s="249">
        <f>'数据-取费表'!B35</f>
        <v>200</v>
      </c>
      <c r="F37" s="259"/>
      <c r="G37" s="261"/>
    </row>
    <row r="38" spans="1:7" ht="13.5" customHeight="1">
      <c r="A38" s="780" t="s">
        <v>354</v>
      </c>
      <c r="B38" s="215" t="s">
        <v>1533</v>
      </c>
      <c r="C38" s="220">
        <f ca="1">ROUND(C34*F38,0)</f>
        <v>1613483</v>
      </c>
      <c r="D38" s="220"/>
      <c r="E38" s="220"/>
      <c r="F38" s="259">
        <f>'数据-取费表'!B36</f>
        <v>1.4999999999999999E-2</v>
      </c>
      <c r="G38" s="219" t="s">
        <v>1528</v>
      </c>
    </row>
    <row r="39" spans="1:7" s="214" customFormat="1" ht="13.5" customHeight="1">
      <c r="A39" s="255" t="s">
        <v>1534</v>
      </c>
      <c r="B39" s="210" t="s">
        <v>1535</v>
      </c>
      <c r="C39" s="232">
        <f ca="1">ROUND(C33*F20,0)</f>
        <v>2355686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4144829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4063558</v>
      </c>
      <c r="D42" s="238"/>
      <c r="E42" s="238"/>
      <c r="F42" s="239"/>
      <c r="G42" s="3658" t="s">
        <v>1591</v>
      </c>
    </row>
    <row r="43" spans="1:7" ht="13.5" customHeight="1">
      <c r="A43" s="780" t="s">
        <v>347</v>
      </c>
      <c r="B43" s="215" t="s">
        <v>1545</v>
      </c>
      <c r="C43" s="238">
        <f ca="1">ROUND(IF('数据-取费表'!B22&lt;=1,C39*F22*'数据-取费表'!B20/2,C39*(POWER((1+F22),'数据-取费表'!B20/2)-1)),0)</f>
        <v>81271</v>
      </c>
      <c r="D43" s="238"/>
      <c r="E43" s="238"/>
      <c r="F43" s="239"/>
      <c r="G43" s="3659"/>
    </row>
    <row r="44" spans="1:7" ht="13.5" customHeight="1">
      <c r="A44" s="780" t="s">
        <v>348</v>
      </c>
      <c r="B44" s="215" t="s">
        <v>1546</v>
      </c>
      <c r="C44" s="238">
        <f ca="1">ROUND(IF('数据-取费表'!B22&lt;=1,C40*F22*'数据-取费表'!B20/2,C40*(POWER((1+F22),'数据-取费表'!B20/2)-1)),4)</f>
        <v>6.9999999999999999E-4</v>
      </c>
      <c r="D44" s="238"/>
      <c r="E44" s="238"/>
      <c r="F44" s="239"/>
      <c r="G44" s="3660"/>
    </row>
    <row r="45" spans="1:7" s="214" customFormat="1" ht="13.5" customHeight="1">
      <c r="A45" s="255" t="s">
        <v>1547</v>
      </c>
      <c r="B45" s="244" t="s">
        <v>1513</v>
      </c>
      <c r="C45" s="245">
        <f ca="1">C46</f>
        <v>15618197</v>
      </c>
      <c r="D45" s="235">
        <f ca="1">C47</f>
        <v>2.5999999999999999E-3</v>
      </c>
      <c r="E45" s="236" t="s">
        <v>1539</v>
      </c>
      <c r="F45" s="246">
        <f ca="1">F27</f>
        <v>0.13</v>
      </c>
      <c r="G45" s="247" t="s">
        <v>1548</v>
      </c>
    </row>
    <row r="46" spans="1:7" s="214" customFormat="1" ht="13.5" customHeight="1">
      <c r="A46" s="780" t="s">
        <v>346</v>
      </c>
      <c r="B46" s="248" t="s">
        <v>1549</v>
      </c>
      <c r="C46" s="249">
        <f ca="1">ROUND((C33+C39)*F27,0)</f>
        <v>15618197</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151508555</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119691758</v>
      </c>
      <c r="D51" s="232"/>
      <c r="E51" s="232"/>
      <c r="F51" s="264"/>
      <c r="G51" s="234" t="s">
        <v>1560</v>
      </c>
    </row>
    <row r="52" spans="1:7" s="208" customFormat="1" ht="16.5" thickBot="1">
      <c r="A52" s="265" t="s">
        <v>1561</v>
      </c>
      <c r="B52" s="266"/>
      <c r="C52" s="267">
        <f ca="1">C31+C51</f>
        <v>133943907</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9</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26891.389999999996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26891.389999999996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538</v>
      </c>
      <c r="D20" s="846">
        <f ca="1">IF(C1="",'数据-汇总表'!E6,IF(INDIRECT("'数据-取费表'!c"&amp;$K$1)="住宅",INDIRECT("'数据-取费表'!s"&amp;$K$1),INDIRECT("'数据-取费表'!k"&amp;$K$1)+INDIRECT("'数据-取费表'!s"&amp;$K$1)))</f>
        <v>26891.389999999996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71269</v>
      </c>
      <c r="C2" s="1872" t="s">
        <v>1651</v>
      </c>
      <c r="D2" s="1873" t="s">
        <v>1652</v>
      </c>
      <c r="E2" s="2607">
        <f>SUM(E6:E13)</f>
        <v>26891.389999999996</v>
      </c>
      <c r="F2" s="2707"/>
      <c r="G2" s="1489"/>
      <c r="H2" s="1489"/>
      <c r="I2" s="1489"/>
      <c r="J2" s="1489"/>
      <c r="K2" s="1489"/>
      <c r="L2" s="1489"/>
      <c r="M2" s="1489"/>
      <c r="N2" s="1489"/>
      <c r="O2" s="1489"/>
      <c r="P2" s="1489"/>
      <c r="Q2" s="1489"/>
      <c r="R2" s="1489"/>
      <c r="S2" s="1489"/>
    </row>
    <row r="3" spans="1:22" ht="15.75">
      <c r="A3" s="1870" t="s">
        <v>686</v>
      </c>
      <c r="B3" s="2601">
        <f ca="1">ROUND(B2*10000/E2,0)</f>
        <v>26503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5" t="s">
        <v>1654</v>
      </c>
      <c r="C5" s="368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64130</v>
      </c>
      <c r="C6" s="1872" t="s">
        <v>1651</v>
      </c>
      <c r="D6" s="2709"/>
      <c r="E6" s="2606">
        <f>IF(OR(A6=0,F6="否"),0,'数据-取费表'!K6+'数据-取费表'!S6)</f>
        <v>18406.539999999997</v>
      </c>
      <c r="F6" s="1876" t="s">
        <v>1657</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5364</v>
      </c>
      <c r="C7" s="1872" t="s">
        <v>1651</v>
      </c>
      <c r="D7" s="2709"/>
      <c r="E7" s="2606">
        <f>IF(OR(A7=0,F7="否"),0,'数据-取费表'!K7+'数据-取费表'!S7)</f>
        <v>7277.21</v>
      </c>
      <c r="F7" s="1876" t="s">
        <v>1657</v>
      </c>
      <c r="G7" s="1489"/>
      <c r="H7" s="1489"/>
      <c r="I7" s="1489"/>
      <c r="J7" s="1489"/>
      <c r="K7" s="1489"/>
      <c r="L7" s="1489"/>
      <c r="M7" s="1489"/>
      <c r="N7" s="1489"/>
      <c r="O7" s="1489"/>
      <c r="P7" s="1489"/>
      <c r="Q7" s="1489"/>
      <c r="R7" s="1489"/>
      <c r="S7" s="1489"/>
    </row>
    <row r="8" spans="1:22">
      <c r="A8" s="2604" t="str">
        <f>'数据-取费表'!AN8</f>
        <v>收益法(仓储)</v>
      </c>
      <c r="B8" s="2602">
        <f ca="1">IF(F8="是",'数据-取费表'!AO8,0)</f>
        <v>1775</v>
      </c>
      <c r="C8" s="1872" t="s">
        <v>1651</v>
      </c>
      <c r="D8" s="2709"/>
      <c r="E8" s="2606">
        <f>IF(OR(A8=0,F8="否"),0,'数据-取费表'!K8+'数据-取费表'!S8)</f>
        <v>1207.6400000000001</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21" sqref="D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15.25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64130</v>
      </c>
      <c r="C2" s="1387" t="s">
        <v>805</v>
      </c>
      <c r="D2" s="1387"/>
      <c r="E2" s="1388"/>
      <c r="F2" s="1389"/>
      <c r="G2" s="2706"/>
      <c r="H2" s="2695"/>
      <c r="I2" s="2695"/>
      <c r="J2" s="2695"/>
      <c r="K2" s="2696"/>
      <c r="L2" s="2695"/>
      <c r="M2" s="2695"/>
    </row>
    <row r="3" spans="1:37" ht="18" customHeight="1" thickBot="1">
      <c r="A3" s="1390" t="s">
        <v>806</v>
      </c>
      <c r="B3" s="1391">
        <f ca="1">IF(ISERROR(B2*10000/F43),0,ROUND(B2*10000/F43,0))</f>
        <v>34841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6538</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6530</v>
      </c>
      <c r="D6" s="155" t="s">
        <v>2108</v>
      </c>
      <c r="E6" s="302" t="s">
        <v>696</v>
      </c>
      <c r="F6" s="303">
        <f ca="1">INDIRECT("'数据-取费表'!u"&amp;$G$1)</f>
        <v>10.8</v>
      </c>
      <c r="G6" s="1384"/>
      <c r="H6" s="1069" t="s">
        <v>398</v>
      </c>
      <c r="I6" s="3663" t="s">
        <v>694</v>
      </c>
      <c r="J6" s="301">
        <f ca="1">ROUND(M6*M8*M7*(1-M9)/10000,0)</f>
        <v>0</v>
      </c>
      <c r="K6" s="155"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18406.539999999997</v>
      </c>
      <c r="G7" s="1384"/>
      <c r="H7" s="304"/>
      <c r="I7" s="3664"/>
      <c r="J7" s="306"/>
      <c r="K7" s="307"/>
      <c r="L7" s="302" t="s">
        <v>697</v>
      </c>
      <c r="M7" s="303">
        <f ca="1">F7</f>
        <v>18406.539999999997</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8</v>
      </c>
      <c r="D10" s="1366" t="s">
        <v>2116</v>
      </c>
      <c r="E10" s="313" t="s">
        <v>701</v>
      </c>
      <c r="F10" s="1116" t="s">
        <v>3411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8337</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7363</v>
      </c>
      <c r="D14" s="1345" t="s">
        <v>708</v>
      </c>
      <c r="E14" s="1342"/>
      <c r="F14" s="319"/>
      <c r="G14" s="1384"/>
      <c r="H14" s="982" t="s">
        <v>398</v>
      </c>
      <c r="I14" s="302" t="s">
        <v>709</v>
      </c>
      <c r="J14" s="21">
        <f ca="1">C29</f>
        <v>10553</v>
      </c>
      <c r="K14" s="12"/>
      <c r="L14" s="807"/>
      <c r="M14" s="808"/>
    </row>
    <row r="15" spans="1:37" s="1397" customFormat="1" ht="18" customHeight="1" thickBot="1">
      <c r="A15" s="982" t="s">
        <v>399</v>
      </c>
      <c r="B15" s="302" t="s">
        <v>710</v>
      </c>
      <c r="C15" s="21">
        <f ca="1">ROUND(C14*F15,0)</f>
        <v>221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106</v>
      </c>
      <c r="K16" s="1087" t="s">
        <v>715</v>
      </c>
      <c r="L16" s="1088"/>
      <c r="M16" s="1072"/>
    </row>
    <row r="17" spans="1:37" s="1397" customFormat="1" ht="18" customHeight="1">
      <c r="A17" s="982" t="s">
        <v>681</v>
      </c>
      <c r="B17" s="302" t="s">
        <v>716</v>
      </c>
      <c r="C17" s="21">
        <f ca="1">ROUND(F17*(F43+INDIRECT("'数据-取费表'!S"&amp;$G$1))/10000,0)</f>
        <v>368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8062</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161</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105.53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284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-106</v>
      </c>
      <c r="K25" s="1095" t="s">
        <v>753</v>
      </c>
      <c r="L25" s="1096"/>
      <c r="M25" s="1097"/>
    </row>
    <row r="26" spans="1:37">
      <c r="A26" s="982" t="s">
        <v>397</v>
      </c>
      <c r="B26" s="302" t="s">
        <v>754</v>
      </c>
      <c r="C26" s="21">
        <f ca="1">ROUND((C19+C20)*F26,0)</f>
        <v>1233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10553</v>
      </c>
      <c r="D29" s="1092"/>
      <c r="E29" s="1090"/>
      <c r="F29" s="1093"/>
      <c r="G29" s="1396"/>
      <c r="H29" s="334" t="s">
        <v>396</v>
      </c>
      <c r="I29" s="335" t="s">
        <v>768</v>
      </c>
      <c r="J29" s="336">
        <f ca="1">ROUND(J26/(1+F40)^F41,0)</f>
        <v>0</v>
      </c>
      <c r="K29" s="337" t="s">
        <v>769</v>
      </c>
      <c r="L29" s="338"/>
      <c r="M29" s="339">
        <f ca="1">INDIRECT("'数据-取费表'!k"&amp;$G$1)</f>
        <v>18406.539999999997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1274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1094.56</v>
      </c>
      <c r="D31" s="1345" t="s">
        <v>720</v>
      </c>
      <c r="E31" s="1344" t="s">
        <v>770</v>
      </c>
      <c r="F31" s="2315">
        <f ca="1">IF(项目基本情况!B11="企业","——",IF(M47="住宅",IF(F6*F7*F8/12/(1+'数据-取费表'!F30)&gt;100000,4%,2.5%),IF(F6*F7*F8/12/(1+'数据-取费表'!F30)&gt;100000,12%,7%)))</f>
        <v>0.12</v>
      </c>
      <c r="G31" s="1384"/>
      <c r="H31" s="2808" t="s">
        <v>2309</v>
      </c>
      <c r="I31" s="1398"/>
      <c r="J31" s="1399"/>
      <c r="K31" s="2475"/>
      <c r="L31" s="2698"/>
      <c r="M31" s="2699"/>
    </row>
    <row r="32" spans="1:37" ht="18" customHeight="1">
      <c r="A32" s="982" t="s">
        <v>397</v>
      </c>
      <c r="B32" s="302" t="s">
        <v>723</v>
      </c>
      <c r="C32" s="21">
        <f ca="1">IF(项目基本情况!B11="自然人","——",ROUND(C6*F32/(1+'数据-取费表'!C42),2))</f>
        <v>348.27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746.29</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105.53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8.34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65.38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5264</v>
      </c>
      <c r="D39" s="1095" t="s">
        <v>773</v>
      </c>
      <c r="E39" s="1096"/>
      <c r="F39" s="1097"/>
      <c r="G39" s="1384"/>
      <c r="H39" s="2700"/>
      <c r="I39" s="1398"/>
      <c r="J39" s="1399"/>
      <c r="K39" s="2704"/>
      <c r="L39" s="2700"/>
      <c r="M39" s="2700"/>
    </row>
    <row r="40" spans="1:18" ht="18" customHeight="1">
      <c r="A40" s="299" t="s">
        <v>395</v>
      </c>
      <c r="B40" s="300" t="s">
        <v>774</v>
      </c>
      <c r="C40" s="301">
        <f ca="1">ROUND(C39*(1-((1+F42)/(1+F40))^F41)/(F40-F42),0)</f>
        <v>62452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15.25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33929</v>
      </c>
      <c r="D43" s="337" t="s">
        <v>777</v>
      </c>
      <c r="E43" s="338" t="s">
        <v>778</v>
      </c>
      <c r="F43" s="339">
        <f ca="1">INDIRECT("'数据-取费表'!k"&amp;$G$1)</f>
        <v>18406.539999999997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-63609</v>
      </c>
      <c r="D46" s="1406" t="str">
        <f>C2</f>
        <v>万元</v>
      </c>
      <c r="E46" s="1400"/>
      <c r="F46" s="1400"/>
      <c r="I46" s="1407" t="s">
        <v>810</v>
      </c>
      <c r="J46" s="1408"/>
      <c r="K46" s="1409"/>
      <c r="L46" s="1410">
        <f ca="1">IF(M47="住宅",0,IF(L48&gt;J51,L60,J60))</f>
        <v>1678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62452</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15.25</v>
      </c>
      <c r="O48" s="1418" t="s">
        <v>404</v>
      </c>
      <c r="P48" s="1419" t="s">
        <v>821</v>
      </c>
      <c r="Q48" s="1420">
        <f ca="1">J60</f>
        <v>1678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2007</v>
      </c>
      <c r="K49" s="1423" t="s">
        <v>824</v>
      </c>
      <c r="L49" s="1427"/>
      <c r="O49" s="1428" t="s">
        <v>405</v>
      </c>
      <c r="P49" s="1419" t="s">
        <v>825</v>
      </c>
      <c r="Q49" s="1420">
        <f ca="1">C29</f>
        <v>10553</v>
      </c>
      <c r="R49" s="1420" t="s">
        <v>818</v>
      </c>
    </row>
    <row r="50" spans="1:18" s="1384" customFormat="1" ht="13.5" thickBot="1">
      <c r="A50" s="976"/>
      <c r="B50" s="979"/>
      <c r="C50" s="1118"/>
      <c r="D50" s="953"/>
      <c r="E50" s="1056" t="s">
        <v>697</v>
      </c>
      <c r="F50" s="1057">
        <f ca="1">F7</f>
        <v>18406.539999999997</v>
      </c>
      <c r="H50" s="723"/>
      <c r="I50" s="1421" t="s">
        <v>826</v>
      </c>
      <c r="J50" s="1429">
        <f>SUMPRODUCT((I63:I65=J47)*(J62:L62=J48)*(J63:L65))</f>
        <v>60</v>
      </c>
      <c r="K50" s="1423" t="s">
        <v>827</v>
      </c>
      <c r="L50" s="1427"/>
      <c r="M50" s="1430"/>
      <c r="O50" s="1428" t="s">
        <v>406</v>
      </c>
      <c r="P50" s="1419" t="s">
        <v>828</v>
      </c>
      <c r="Q50" s="1431">
        <f ca="1">J58</f>
        <v>0.47899999999999998</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82669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15.25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15.25</v>
      </c>
      <c r="K53" s="3661" t="s">
        <v>837</v>
      </c>
      <c r="L53" s="3662"/>
      <c r="O53" s="1418" t="s">
        <v>409</v>
      </c>
      <c r="P53" s="1419" t="s">
        <v>838</v>
      </c>
      <c r="Q53" s="1420">
        <f ca="1">Q47+Q48</f>
        <v>64130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0.47899999999999998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8337</v>
      </c>
      <c r="D56" s="1447"/>
      <c r="E56" s="1448"/>
      <c r="F56" s="1440"/>
      <c r="I56" s="1449" t="s">
        <v>842</v>
      </c>
      <c r="J56" s="1450" t="s">
        <v>3414</v>
      </c>
      <c r="K56" s="1421" t="s">
        <v>843</v>
      </c>
      <c r="L56" s="1424" t="str">
        <f ca="1">IF(L48&lt;J51,"——",L48-J53)</f>
        <v>——</v>
      </c>
      <c r="O56" s="1418" t="s">
        <v>403</v>
      </c>
      <c r="P56" s="1419" t="s">
        <v>817</v>
      </c>
      <c r="Q56" s="1420">
        <f ca="1">C40+J29</f>
        <v>62452</v>
      </c>
      <c r="R56" s="1420" t="s">
        <v>818</v>
      </c>
    </row>
    <row r="57" spans="1:18" s="1384" customFormat="1" ht="24.75" thickBot="1">
      <c r="A57" s="1451"/>
      <c r="B57" s="950" t="s">
        <v>767</v>
      </c>
      <c r="C57" s="238">
        <f ca="1">C29</f>
        <v>10553</v>
      </c>
      <c r="D57" s="1452"/>
      <c r="E57" s="1453"/>
      <c r="F57" s="1454"/>
      <c r="I57" s="1455" t="s">
        <v>844</v>
      </c>
      <c r="J57" s="1456">
        <f ca="1">IF(OR(M47="住宅",J51&lt;L48,J56="是"),"——",J51-L48)</f>
        <v>28.75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114</v>
      </c>
      <c r="D58" s="960" t="s">
        <v>715</v>
      </c>
      <c r="E58" s="961"/>
      <c r="F58" s="962"/>
      <c r="I58" s="1455" t="s">
        <v>848</v>
      </c>
      <c r="J58" s="1457">
        <f ca="1">IF(J55&lt;0.4,0.4,J55)</f>
        <v>0.47899999999999998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5055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1678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62452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105.53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8.34</v>
      </c>
      <c r="D65" s="964" t="s">
        <v>743</v>
      </c>
      <c r="E65" s="950" t="s">
        <v>744</v>
      </c>
      <c r="F65" s="330">
        <f t="shared" ca="1" si="0"/>
        <v>1E-3</v>
      </c>
      <c r="I65" s="1462" t="s">
        <v>867</v>
      </c>
      <c r="J65" s="1463">
        <v>40</v>
      </c>
      <c r="K65" s="1463">
        <v>30</v>
      </c>
      <c r="L65" s="1463">
        <v>50</v>
      </c>
      <c r="M65" s="1465">
        <v>0.02</v>
      </c>
      <c r="O65" s="1418" t="s">
        <v>403</v>
      </c>
      <c r="P65" s="1419" t="s">
        <v>868</v>
      </c>
      <c r="Q65" s="1420">
        <f ca="1">C40+J29</f>
        <v>62452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-114</v>
      </c>
      <c r="D67" s="963" t="s">
        <v>753</v>
      </c>
      <c r="E67" s="968"/>
      <c r="F67" s="969"/>
      <c r="O67" s="1428" t="s">
        <v>405</v>
      </c>
      <c r="P67" s="1419" t="s">
        <v>850</v>
      </c>
      <c r="Q67" s="1466">
        <f ca="1">L51</f>
        <v>82669</v>
      </c>
      <c r="R67" s="1420" t="s">
        <v>870</v>
      </c>
    </row>
    <row r="68" spans="1:18" s="1384" customFormat="1" ht="16.5" thickBot="1">
      <c r="A68" s="947" t="s">
        <v>395</v>
      </c>
      <c r="B68" s="948" t="s">
        <v>774</v>
      </c>
      <c r="C68" s="301">
        <f ca="1">ROUND(C67*(1-((1+F70)/(1+F68))^F69)/(F68-F70),0)</f>
        <v>-1157</v>
      </c>
      <c r="D68" s="965" t="s">
        <v>758</v>
      </c>
      <c r="E68" s="950" t="s">
        <v>759</v>
      </c>
      <c r="F68" s="312">
        <f ca="1">F40</f>
        <v>5.5E-2</v>
      </c>
      <c r="O68" s="1428" t="s">
        <v>406</v>
      </c>
      <c r="P68" s="1467" t="s">
        <v>871</v>
      </c>
      <c r="Q68" s="1420">
        <f ca="1">ROUND(Q69-Q70*Q71,0)</f>
        <v>4680</v>
      </c>
      <c r="R68" s="1420" t="s">
        <v>414</v>
      </c>
    </row>
    <row r="69" spans="1:18" s="1384" customFormat="1" ht="13.5" thickBot="1">
      <c r="A69" s="951"/>
      <c r="B69" s="952"/>
      <c r="C69" s="306"/>
      <c r="D69" s="970" t="s">
        <v>762</v>
      </c>
      <c r="E69" s="950" t="s">
        <v>763</v>
      </c>
      <c r="F69" s="333">
        <f ca="1">F41</f>
        <v>15.25</v>
      </c>
      <c r="O69" s="1428" t="s">
        <v>411</v>
      </c>
      <c r="P69" s="1467" t="s">
        <v>872</v>
      </c>
      <c r="Q69" s="1420">
        <f ca="1">C39</f>
        <v>5264</v>
      </c>
      <c r="R69" s="1420" t="s">
        <v>818</v>
      </c>
    </row>
    <row r="70" spans="1:18" s="1384" customFormat="1" ht="13.5" thickBot="1">
      <c r="A70" s="954"/>
      <c r="B70" s="955"/>
      <c r="C70" s="310"/>
      <c r="D70" s="966"/>
      <c r="E70" s="950" t="s">
        <v>766</v>
      </c>
      <c r="F70" s="1054"/>
      <c r="O70" s="1428" t="s">
        <v>412</v>
      </c>
      <c r="P70" s="1467" t="s">
        <v>873</v>
      </c>
      <c r="Q70" s="1420">
        <f ca="1">C13</f>
        <v>8337</v>
      </c>
      <c r="R70" s="1420" t="s">
        <v>818</v>
      </c>
    </row>
    <row r="71" spans="1:18" s="1384" customFormat="1" ht="13.5" thickBot="1">
      <c r="A71" s="971" t="s">
        <v>396</v>
      </c>
      <c r="B71" s="972" t="s">
        <v>776</v>
      </c>
      <c r="C71" s="336">
        <f ca="1">ROUND(C68*10000/F71,0)</f>
        <v>-629</v>
      </c>
      <c r="D71" s="973" t="s">
        <v>777</v>
      </c>
      <c r="E71" s="974" t="s">
        <v>778</v>
      </c>
      <c r="F71" s="339">
        <f ca="1">F43</f>
        <v>18406.539999999997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584</v>
      </c>
      <c r="D75" s="1384"/>
      <c r="E75" s="1384"/>
      <c r="F75" s="1384"/>
      <c r="K75" s="1402"/>
      <c r="L75" s="1384"/>
      <c r="O75" s="1418" t="s">
        <v>409</v>
      </c>
      <c r="P75" s="1419" t="s">
        <v>838</v>
      </c>
      <c r="Q75" s="1420">
        <f ca="1">Q65+Q66</f>
        <v>62452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0.86699999999999999</v>
      </c>
    </row>
    <row r="83" spans="2:3">
      <c r="B83" s="273" t="s">
        <v>803</v>
      </c>
      <c r="C83" s="274">
        <f ca="1">ROUND(C13/C40,3)</f>
        <v>0.13300000000000001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7" priority="56">
      <formula>$L$48&gt;$J$51</formula>
    </cfRule>
  </conditionalFormatting>
  <conditionalFormatting sqref="I55 I60">
    <cfRule type="expression" dxfId="206" priority="57">
      <formula>$J$51&gt;$L$48</formula>
    </cfRule>
  </conditionalFormatting>
  <conditionalFormatting sqref="C11">
    <cfRule type="expression" dxfId="205" priority="3">
      <formula>$F$10="自定义"</formula>
    </cfRule>
  </conditionalFormatting>
  <conditionalFormatting sqref="J11">
    <cfRule type="expression" dxfId="204" priority="2">
      <formula>$M$10="自定义"</formula>
    </cfRule>
  </conditionalFormatting>
  <conditionalFormatting sqref="C54">
    <cfRule type="expression" dxfId="2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15" sqref="I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3336</v>
      </c>
      <c r="D1" s="1362" t="s">
        <v>43</v>
      </c>
      <c r="E1" s="1363" t="s">
        <v>678</v>
      </c>
      <c r="F1" s="1062">
        <f ca="1">J53</f>
        <v>25.26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5364</v>
      </c>
      <c r="C2" s="1387" t="s">
        <v>805</v>
      </c>
      <c r="D2" s="1387"/>
      <c r="E2" s="1388"/>
      <c r="F2" s="1389"/>
      <c r="G2" s="2706"/>
      <c r="H2" s="2695"/>
      <c r="I2" s="2695"/>
      <c r="J2" s="2695"/>
      <c r="K2" s="2696"/>
      <c r="L2" s="2695"/>
      <c r="M2" s="2695"/>
    </row>
    <row r="3" spans="1:37" ht="18" customHeight="1" thickBot="1">
      <c r="A3" s="1390" t="s">
        <v>806</v>
      </c>
      <c r="B3" s="1391">
        <f ca="1">IF(ISERROR(B2*10000/F43),0,ROUND(B2*10000/F43,0))</f>
        <v>7371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366</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366</v>
      </c>
      <c r="D6" s="155" t="s">
        <v>2108</v>
      </c>
      <c r="E6" s="302" t="s">
        <v>696</v>
      </c>
      <c r="F6" s="303">
        <f ca="1">INDIRECT("'数据-取费表'!u"&amp;$G$1)</f>
        <v>1400</v>
      </c>
      <c r="G6" s="1384"/>
      <c r="H6" s="1069" t="s">
        <v>398</v>
      </c>
      <c r="I6" s="3663" t="s">
        <v>694</v>
      </c>
      <c r="J6" s="301">
        <f ca="1">ROUND(M6*M8*M7*(1-M9)/10000,0)</f>
        <v>0</v>
      </c>
      <c r="K6" s="155" t="s">
        <v>2107</v>
      </c>
      <c r="L6" s="302" t="s">
        <v>696</v>
      </c>
      <c r="M6" s="303">
        <f ca="1">INDIRECT("'数据-取费表'!z"&amp;$G$1)</f>
        <v>0</v>
      </c>
    </row>
    <row r="7" spans="1:37" ht="18" customHeight="1">
      <c r="A7" s="1073"/>
      <c r="B7" s="3664"/>
      <c r="C7" s="1075"/>
      <c r="D7" s="307"/>
      <c r="E7" s="3457" t="s">
        <v>697</v>
      </c>
      <c r="F7" s="303">
        <f ca="1">IF(INDIRECT("'数据-取费表'!ah"&amp;$G$1)="",INDIRECT("'数据-取费表'!k"&amp;$G$1),INDIRECT("'数据-取费表'!ah"&amp;$G$1))</f>
        <v>242</v>
      </c>
      <c r="G7" s="1384"/>
      <c r="H7" s="304"/>
      <c r="I7" s="3664"/>
      <c r="J7" s="306"/>
      <c r="K7" s="307"/>
      <c r="L7" s="302" t="s">
        <v>697</v>
      </c>
      <c r="M7" s="303">
        <f ca="1">F7</f>
        <v>242</v>
      </c>
    </row>
    <row r="8" spans="1:37" ht="18" customHeight="1">
      <c r="A8" s="304"/>
      <c r="B8" s="3664"/>
      <c r="C8" s="306"/>
      <c r="D8" s="307"/>
      <c r="E8" s="302" t="s">
        <v>698</v>
      </c>
      <c r="F8" s="303">
        <f ca="1">INDIRECT("'数据-取费表'!ai"&amp;$G$1)</f>
        <v>12</v>
      </c>
      <c r="G8" s="1384"/>
      <c r="H8" s="304"/>
      <c r="I8" s="3664"/>
      <c r="J8" s="306"/>
      <c r="K8" s="307"/>
      <c r="L8" s="302" t="s">
        <v>698</v>
      </c>
      <c r="M8" s="303">
        <f ca="1">INDIRECT("'数据-取费表'!ai"&amp;$G$1)</f>
        <v>12</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3154</v>
      </c>
      <c r="D13" s="3450" t="s">
        <v>705</v>
      </c>
      <c r="E13" s="3450"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2911</v>
      </c>
      <c r="D14" s="3467" t="s">
        <v>708</v>
      </c>
      <c r="E14" s="3466"/>
      <c r="F14" s="319"/>
      <c r="G14" s="1384"/>
      <c r="H14" s="982" t="s">
        <v>398</v>
      </c>
      <c r="I14" s="302" t="s">
        <v>709</v>
      </c>
      <c r="J14" s="21">
        <f ca="1">C29</f>
        <v>3992</v>
      </c>
      <c r="K14" s="3455"/>
      <c r="L14" s="807"/>
      <c r="M14" s="808"/>
    </row>
    <row r="15" spans="1:37" s="1397" customFormat="1" ht="18" customHeight="1" thickBot="1">
      <c r="A15" s="982" t="s">
        <v>399</v>
      </c>
      <c r="B15" s="302" t="s">
        <v>710</v>
      </c>
      <c r="C15" s="21">
        <f ca="1">ROUND(C14*F15,0)</f>
        <v>87</v>
      </c>
      <c r="D15" s="3451" t="s">
        <v>711</v>
      </c>
      <c r="E15" s="3451"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v>
      </c>
      <c r="K16" s="1087" t="s">
        <v>715</v>
      </c>
      <c r="L16" s="3471"/>
      <c r="M16" s="1072"/>
    </row>
    <row r="17" spans="1:37" s="1397" customFormat="1" ht="18" customHeight="1">
      <c r="A17" s="982" t="s">
        <v>681</v>
      </c>
      <c r="B17" s="302" t="s">
        <v>716</v>
      </c>
      <c r="C17" s="21">
        <f ca="1">ROUND(F17*(F43+INDIRECT("'数据-取费表'!S"&amp;$G$1))/10000,0)</f>
        <v>146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67" t="s">
        <v>720</v>
      </c>
      <c r="L17" s="3470"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44</v>
      </c>
      <c r="D18" s="302" t="s">
        <v>711</v>
      </c>
      <c r="E18" s="302" t="s">
        <v>712</v>
      </c>
      <c r="F18" s="322">
        <f>'数据-取费表'!B36</f>
        <v>1.4999999999999999E-2</v>
      </c>
      <c r="G18" s="1396"/>
      <c r="H18" s="982" t="s">
        <v>397</v>
      </c>
      <c r="I18" s="302" t="s">
        <v>723</v>
      </c>
      <c r="J18" s="21">
        <f ca="1">ROUND(J6*M18/(1+'数据-取费表'!C42),2)</f>
        <v>0</v>
      </c>
      <c r="K18" s="347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3188</v>
      </c>
      <c r="D19" s="131" t="s">
        <v>726</v>
      </c>
      <c r="E19" s="3474"/>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64</v>
      </c>
      <c r="D20" s="2428"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19.96</v>
      </c>
      <c r="K22" s="3470"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70"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-20</v>
      </c>
      <c r="K25" s="1095" t="s">
        <v>753</v>
      </c>
      <c r="L25" s="1096"/>
      <c r="M25" s="1097"/>
    </row>
    <row r="26" spans="1:37">
      <c r="A26" s="982" t="s">
        <v>397</v>
      </c>
      <c r="B26" s="302" t="s">
        <v>754</v>
      </c>
      <c r="C26" s="21">
        <f ca="1">ROUND((C19+C20)*F26,0)</f>
        <v>325</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3992</v>
      </c>
      <c r="D29" s="1092"/>
      <c r="E29" s="1090"/>
      <c r="F29" s="1093"/>
      <c r="G29" s="1396"/>
      <c r="H29" s="334" t="s">
        <v>396</v>
      </c>
      <c r="I29" s="335" t="s">
        <v>768</v>
      </c>
      <c r="J29" s="336">
        <f ca="1">ROUND(J26/(1+F40)^F41,0)</f>
        <v>0</v>
      </c>
      <c r="K29" s="337" t="s">
        <v>769</v>
      </c>
      <c r="L29" s="338"/>
      <c r="M29" s="339">
        <f ca="1">INDIRECT("'数据-取费表'!k"&amp;$G$1)</f>
        <v>7277.21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86</v>
      </c>
      <c r="D30" s="1087" t="s">
        <v>715</v>
      </c>
      <c r="E30" s="347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61.35</v>
      </c>
      <c r="D31" s="3467" t="s">
        <v>720</v>
      </c>
      <c r="E31" s="3470" t="s">
        <v>770</v>
      </c>
      <c r="F31" s="2315">
        <f ca="1">IF(项目基本情况!B11="企业","——",IF(M47="住宅",IF(F6*F7*F8/12/(1+'数据-取费表'!F30)&gt;100000,4%,2.5%),IF(F6*F7*F8/12/(1+'数据-取费表'!F30)&gt;100000,12%,7%)))</f>
        <v>0.12</v>
      </c>
      <c r="G31" s="1384"/>
      <c r="H31" s="2808" t="s">
        <v>2309</v>
      </c>
      <c r="I31" s="1398"/>
      <c r="J31" s="1399"/>
      <c r="K31" s="2475"/>
      <c r="L31" s="2698"/>
      <c r="M31" s="2699"/>
    </row>
    <row r="32" spans="1:37" ht="18" customHeight="1">
      <c r="A32" s="982" t="s">
        <v>397</v>
      </c>
      <c r="B32" s="302" t="s">
        <v>723</v>
      </c>
      <c r="C32" s="21">
        <f ca="1">IF(项目基本情况!B11="自然人","——",ROUND(C6*F32/(1+'数据-取费表'!C42),2))</f>
        <v>19.52</v>
      </c>
      <c r="D32" s="3470"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41.83</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19.96</v>
      </c>
      <c r="D36" s="3470"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3.15</v>
      </c>
      <c r="D37" s="3470"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1.83</v>
      </c>
      <c r="D38" s="1092" t="s">
        <v>748</v>
      </c>
      <c r="E38" s="1090" t="s">
        <v>712</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280</v>
      </c>
      <c r="D39" s="1095" t="s">
        <v>753</v>
      </c>
      <c r="E39" s="1096"/>
      <c r="F39" s="1097"/>
      <c r="G39" s="1384"/>
      <c r="H39" s="2700"/>
      <c r="I39" s="1398"/>
      <c r="J39" s="1399"/>
      <c r="K39" s="2704"/>
      <c r="L39" s="2700"/>
      <c r="M39" s="2700"/>
    </row>
    <row r="40" spans="1:18" ht="18" customHeight="1">
      <c r="A40" s="299" t="s">
        <v>395</v>
      </c>
      <c r="B40" s="300" t="s">
        <v>774</v>
      </c>
      <c r="C40" s="301">
        <f ca="1">ROUND(C39*(1-((1+F42)/(1+F40))^F41)/(F40-F42),0)</f>
        <v>5107</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25.26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7018</v>
      </c>
      <c r="D43" s="337" t="s">
        <v>777</v>
      </c>
      <c r="E43" s="338" t="s">
        <v>778</v>
      </c>
      <c r="F43" s="339">
        <f ca="1">INDIRECT("'数据-取费表'!k"&amp;$G$1)</f>
        <v>7277.21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-5433</v>
      </c>
      <c r="D46" s="1406" t="str">
        <f>C2</f>
        <v>万元</v>
      </c>
      <c r="E46" s="1400"/>
      <c r="F46" s="1400"/>
      <c r="I46" s="1407" t="s">
        <v>810</v>
      </c>
      <c r="J46" s="1408"/>
      <c r="K46" s="1409"/>
      <c r="L46" s="1410">
        <f ca="1">IF(M47="住宅",0,IF(L48&gt;J51,L60,J60))</f>
        <v>257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50</v>
      </c>
      <c r="M47" s="1380" t="str">
        <f>IF(ISNUMBER(FIND("住宅",C1)),"住宅","非住宅")</f>
        <v>非住宅</v>
      </c>
      <c r="O47" s="1418" t="s">
        <v>403</v>
      </c>
      <c r="P47" s="1419" t="s">
        <v>817</v>
      </c>
      <c r="Q47" s="1420">
        <f ca="1">C40+J29</f>
        <v>5107</v>
      </c>
      <c r="R47" s="1420" t="s">
        <v>818</v>
      </c>
    </row>
    <row r="48" spans="1:18" s="1384" customFormat="1" ht="28.5" thickBot="1">
      <c r="A48" s="1110" t="s">
        <v>438</v>
      </c>
      <c r="B48" s="300" t="s">
        <v>692</v>
      </c>
      <c r="C48" s="3473">
        <f ca="1">C49+C53+C55</f>
        <v>0</v>
      </c>
      <c r="D48" s="1112"/>
      <c r="E48" s="1113"/>
      <c r="F48" s="962"/>
      <c r="G48" s="722"/>
      <c r="H48" s="723"/>
      <c r="I48" s="1421" t="s">
        <v>819</v>
      </c>
      <c r="J48" s="1422" t="s">
        <v>3413</v>
      </c>
      <c r="K48" s="1423" t="s">
        <v>820</v>
      </c>
      <c r="L48" s="1424">
        <f ca="1">INDIRECT("'数据-取费表'!f"&amp;$G$1)</f>
        <v>25.26</v>
      </c>
      <c r="O48" s="1418" t="s">
        <v>404</v>
      </c>
      <c r="P48" s="1419" t="s">
        <v>821</v>
      </c>
      <c r="Q48" s="1420">
        <f ca="1">J60</f>
        <v>257</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2007</v>
      </c>
      <c r="K49" s="1423" t="s">
        <v>824</v>
      </c>
      <c r="L49" s="1427"/>
      <c r="O49" s="1428" t="s">
        <v>405</v>
      </c>
      <c r="P49" s="1419" t="s">
        <v>825</v>
      </c>
      <c r="Q49" s="1420">
        <f ca="1">C29</f>
        <v>3992</v>
      </c>
      <c r="R49" s="1420" t="s">
        <v>818</v>
      </c>
    </row>
    <row r="50" spans="1:18" s="1384" customFormat="1" ht="13.5" thickBot="1">
      <c r="A50" s="976"/>
      <c r="B50" s="979"/>
      <c r="C50" s="1118"/>
      <c r="D50" s="953"/>
      <c r="E50" s="1056" t="s">
        <v>697</v>
      </c>
      <c r="F50" s="1057">
        <f ca="1">F7</f>
        <v>242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1126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25.26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25.26</v>
      </c>
      <c r="K53" s="3661" t="s">
        <v>837</v>
      </c>
      <c r="L53" s="3662"/>
      <c r="O53" s="1418" t="s">
        <v>409</v>
      </c>
      <c r="P53" s="1419" t="s">
        <v>838</v>
      </c>
      <c r="Q53" s="1420">
        <f ca="1">Q47+Q48</f>
        <v>5364</v>
      </c>
      <c r="R53" s="1420" t="s">
        <v>410</v>
      </c>
    </row>
    <row r="54" spans="1:18" s="1384" customFormat="1" ht="13.5" thickBot="1">
      <c r="A54" s="1153"/>
      <c r="B54" s="1367" t="s">
        <v>679</v>
      </c>
      <c r="C54" s="959"/>
      <c r="D54" s="1366"/>
      <c r="E54" s="3459"/>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9"/>
      <c r="F55" s="1440"/>
      <c r="I55" s="1443" t="s">
        <v>840</v>
      </c>
      <c r="J55" s="1444">
        <f ca="1">ROUND(IF(J47="钢混",J57/J50,1-(1-2%)*(J50-J57)/J50),3)</f>
        <v>0.312</v>
      </c>
      <c r="K55" s="1445" t="s">
        <v>841</v>
      </c>
      <c r="L55" s="1446"/>
      <c r="O55" s="1411" t="s">
        <v>811</v>
      </c>
      <c r="P55" s="1412" t="s">
        <v>812</v>
      </c>
      <c r="Q55" s="1413" t="s">
        <v>813</v>
      </c>
      <c r="R55" s="1413" t="s">
        <v>814</v>
      </c>
    </row>
    <row r="56" spans="1:18" s="1384" customFormat="1" ht="25.5" thickTop="1" thickBot="1">
      <c r="A56" s="957">
        <v>2</v>
      </c>
      <c r="B56" s="958" t="s">
        <v>704</v>
      </c>
      <c r="C56" s="232">
        <f ca="1">C13</f>
        <v>3154</v>
      </c>
      <c r="D56" s="1447"/>
      <c r="E56" s="1448"/>
      <c r="F56" s="1440"/>
      <c r="I56" s="1449" t="s">
        <v>842</v>
      </c>
      <c r="J56" s="1450" t="s">
        <v>3414</v>
      </c>
      <c r="K56" s="1421" t="s">
        <v>843</v>
      </c>
      <c r="L56" s="1424" t="str">
        <f ca="1">IF(L48&lt;J51,"——",L48-J53)</f>
        <v>——</v>
      </c>
      <c r="O56" s="1418" t="s">
        <v>403</v>
      </c>
      <c r="P56" s="1419" t="s">
        <v>817</v>
      </c>
      <c r="Q56" s="1420">
        <f ca="1">C40+J29</f>
        <v>5107</v>
      </c>
      <c r="R56" s="1420" t="s">
        <v>818</v>
      </c>
    </row>
    <row r="57" spans="1:18" s="1384" customFormat="1" ht="24.75" thickBot="1">
      <c r="A57" s="1451"/>
      <c r="B57" s="950" t="s">
        <v>767</v>
      </c>
      <c r="C57" s="238">
        <f ca="1">C29</f>
        <v>3992</v>
      </c>
      <c r="D57" s="1452"/>
      <c r="E57" s="1453"/>
      <c r="F57" s="1454"/>
      <c r="I57" s="1455" t="s">
        <v>844</v>
      </c>
      <c r="J57" s="1456">
        <f ca="1">IF(OR(M47="住宅",J51&lt;L48,J56="是"),"——",J51-L48)</f>
        <v>18.739999999999998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1597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257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v>
      </c>
      <c r="D62" s="965" t="s">
        <v>786</v>
      </c>
      <c r="E62" s="950" t="s">
        <v>732</v>
      </c>
      <c r="F62" s="325">
        <f t="shared" si="0"/>
        <v>18</v>
      </c>
      <c r="I62" s="1462" t="s">
        <v>858</v>
      </c>
      <c r="J62" s="1463" t="s">
        <v>859</v>
      </c>
      <c r="K62" s="1463" t="s">
        <v>860</v>
      </c>
      <c r="L62" s="1463" t="s">
        <v>861</v>
      </c>
      <c r="M62" s="1464" t="s">
        <v>862</v>
      </c>
      <c r="O62" s="1418" t="s">
        <v>409</v>
      </c>
      <c r="P62" s="1419" t="s">
        <v>863</v>
      </c>
      <c r="Q62" s="1420">
        <f ca="1">Q56+Q57</f>
        <v>5107</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19.96</v>
      </c>
      <c r="D64" s="964" t="s">
        <v>771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3.15</v>
      </c>
      <c r="D65" s="964" t="s">
        <v>743</v>
      </c>
      <c r="E65" s="950" t="s">
        <v>712</v>
      </c>
      <c r="F65" s="330">
        <f t="shared" ca="1" si="0"/>
        <v>1E-3</v>
      </c>
      <c r="I65" s="1462" t="s">
        <v>867</v>
      </c>
      <c r="J65" s="1463">
        <v>40</v>
      </c>
      <c r="K65" s="1463">
        <v>30</v>
      </c>
      <c r="L65" s="1463">
        <v>50</v>
      </c>
      <c r="M65" s="1465">
        <v>0.02</v>
      </c>
      <c r="O65" s="1418" t="s">
        <v>403</v>
      </c>
      <c r="P65" s="1419" t="s">
        <v>868</v>
      </c>
      <c r="Q65" s="1420">
        <f ca="1">C40+J29</f>
        <v>5107</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v>
      </c>
      <c r="D67" s="963" t="s">
        <v>753</v>
      </c>
      <c r="E67" s="968"/>
      <c r="F67" s="969"/>
      <c r="O67" s="1428" t="s">
        <v>405</v>
      </c>
      <c r="P67" s="1419" t="s">
        <v>850</v>
      </c>
      <c r="Q67" s="1466">
        <f ca="1">L51</f>
        <v>1126</v>
      </c>
      <c r="R67" s="1420" t="s">
        <v>870</v>
      </c>
    </row>
    <row r="68" spans="1:18" s="1384" customFormat="1" ht="16.5" thickBot="1">
      <c r="A68" s="947" t="s">
        <v>395</v>
      </c>
      <c r="B68" s="948" t="s">
        <v>774</v>
      </c>
      <c r="C68" s="301">
        <f ca="1">ROUND(C67*(1-((1+F70)/(1+F68))^F69)/(F68-F70),0)</f>
        <v>-326</v>
      </c>
      <c r="D68" s="965" t="s">
        <v>758</v>
      </c>
      <c r="E68" s="950" t="s">
        <v>759</v>
      </c>
      <c r="F68" s="312">
        <f ca="1">F40</f>
        <v>0.05</v>
      </c>
      <c r="O68" s="1428" t="s">
        <v>406</v>
      </c>
      <c r="P68" s="1467" t="s">
        <v>871</v>
      </c>
      <c r="Q68" s="1420">
        <f ca="1">ROUND(Q69-Q70*Q71,0)</f>
        <v>59</v>
      </c>
      <c r="R68" s="1420" t="s">
        <v>414</v>
      </c>
    </row>
    <row r="69" spans="1:18" s="1384" customFormat="1" ht="13.5" thickBot="1">
      <c r="A69" s="951"/>
      <c r="B69" s="952"/>
      <c r="C69" s="306"/>
      <c r="D69" s="970" t="s">
        <v>762</v>
      </c>
      <c r="E69" s="950" t="s">
        <v>763</v>
      </c>
      <c r="F69" s="333">
        <f ca="1">F41</f>
        <v>25.26</v>
      </c>
      <c r="O69" s="1428" t="s">
        <v>411</v>
      </c>
      <c r="P69" s="1467" t="s">
        <v>872</v>
      </c>
      <c r="Q69" s="1420">
        <f ca="1">C39</f>
        <v>280</v>
      </c>
      <c r="R69" s="1420" t="s">
        <v>818</v>
      </c>
    </row>
    <row r="70" spans="1:18" s="1384" customFormat="1" ht="13.5" thickBot="1">
      <c r="A70" s="954"/>
      <c r="B70" s="955"/>
      <c r="C70" s="310"/>
      <c r="D70" s="966"/>
      <c r="E70" s="950" t="s">
        <v>766</v>
      </c>
      <c r="F70" s="1054"/>
      <c r="O70" s="1428" t="s">
        <v>412</v>
      </c>
      <c r="P70" s="1467" t="s">
        <v>873</v>
      </c>
      <c r="Q70" s="1420">
        <f ca="1">C13</f>
        <v>3154</v>
      </c>
      <c r="R70" s="1420" t="s">
        <v>818</v>
      </c>
    </row>
    <row r="71" spans="1:18" s="1384" customFormat="1" ht="13.5" thickBot="1">
      <c r="A71" s="971" t="s">
        <v>396</v>
      </c>
      <c r="B71" s="972" t="s">
        <v>776</v>
      </c>
      <c r="C71" s="336">
        <f ca="1">ROUND(C68*10000/F71,0)</f>
        <v>-448</v>
      </c>
      <c r="D71" s="973" t="s">
        <v>777</v>
      </c>
      <c r="E71" s="974" t="s">
        <v>778</v>
      </c>
      <c r="F71" s="339">
        <f ca="1">F43</f>
        <v>7277.21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221</v>
      </c>
      <c r="D75" s="1384"/>
      <c r="E75" s="1384"/>
      <c r="F75" s="1384"/>
      <c r="K75" s="1402"/>
      <c r="L75" s="1384"/>
      <c r="O75" s="1418" t="s">
        <v>409</v>
      </c>
      <c r="P75" s="1419" t="s">
        <v>838</v>
      </c>
      <c r="Q75" s="1420">
        <f ca="1">Q65+Q66</f>
        <v>5107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0.21099999999999997</v>
      </c>
    </row>
    <row r="80" spans="1:18">
      <c r="B80" s="340" t="s">
        <v>800</v>
      </c>
      <c r="C80" s="274">
        <f ca="1">ROUND(C75/C39,3)</f>
        <v>0.78900000000000003</v>
      </c>
    </row>
    <row r="81" spans="2:3">
      <c r="B81" s="270" t="s">
        <v>801</v>
      </c>
      <c r="C81" s="238"/>
    </row>
    <row r="82" spans="2:3">
      <c r="B82" s="273" t="s">
        <v>802</v>
      </c>
      <c r="C82" s="275">
        <f ca="1">1-C83</f>
        <v>0.38200000000000001</v>
      </c>
    </row>
    <row r="83" spans="2:3">
      <c r="B83" s="273" t="s">
        <v>803</v>
      </c>
      <c r="C83" s="274">
        <f ca="1">ROUND(C13/C40,3)</f>
        <v>0.61799999999999999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5" priority="4">
      <formula>$L$48&gt;$J$51</formula>
    </cfRule>
  </conditionalFormatting>
  <conditionalFormatting sqref="I55 I60">
    <cfRule type="expression" dxfId="34" priority="5">
      <formula>$J$51&gt;$L$48</formula>
    </cfRule>
  </conditionalFormatting>
  <conditionalFormatting sqref="C11">
    <cfRule type="expression" dxfId="33" priority="3">
      <formula>$F$10="自定义"</formula>
    </cfRule>
  </conditionalFormatting>
  <conditionalFormatting sqref="J11">
    <cfRule type="expression" dxfId="32" priority="2">
      <formula>$M$10="自定义"</formula>
    </cfRule>
  </conditionalFormatting>
  <conditionalFormatting sqref="C54">
    <cfRule type="expression" dxfId="3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9" sqref="H39: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3337</v>
      </c>
      <c r="D1" s="1362" t="s">
        <v>43</v>
      </c>
      <c r="E1" s="1363" t="s">
        <v>678</v>
      </c>
      <c r="F1" s="1062">
        <f ca="1">J53</f>
        <v>25.26</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1775</v>
      </c>
      <c r="C2" s="1387" t="s">
        <v>805</v>
      </c>
      <c r="D2" s="1387"/>
      <c r="E2" s="1388"/>
      <c r="F2" s="1389"/>
      <c r="G2" s="2706"/>
      <c r="H2" s="2695"/>
      <c r="I2" s="2695"/>
      <c r="J2" s="2695"/>
      <c r="K2" s="2696"/>
      <c r="L2" s="2695"/>
      <c r="M2" s="2695"/>
    </row>
    <row r="3" spans="1:37" ht="18" customHeight="1" thickBot="1">
      <c r="A3" s="1390" t="s">
        <v>806</v>
      </c>
      <c r="B3" s="1391">
        <f ca="1">IF(ISERROR(B2*10000/F43),0,ROUND(B2*10000/F43,0))</f>
        <v>14698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119</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119</v>
      </c>
      <c r="D6" s="155" t="s">
        <v>2108</v>
      </c>
      <c r="E6" s="302" t="s">
        <v>696</v>
      </c>
      <c r="F6" s="303">
        <f ca="1">INDIRECT("'数据-取费表'!u"&amp;$G$1)</f>
        <v>3</v>
      </c>
      <c r="G6" s="1384"/>
      <c r="H6" s="1069" t="s">
        <v>398</v>
      </c>
      <c r="I6" s="3663" t="s">
        <v>694</v>
      </c>
      <c r="J6" s="301">
        <f ca="1">ROUND(M6*M8*M7*(1-M9)/10000,0)</f>
        <v>0</v>
      </c>
      <c r="K6" s="155" t="s">
        <v>2107</v>
      </c>
      <c r="L6" s="302" t="s">
        <v>696</v>
      </c>
      <c r="M6" s="303">
        <f ca="1">INDIRECT("'数据-取费表'!z"&amp;$G$1)</f>
        <v>0</v>
      </c>
    </row>
    <row r="7" spans="1:37" ht="18" customHeight="1">
      <c r="A7" s="1073"/>
      <c r="B7" s="3664"/>
      <c r="C7" s="1075"/>
      <c r="D7" s="307"/>
      <c r="E7" s="3457" t="s">
        <v>697</v>
      </c>
      <c r="F7" s="303">
        <f ca="1">IF(INDIRECT("'数据-取费表'!ah"&amp;$G$1)="",INDIRECT("'数据-取费表'!k"&amp;$G$1),INDIRECT("'数据-取费表'!ah"&amp;$G$1))</f>
        <v>1207.6400000000001</v>
      </c>
      <c r="G7" s="1384"/>
      <c r="H7" s="304"/>
      <c r="I7" s="3664"/>
      <c r="J7" s="306"/>
      <c r="K7" s="307"/>
      <c r="L7" s="302" t="s">
        <v>697</v>
      </c>
      <c r="M7" s="303">
        <f ca="1">F7</f>
        <v>1207.6400000000001</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3411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522</v>
      </c>
      <c r="D13" s="3450" t="s">
        <v>705</v>
      </c>
      <c r="E13" s="3450"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483</v>
      </c>
      <c r="D14" s="3467" t="s">
        <v>708</v>
      </c>
      <c r="E14" s="3466"/>
      <c r="F14" s="319"/>
      <c r="G14" s="1384"/>
      <c r="H14" s="982" t="s">
        <v>398</v>
      </c>
      <c r="I14" s="302" t="s">
        <v>709</v>
      </c>
      <c r="J14" s="21">
        <f ca="1">C29</f>
        <v>661</v>
      </c>
      <c r="K14" s="3455"/>
      <c r="L14" s="807"/>
      <c r="M14" s="808"/>
    </row>
    <row r="15" spans="1:37" s="1397" customFormat="1" ht="18" customHeight="1" thickBot="1">
      <c r="A15" s="982" t="s">
        <v>399</v>
      </c>
      <c r="B15" s="302" t="s">
        <v>710</v>
      </c>
      <c r="C15" s="21">
        <f ca="1">ROUND(C14*F15,0)</f>
        <v>14</v>
      </c>
      <c r="D15" s="3451" t="s">
        <v>711</v>
      </c>
      <c r="E15" s="3451"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3471"/>
      <c r="M16" s="1072"/>
    </row>
    <row r="17" spans="1:37" s="1397" customFormat="1" ht="18" customHeight="1">
      <c r="A17" s="982" t="s">
        <v>681</v>
      </c>
      <c r="B17" s="302" t="s">
        <v>716</v>
      </c>
      <c r="C17" s="21">
        <f ca="1">ROUND(F17*(F43+INDIRECT("'数据-取费表'!S"&amp;$G$1))/10000,0)</f>
        <v>24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67" t="s">
        <v>720</v>
      </c>
      <c r="L17" s="3470"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v>
      </c>
      <c r="D18" s="302" t="s">
        <v>711</v>
      </c>
      <c r="E18" s="302" t="s">
        <v>712</v>
      </c>
      <c r="F18" s="322">
        <f>'数据-取费表'!B36</f>
        <v>1.4999999999999999E-2</v>
      </c>
      <c r="G18" s="1396"/>
      <c r="H18" s="982" t="s">
        <v>397</v>
      </c>
      <c r="I18" s="302" t="s">
        <v>723</v>
      </c>
      <c r="J18" s="21">
        <f ca="1">ROUND(J6*M18/(1+'数据-取费表'!C42),2)</f>
        <v>0</v>
      </c>
      <c r="K18" s="347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528</v>
      </c>
      <c r="D19" s="131" t="s">
        <v>726</v>
      </c>
      <c r="E19" s="3474"/>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11</v>
      </c>
      <c r="D20" s="2428"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3.31</v>
      </c>
      <c r="K22" s="3470"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70"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-3</v>
      </c>
      <c r="K25" s="1095" t="s">
        <v>753</v>
      </c>
      <c r="L25" s="1096"/>
      <c r="M25" s="1097"/>
    </row>
    <row r="26" spans="1:37">
      <c r="A26" s="982" t="s">
        <v>397</v>
      </c>
      <c r="B26" s="302" t="s">
        <v>754</v>
      </c>
      <c r="C26" s="21">
        <f ca="1">ROUND((C19+C20)*F26,0)</f>
        <v>54</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661</v>
      </c>
      <c r="D29" s="1092"/>
      <c r="E29" s="1090"/>
      <c r="F29" s="1093"/>
      <c r="G29" s="1396"/>
      <c r="H29" s="334" t="s">
        <v>396</v>
      </c>
      <c r="I29" s="335" t="s">
        <v>768</v>
      </c>
      <c r="J29" s="336">
        <f ca="1">ROUND(J26/(1+F40)^F41,0)</f>
        <v>0</v>
      </c>
      <c r="K29" s="337" t="s">
        <v>769</v>
      </c>
      <c r="L29" s="338"/>
      <c r="M29" s="339">
        <f ca="1">INDIRECT("'数据-取费表'!k"&amp;$G$1)</f>
        <v>1207.6400000000001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v>
      </c>
      <c r="D30" s="1087" t="s">
        <v>715</v>
      </c>
      <c r="E30" s="347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19.95</v>
      </c>
      <c r="D31" s="3467" t="s">
        <v>720</v>
      </c>
      <c r="E31" s="3470" t="s">
        <v>770</v>
      </c>
      <c r="F31" s="2315">
        <f ca="1">IF(项目基本情况!B11="企业","——",IF(M47="住宅",IF(F6*F7*F8/12/(1+'数据-取费表'!F30)&gt;100000,4%,2.5%),IF(F6*F7*F8/12/(1+'数据-取费表'!F30)&gt;100000,12%,7%)))</f>
        <v>0.12</v>
      </c>
      <c r="G31" s="1384"/>
      <c r="H31" s="2808" t="s">
        <v>2309</v>
      </c>
      <c r="I31" s="1398"/>
      <c r="J31" s="1399"/>
      <c r="K31" s="2475"/>
      <c r="L31" s="2698"/>
      <c r="M31" s="2699"/>
    </row>
    <row r="32" spans="1:37" ht="18" customHeight="1">
      <c r="A32" s="982" t="s">
        <v>397</v>
      </c>
      <c r="B32" s="302" t="s">
        <v>723</v>
      </c>
      <c r="C32" s="21">
        <f ca="1">IF(项目基本情况!B11="自然人","——",ROUND(C6*F32/(1+'数据-取费表'!C42),2))</f>
        <v>6.35</v>
      </c>
      <c r="D32" s="3470"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13.6</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3.31</v>
      </c>
      <c r="D36" s="3470"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0.52</v>
      </c>
      <c r="D37" s="3470"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0.6</v>
      </c>
      <c r="D38" s="1092" t="s">
        <v>748</v>
      </c>
      <c r="E38" s="1090" t="s">
        <v>712</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95</v>
      </c>
      <c r="D39" s="1095" t="s">
        <v>753</v>
      </c>
      <c r="E39" s="1096"/>
      <c r="F39" s="1097"/>
      <c r="G39" s="1384"/>
      <c r="H39" s="2700"/>
      <c r="I39" s="1398"/>
      <c r="J39" s="1399"/>
      <c r="K39" s="2704"/>
      <c r="L39" s="2700"/>
      <c r="M39" s="2700"/>
    </row>
    <row r="40" spans="1:18" ht="18" customHeight="1">
      <c r="A40" s="299" t="s">
        <v>395</v>
      </c>
      <c r="B40" s="300" t="s">
        <v>774</v>
      </c>
      <c r="C40" s="301">
        <f ca="1">ROUND(C39*(1-((1+F42)/(1+F40))^F41)/(F40-F42),0)</f>
        <v>1733</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25.26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14350</v>
      </c>
      <c r="D43" s="337" t="s">
        <v>777</v>
      </c>
      <c r="E43" s="338" t="s">
        <v>778</v>
      </c>
      <c r="F43" s="339">
        <f ca="1">INDIRECT("'数据-取费表'!k"&amp;$G$1)</f>
        <v>1207.6400000000001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-1790</v>
      </c>
      <c r="D46" s="1406" t="str">
        <f>C2</f>
        <v>万元</v>
      </c>
      <c r="E46" s="1400"/>
      <c r="F46" s="1400"/>
      <c r="I46" s="1407" t="s">
        <v>810</v>
      </c>
      <c r="J46" s="1408"/>
      <c r="K46" s="1409"/>
      <c r="L46" s="1410">
        <f ca="1">IF(M47="住宅",0,IF(L48&gt;J51,L60,J60))</f>
        <v>42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50</v>
      </c>
      <c r="M47" s="1380" t="str">
        <f>IF(ISNUMBER(FIND("住宅",C1)),"住宅","非住宅")</f>
        <v>非住宅</v>
      </c>
      <c r="O47" s="1418" t="s">
        <v>403</v>
      </c>
      <c r="P47" s="1419" t="s">
        <v>817</v>
      </c>
      <c r="Q47" s="1420">
        <f ca="1">C40+J29</f>
        <v>1733</v>
      </c>
      <c r="R47" s="1420" t="s">
        <v>818</v>
      </c>
    </row>
    <row r="48" spans="1:18" s="1384" customFormat="1" ht="28.5" thickBot="1">
      <c r="A48" s="1110" t="s">
        <v>438</v>
      </c>
      <c r="B48" s="300" t="s">
        <v>692</v>
      </c>
      <c r="C48" s="3473">
        <f ca="1">C49+C53+C55</f>
        <v>0</v>
      </c>
      <c r="D48" s="1112"/>
      <c r="E48" s="1113"/>
      <c r="F48" s="962"/>
      <c r="G48" s="722"/>
      <c r="H48" s="723"/>
      <c r="I48" s="1421" t="s">
        <v>819</v>
      </c>
      <c r="J48" s="1422" t="s">
        <v>3413</v>
      </c>
      <c r="K48" s="1423" t="s">
        <v>820</v>
      </c>
      <c r="L48" s="1424">
        <f ca="1">INDIRECT("'数据-取费表'!f"&amp;$G$1)</f>
        <v>25.26</v>
      </c>
      <c r="O48" s="1418" t="s">
        <v>404</v>
      </c>
      <c r="P48" s="1419" t="s">
        <v>821</v>
      </c>
      <c r="Q48" s="1420">
        <f ca="1">J60</f>
        <v>42</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2007</v>
      </c>
      <c r="K49" s="1423" t="s">
        <v>824</v>
      </c>
      <c r="L49" s="1427"/>
      <c r="O49" s="1428" t="s">
        <v>405</v>
      </c>
      <c r="P49" s="1419" t="s">
        <v>825</v>
      </c>
      <c r="Q49" s="1420">
        <f ca="1">C29</f>
        <v>661</v>
      </c>
      <c r="R49" s="1420" t="s">
        <v>818</v>
      </c>
    </row>
    <row r="50" spans="1:18" s="1384" customFormat="1" ht="13.5" thickBot="1">
      <c r="A50" s="976"/>
      <c r="B50" s="979"/>
      <c r="C50" s="1118"/>
      <c r="D50" s="953"/>
      <c r="E50" s="1056" t="s">
        <v>697</v>
      </c>
      <c r="F50" s="1057">
        <f ca="1">F7</f>
        <v>1207.6400000000001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1112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25.26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25.26</v>
      </c>
      <c r="K53" s="3661" t="s">
        <v>837</v>
      </c>
      <c r="L53" s="3662"/>
      <c r="O53" s="1418" t="s">
        <v>409</v>
      </c>
      <c r="P53" s="1419" t="s">
        <v>838</v>
      </c>
      <c r="Q53" s="1420">
        <f ca="1">Q47+Q48</f>
        <v>1775</v>
      </c>
      <c r="R53" s="1420" t="s">
        <v>410</v>
      </c>
    </row>
    <row r="54" spans="1:18" s="1384" customFormat="1" ht="13.5" thickBot="1">
      <c r="A54" s="1153"/>
      <c r="B54" s="1367" t="s">
        <v>679</v>
      </c>
      <c r="C54" s="959"/>
      <c r="D54" s="1366"/>
      <c r="E54" s="3459"/>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9"/>
      <c r="F55" s="1440"/>
      <c r="I55" s="1443" t="s">
        <v>840</v>
      </c>
      <c r="J55" s="1444">
        <f ca="1">ROUND(IF(J47="钢混",J57/J50,1-(1-2%)*(J50-J57)/J50),3)</f>
        <v>0.312</v>
      </c>
      <c r="K55" s="1445" t="s">
        <v>841</v>
      </c>
      <c r="L55" s="1446"/>
      <c r="O55" s="1411" t="s">
        <v>811</v>
      </c>
      <c r="P55" s="1412" t="s">
        <v>812</v>
      </c>
      <c r="Q55" s="1413" t="s">
        <v>813</v>
      </c>
      <c r="R55" s="1413" t="s">
        <v>814</v>
      </c>
    </row>
    <row r="56" spans="1:18" s="1384" customFormat="1" ht="25.5" thickTop="1" thickBot="1">
      <c r="A56" s="957">
        <v>2</v>
      </c>
      <c r="B56" s="958" t="s">
        <v>704</v>
      </c>
      <c r="C56" s="232">
        <f ca="1">C13</f>
        <v>522</v>
      </c>
      <c r="D56" s="1447"/>
      <c r="E56" s="1448"/>
      <c r="F56" s="1440"/>
      <c r="I56" s="1449" t="s">
        <v>842</v>
      </c>
      <c r="J56" s="1450" t="s">
        <v>3414</v>
      </c>
      <c r="K56" s="1421" t="s">
        <v>843</v>
      </c>
      <c r="L56" s="1424" t="str">
        <f ca="1">IF(L48&lt;J51,"——",L48-J53)</f>
        <v>——</v>
      </c>
      <c r="O56" s="1418" t="s">
        <v>403</v>
      </c>
      <c r="P56" s="1419" t="s">
        <v>817</v>
      </c>
      <c r="Q56" s="1420">
        <f ca="1">C40+J29</f>
        <v>1733</v>
      </c>
      <c r="R56" s="1420" t="s">
        <v>818</v>
      </c>
    </row>
    <row r="57" spans="1:18" s="1384" customFormat="1" ht="24.75" thickBot="1">
      <c r="A57" s="1451"/>
      <c r="B57" s="950" t="s">
        <v>767</v>
      </c>
      <c r="C57" s="238">
        <f ca="1">C29</f>
        <v>661</v>
      </c>
      <c r="D57" s="1452"/>
      <c r="E57" s="1453"/>
      <c r="F57" s="1454"/>
      <c r="I57" s="1455" t="s">
        <v>844</v>
      </c>
      <c r="J57" s="1456">
        <f ca="1">IF(OR(M47="住宅",J51&lt;L48,J56="是"),"——",J51-L48)</f>
        <v>18.739999999999998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0</v>
      </c>
      <c r="D62" s="965" t="s">
        <v>786</v>
      </c>
      <c r="E62" s="950" t="s">
        <v>732</v>
      </c>
      <c r="F62" s="325">
        <f t="shared" si="0"/>
        <v>18</v>
      </c>
      <c r="I62" s="1462" t="s">
        <v>858</v>
      </c>
      <c r="J62" s="1463" t="s">
        <v>859</v>
      </c>
      <c r="K62" s="1463" t="s">
        <v>860</v>
      </c>
      <c r="L62" s="1463" t="s">
        <v>861</v>
      </c>
      <c r="M62" s="1464" t="s">
        <v>862</v>
      </c>
      <c r="O62" s="1418" t="s">
        <v>409</v>
      </c>
      <c r="P62" s="1419" t="s">
        <v>863</v>
      </c>
      <c r="Q62" s="1420">
        <f ca="1">Q56+Q57</f>
        <v>1733</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3.31</v>
      </c>
      <c r="D64" s="964" t="s">
        <v>771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0.52</v>
      </c>
      <c r="D65" s="964" t="s">
        <v>743</v>
      </c>
      <c r="E65" s="950" t="s">
        <v>712</v>
      </c>
      <c r="F65" s="330">
        <f t="shared" ca="1" si="0"/>
        <v>1E-3</v>
      </c>
      <c r="I65" s="1462" t="s">
        <v>867</v>
      </c>
      <c r="J65" s="1463">
        <v>40</v>
      </c>
      <c r="K65" s="1463">
        <v>30</v>
      </c>
      <c r="L65" s="1463">
        <v>50</v>
      </c>
      <c r="M65" s="1465">
        <v>0.02</v>
      </c>
      <c r="O65" s="1418" t="s">
        <v>403</v>
      </c>
      <c r="P65" s="1419" t="s">
        <v>868</v>
      </c>
      <c r="Q65" s="1420">
        <f ca="1">C40+J29</f>
        <v>1733</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1112</v>
      </c>
      <c r="R67" s="1420" t="s">
        <v>870</v>
      </c>
    </row>
    <row r="68" spans="1:18" s="1384" customFormat="1" ht="16.5" thickBot="1">
      <c r="A68" s="947" t="s">
        <v>395</v>
      </c>
      <c r="B68" s="948" t="s">
        <v>774</v>
      </c>
      <c r="C68" s="301">
        <f ca="1">ROUND(C67*(1-((1+F70)/(1+F68))^F69)/(F68-F70),0)</f>
        <v>-57</v>
      </c>
      <c r="D68" s="965" t="s">
        <v>758</v>
      </c>
      <c r="E68" s="950" t="s">
        <v>759</v>
      </c>
      <c r="F68" s="312">
        <f ca="1">F40</f>
        <v>0.05</v>
      </c>
      <c r="O68" s="1428" t="s">
        <v>406</v>
      </c>
      <c r="P68" s="1467" t="s">
        <v>871</v>
      </c>
      <c r="Q68" s="1420">
        <f ca="1">ROUND(Q69-Q70*Q71,0)</f>
        <v>58</v>
      </c>
      <c r="R68" s="1420" t="s">
        <v>414</v>
      </c>
    </row>
    <row r="69" spans="1:18" s="1384" customFormat="1" ht="13.5" thickBot="1">
      <c r="A69" s="951"/>
      <c r="B69" s="952"/>
      <c r="C69" s="306"/>
      <c r="D69" s="970" t="s">
        <v>762</v>
      </c>
      <c r="E69" s="950" t="s">
        <v>763</v>
      </c>
      <c r="F69" s="333">
        <f ca="1">F41</f>
        <v>25.26</v>
      </c>
      <c r="O69" s="1428" t="s">
        <v>411</v>
      </c>
      <c r="P69" s="1467" t="s">
        <v>872</v>
      </c>
      <c r="Q69" s="1420">
        <f ca="1">C39</f>
        <v>95</v>
      </c>
      <c r="R69" s="1420" t="s">
        <v>818</v>
      </c>
    </row>
    <row r="70" spans="1:18" s="1384" customFormat="1" ht="13.5" thickBot="1">
      <c r="A70" s="954"/>
      <c r="B70" s="955"/>
      <c r="C70" s="310"/>
      <c r="D70" s="966"/>
      <c r="E70" s="950" t="s">
        <v>766</v>
      </c>
      <c r="F70" s="1054"/>
      <c r="O70" s="1428" t="s">
        <v>412</v>
      </c>
      <c r="P70" s="1467" t="s">
        <v>873</v>
      </c>
      <c r="Q70" s="1420">
        <f ca="1">C13</f>
        <v>522</v>
      </c>
      <c r="R70" s="1420" t="s">
        <v>818</v>
      </c>
    </row>
    <row r="71" spans="1:18" s="1384" customFormat="1" ht="13.5" thickBot="1">
      <c r="A71" s="971" t="s">
        <v>396</v>
      </c>
      <c r="B71" s="972" t="s">
        <v>776</v>
      </c>
      <c r="C71" s="336">
        <f ca="1">ROUND(C68*10000/F71,0)</f>
        <v>-472</v>
      </c>
      <c r="D71" s="973" t="s">
        <v>777</v>
      </c>
      <c r="E71" s="974" t="s">
        <v>778</v>
      </c>
      <c r="F71" s="339">
        <f ca="1">F43</f>
        <v>1207.6400000000001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v>
      </c>
      <c r="D75" s="1384"/>
      <c r="E75" s="1384"/>
      <c r="F75" s="1384"/>
      <c r="K75" s="1402"/>
      <c r="L75" s="1384"/>
      <c r="O75" s="1418" t="s">
        <v>409</v>
      </c>
      <c r="P75" s="1419" t="s">
        <v>838</v>
      </c>
      <c r="Q75" s="1420">
        <f ca="1">Q65+Q66</f>
        <v>1733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0.61099999999999999</v>
      </c>
    </row>
    <row r="80" spans="1:18">
      <c r="B80" s="340" t="s">
        <v>800</v>
      </c>
      <c r="C80" s="274">
        <f ca="1">ROUND(C75/C39,3)</f>
        <v>0.38900000000000001</v>
      </c>
    </row>
    <row r="81" spans="2:3">
      <c r="B81" s="270" t="s">
        <v>801</v>
      </c>
      <c r="C81" s="238"/>
    </row>
    <row r="82" spans="2:3">
      <c r="B82" s="273" t="s">
        <v>802</v>
      </c>
      <c r="C82" s="275">
        <f ca="1">1-C83</f>
        <v>0.69900000000000007</v>
      </c>
    </row>
    <row r="83" spans="2:3">
      <c r="B83" s="273" t="s">
        <v>803</v>
      </c>
      <c r="C83" s="274">
        <f ca="1">ROUND(C13/C40,3)</f>
        <v>0.30099999999999999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D32" sqref="D32"/>
    </sheetView>
  </sheetViews>
  <sheetFormatPr defaultColWidth="12.625" defaultRowHeight="21.75" customHeight="1"/>
  <cols>
    <col min="1" max="2" width="12.625" style="1753"/>
    <col min="3" max="3" width="12.625" style="1753" customWidth="1"/>
    <col min="4" max="4" width="15.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3336</v>
      </c>
      <c r="D1" s="1747"/>
      <c r="E1" s="1747"/>
      <c r="F1" s="1749" t="s">
        <v>1263</v>
      </c>
      <c r="G1" s="1561"/>
      <c r="H1" s="1750" t="str">
        <f>IF(G1="现房","——","估价对象范围")</f>
        <v>估价对象范围</v>
      </c>
      <c r="I1" s="1751"/>
    </row>
    <row r="2" spans="1:12" ht="21.75" customHeight="1" thickBot="1">
      <c r="A2" s="3598" t="str">
        <f>项目基本情况!S2</f>
        <v>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4" t="s">
        <v>1265</v>
      </c>
      <c r="B4" s="1755" t="s">
        <v>1266</v>
      </c>
      <c r="C4" s="1756" t="s">
        <v>3427</v>
      </c>
      <c r="D4" s="1756" t="s">
        <v>3417</v>
      </c>
      <c r="E4" s="3604" t="s">
        <v>1267</v>
      </c>
      <c r="F4" s="3605"/>
      <c r="G4" s="3605"/>
      <c r="H4" s="3605"/>
      <c r="I4" s="3606"/>
      <c r="K4" s="146" t="str">
        <f>IF(ISNUMBER(FIND("比较法",'结果表(车库)'!C4)),"比较法",IF(ISNUMBER(FIND("成本法",'结果表(车库)'!C4)),"成本法",IF(ISNUMBER(FIND("假设开发法",'结果表(车库)'!C4)),"假设开发法",IF(ISNUMBER(FIND("收益法",'结果表(车库)'!C4)),"收益法","基准地价系数修正法"))))</f>
        <v>成本法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78" t="s">
        <v>1268</v>
      </c>
      <c r="B5" s="3565">
        <v>25</v>
      </c>
      <c r="C5" s="3581"/>
      <c r="D5" s="3601"/>
      <c r="E5" s="131" t="s">
        <v>1269</v>
      </c>
      <c r="F5" s="1757"/>
      <c r="G5" s="1757"/>
      <c r="H5" s="1757"/>
      <c r="I5" s="1373"/>
    </row>
    <row r="6" spans="1:12" ht="12.75">
      <c r="A6" s="3578"/>
      <c r="B6" s="3565"/>
      <c r="C6" s="3582"/>
      <c r="D6" s="3601"/>
      <c r="E6" s="131" t="s">
        <v>1270</v>
      </c>
      <c r="F6" s="1757"/>
      <c r="G6" s="1757"/>
      <c r="H6" s="1757"/>
      <c r="I6" s="1373"/>
    </row>
    <row r="7" spans="1:12" ht="12.75">
      <c r="A7" s="3578"/>
      <c r="B7" s="3565"/>
      <c r="C7" s="3583"/>
      <c r="D7" s="3601"/>
      <c r="E7" s="131" t="s">
        <v>1271</v>
      </c>
      <c r="F7" s="1757"/>
      <c r="G7" s="1757"/>
      <c r="H7" s="1757"/>
      <c r="I7" s="1373"/>
    </row>
    <row r="8" spans="1:12" ht="12.75">
      <c r="A8" s="3578" t="s">
        <v>1272</v>
      </c>
      <c r="B8" s="3565">
        <v>15</v>
      </c>
      <c r="C8" s="3581"/>
      <c r="D8" s="3601"/>
      <c r="E8" s="131" t="s">
        <v>1273</v>
      </c>
      <c r="F8" s="1757"/>
      <c r="G8" s="1757"/>
      <c r="H8" s="1757"/>
      <c r="I8" s="1373"/>
    </row>
    <row r="9" spans="1:12" ht="12.75">
      <c r="A9" s="3578"/>
      <c r="B9" s="3565"/>
      <c r="C9" s="3583"/>
      <c r="D9" s="3601"/>
      <c r="E9" s="131" t="s">
        <v>1274</v>
      </c>
      <c r="F9" s="1757"/>
      <c r="G9" s="1757"/>
      <c r="H9" s="1757"/>
      <c r="I9" s="1373"/>
    </row>
    <row r="10" spans="1:12" ht="12.75">
      <c r="A10" s="3578" t="s">
        <v>1275</v>
      </c>
      <c r="B10" s="3565">
        <v>15</v>
      </c>
      <c r="C10" s="3581"/>
      <c r="D10" s="3601"/>
      <c r="E10" s="131" t="s">
        <v>1276</v>
      </c>
      <c r="F10" s="1757"/>
      <c r="G10" s="1757"/>
      <c r="H10" s="1757"/>
      <c r="I10" s="1373"/>
    </row>
    <row r="11" spans="1:12" ht="12.75">
      <c r="A11" s="3578"/>
      <c r="B11" s="3565"/>
      <c r="C11" s="3583"/>
      <c r="D11" s="3601"/>
      <c r="E11" s="131" t="s">
        <v>1277</v>
      </c>
      <c r="F11" s="1757"/>
      <c r="G11" s="1757"/>
      <c r="H11" s="1757"/>
      <c r="I11" s="1373"/>
    </row>
    <row r="12" spans="1:12" ht="12.75">
      <c r="A12" s="3578" t="s">
        <v>1278</v>
      </c>
      <c r="B12" s="3565">
        <v>15</v>
      </c>
      <c r="C12" s="3581"/>
      <c r="D12" s="3601"/>
      <c r="E12" s="131" t="s">
        <v>1279</v>
      </c>
      <c r="F12" s="1757"/>
      <c r="G12" s="1757"/>
      <c r="H12" s="1757"/>
      <c r="I12" s="1373"/>
    </row>
    <row r="13" spans="1:12" ht="12.75">
      <c r="A13" s="3578"/>
      <c r="B13" s="3565"/>
      <c r="C13" s="3583"/>
      <c r="D13" s="3601"/>
      <c r="E13" s="131" t="s">
        <v>1280</v>
      </c>
      <c r="F13" s="1757"/>
      <c r="G13" s="1757"/>
      <c r="H13" s="1757"/>
      <c r="I13" s="1373"/>
    </row>
    <row r="14" spans="1:12" ht="12.75">
      <c r="A14" s="3578" t="s">
        <v>1281</v>
      </c>
      <c r="B14" s="3565">
        <v>30</v>
      </c>
      <c r="C14" s="3581">
        <v>4</v>
      </c>
      <c r="D14" s="3601">
        <v>6</v>
      </c>
      <c r="E14" s="131" t="s">
        <v>1282</v>
      </c>
      <c r="F14" s="1757"/>
      <c r="G14" s="1757"/>
      <c r="H14" s="1757"/>
      <c r="I14" s="1373"/>
    </row>
    <row r="15" spans="1:12" ht="12.75">
      <c r="A15" s="3578"/>
      <c r="B15" s="3565"/>
      <c r="C15" s="3582"/>
      <c r="D15" s="3601"/>
      <c r="E15" s="131" t="s">
        <v>1283</v>
      </c>
      <c r="F15" s="1757"/>
      <c r="G15" s="1757"/>
      <c r="H15" s="1757"/>
      <c r="I15" s="1373"/>
    </row>
    <row r="16" spans="1:12" ht="12.75">
      <c r="A16" s="3578"/>
      <c r="B16" s="3565"/>
      <c r="C16" s="3583"/>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88" t="s">
        <v>2130</v>
      </c>
      <c r="F18" s="3589"/>
      <c r="G18" s="3589"/>
      <c r="H18" s="3589"/>
      <c r="I18" s="3589"/>
      <c r="K18" s="302" t="s">
        <v>1289</v>
      </c>
      <c r="L18" s="302">
        <f>IF(C1="",'数据-汇总表'!E3,SUMIF(项目类型,C1,'数据-汇总表'!E17:E26)+SUMIF(项目类型,C1,'数据-汇总表'!I17:I26))</f>
        <v>7277.21</v>
      </c>
      <c r="M18" s="302">
        <f>IF(C1="",'数据-汇总表'!E3,SUMIF(项目类型,C1,'数据-汇总表'!E17:E26))</f>
        <v>7277.21</v>
      </c>
    </row>
    <row r="19" spans="1:36" ht="15">
      <c r="A19" s="1761" t="s">
        <v>1290</v>
      </c>
      <c r="B19" s="1762" t="s">
        <v>1291</v>
      </c>
      <c r="C19" s="134">
        <f ca="1">SUMIF(INDIRECT("'"&amp;C4&amp;"'"&amp;"!A:A"),'结果表(车库)'!B19,INDIRECT("'"&amp;C4&amp;"'"&amp;"!B:B"))</f>
        <v>7878</v>
      </c>
      <c r="D19" s="135">
        <f ca="1">SUMIF(INDIRECT("'"&amp;D4&amp;"'"&amp;"!A:A"),'结果表(车库)'!B19,INDIRECT("'"&amp;D4&amp;"'"&amp;"!B:B"))</f>
        <v>5364</v>
      </c>
      <c r="E19" s="1761" t="s">
        <v>1292</v>
      </c>
      <c r="F19" s="1762" t="s">
        <v>1291</v>
      </c>
      <c r="G19" s="136">
        <f ca="1">ROUND(C19*$C$18+D19*$D$18,0)</f>
        <v>6370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SUMIF(INDIRECT("'"&amp;C4&amp;"'"&amp;"!A:A"),'结果表(车库)'!B20,INDIRECT("'"&amp;C4&amp;"'"&amp;"!B:B"))</f>
        <v>10826</v>
      </c>
      <c r="D20" s="138">
        <f ca="1">SUMIF(INDIRECT("'"&amp;D4&amp;"'"&amp;"!A:A"),'结果表(车库)'!B20,INDIRECT("'"&amp;D4&amp;"'"&amp;"!B:B"))</f>
        <v>7371</v>
      </c>
      <c r="E20" s="1764"/>
      <c r="F20" s="1026" t="s">
        <v>1295</v>
      </c>
      <c r="G20" s="139">
        <f ca="1">ROUND(C20*$C$18+D20*$D$18,0)</f>
        <v>8753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0.46868008948545858</v>
      </c>
      <c r="E22" s="129"/>
      <c r="F22" s="129"/>
      <c r="G22" s="129"/>
      <c r="H22" s="129"/>
      <c r="I22" s="129"/>
    </row>
    <row r="23" spans="1:36" ht="13.5" thickBot="1">
      <c r="A23" s="1747"/>
      <c r="B23" s="1747"/>
      <c r="C23" s="1747"/>
      <c r="D23" s="1747"/>
      <c r="E23" s="129"/>
      <c r="F23" s="129"/>
      <c r="G23" s="129"/>
      <c r="H23" s="129"/>
      <c r="I23" s="129"/>
    </row>
    <row r="24" spans="1:36" ht="14.25">
      <c r="A24" s="3572" t="s">
        <v>1299</v>
      </c>
      <c r="B24" s="1762" t="s">
        <v>1291</v>
      </c>
      <c r="C24" s="136">
        <f>IF(B30=0,0,D30)</f>
        <v>0</v>
      </c>
      <c r="D24" s="1769"/>
      <c r="E24" s="129"/>
      <c r="F24" s="129"/>
      <c r="G24" s="129"/>
      <c r="H24" s="129"/>
      <c r="I24" s="129"/>
      <c r="J24" s="725" t="s">
        <v>3423</v>
      </c>
      <c r="K24" s="725">
        <f>'数据-取费表'!T19</f>
        <v>4691.97</v>
      </c>
      <c r="L24" s="725">
        <v>75000</v>
      </c>
      <c r="M24" s="725">
        <v>1</v>
      </c>
      <c r="N24" s="725">
        <f>L24*K24</f>
        <v>351897750</v>
      </c>
    </row>
    <row r="25" spans="1:36" ht="14.25">
      <c r="A25" s="3573"/>
      <c r="B25" s="1026" t="s">
        <v>1295</v>
      </c>
      <c r="C25" s="141">
        <f>IF(B30=0,0,C30)</f>
        <v>0</v>
      </c>
      <c r="D25" s="1770"/>
      <c r="E25" s="129"/>
      <c r="F25" s="129"/>
      <c r="G25" s="129"/>
      <c r="H25" s="129"/>
      <c r="I25" s="129"/>
      <c r="J25" s="725" t="s">
        <v>3424</v>
      </c>
      <c r="K25" s="725">
        <f>'数据-取费表'!T20</f>
        <v>6439.65</v>
      </c>
      <c r="L25" s="725">
        <f>L24*M25</f>
        <v>52500</v>
      </c>
      <c r="M25" s="725">
        <v>0.7</v>
      </c>
      <c r="N25" s="725">
        <f t="shared" ref="N25:N27" si="0">L25*K25</f>
        <v>338081625</v>
      </c>
    </row>
    <row r="26" spans="1:36" ht="13.5" customHeight="1">
      <c r="A26" s="1771" t="s">
        <v>1300</v>
      </c>
      <c r="B26" s="142" t="s">
        <v>1301</v>
      </c>
      <c r="C26" s="142" t="s">
        <v>1302</v>
      </c>
      <c r="D26" s="143" t="s">
        <v>1303</v>
      </c>
      <c r="E26" s="129"/>
      <c r="F26" s="129"/>
      <c r="G26" s="129"/>
      <c r="H26" s="129"/>
      <c r="I26" s="129"/>
      <c r="J26" s="725" t="s">
        <v>3425</v>
      </c>
      <c r="K26" s="725">
        <f>'数据-取费表'!T21</f>
        <v>6514.75</v>
      </c>
      <c r="L26" s="725">
        <f>L24*M26</f>
        <v>45000</v>
      </c>
      <c r="M26" s="725">
        <v>0.6</v>
      </c>
      <c r="N26" s="725">
        <f t="shared" si="0"/>
        <v>293163750</v>
      </c>
    </row>
    <row r="27" spans="1:36" ht="14.25">
      <c r="A27" s="1771"/>
      <c r="B27" s="142">
        <v>0</v>
      </c>
      <c r="C27" s="142">
        <v>0</v>
      </c>
      <c r="D27" s="143">
        <f>ROUND(C27*B27/10000,0)</f>
        <v>0</v>
      </c>
      <c r="E27" s="129"/>
      <c r="F27" s="129"/>
      <c r="G27" s="129"/>
      <c r="H27" s="129"/>
      <c r="I27" s="129"/>
      <c r="J27" s="725" t="s">
        <v>3426</v>
      </c>
      <c r="K27" s="725">
        <f>'数据-取费表'!T22</f>
        <v>760.17</v>
      </c>
      <c r="L27" s="725">
        <f>L24*M27</f>
        <v>22500</v>
      </c>
      <c r="M27" s="725">
        <v>0.3</v>
      </c>
      <c r="N27" s="725">
        <f t="shared" si="0"/>
        <v>17103825</v>
      </c>
    </row>
    <row r="28" spans="1:36" ht="14.25">
      <c r="A28" s="1771"/>
      <c r="B28" s="142"/>
      <c r="C28" s="142"/>
      <c r="D28" s="143">
        <f ca="1">G19/'数据-汇总表'!F31</f>
        <v>0.3609807569488796</v>
      </c>
      <c r="E28" s="129"/>
      <c r="F28" s="129"/>
      <c r="G28" s="129"/>
      <c r="H28" s="129"/>
      <c r="I28" s="129"/>
      <c r="K28" s="725">
        <f>SUM(K24:K27)</f>
        <v>18406.539999999997</v>
      </c>
      <c r="L28" s="725">
        <f>N28/K28</f>
        <v>54341.932269725876</v>
      </c>
      <c r="N28" s="725">
        <f>SUM(N24:N27)</f>
        <v>1000246950</v>
      </c>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6370</v>
      </c>
      <c r="D32" s="1775" t="s">
        <v>3442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2" t="s">
        <v>1312</v>
      </c>
      <c r="B36" s="1787" t="s">
        <v>1313</v>
      </c>
      <c r="C36" s="145"/>
      <c r="D36" s="1788"/>
      <c r="E36" s="1789"/>
      <c r="F36" s="1790"/>
      <c r="G36" s="129"/>
      <c r="H36" s="129"/>
      <c r="I36" s="129"/>
    </row>
    <row r="37" spans="1:15" ht="15.75" thickBot="1">
      <c r="A37" s="3593"/>
      <c r="B37" s="1674" t="s">
        <v>1314</v>
      </c>
      <c r="C37" s="147"/>
      <c r="D37" s="1139"/>
      <c r="E37" s="1139"/>
      <c r="F37" s="1790"/>
      <c r="G37" s="129"/>
      <c r="H37" s="129"/>
      <c r="I37" s="129"/>
    </row>
    <row r="38" spans="1:15" ht="15.75" thickBot="1">
      <c r="A38" s="3594"/>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9" t="s">
        <v>1326</v>
      </c>
      <c r="B45" s="3570"/>
      <c r="C45" s="3571"/>
      <c r="D45" s="155">
        <f ca="1">ROUND(H101*F45,0)</f>
        <v>6370</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6"/>
      <c r="I46" s="159"/>
      <c r="J46" s="3460">
        <v>1</v>
      </c>
      <c r="K46" s="3628" t="s">
        <v>1331</v>
      </c>
      <c r="L46" s="3628"/>
      <c r="M46" s="3648"/>
      <c r="N46" s="3648"/>
      <c r="O46" s="3648"/>
    </row>
    <row r="47" spans="1:15" ht="12" customHeight="1">
      <c r="A47" s="160" t="s">
        <v>1332</v>
      </c>
      <c r="B47" s="161"/>
      <c r="C47" s="162"/>
      <c r="D47" s="1087" t="s">
        <v>1333</v>
      </c>
      <c r="E47" s="302" t="s">
        <v>1334</v>
      </c>
      <c r="F47" s="163" t="s">
        <v>1335</v>
      </c>
      <c r="G47" s="2546" t="s">
        <v>1336</v>
      </c>
      <c r="H47" s="2547"/>
      <c r="I47" s="159"/>
      <c r="J47" s="3460">
        <v>2</v>
      </c>
      <c r="K47" s="3628" t="s">
        <v>1337</v>
      </c>
      <c r="L47" s="3628"/>
      <c r="M47" s="3649">
        <f>'数据-取费表'!B2</f>
        <v>45243</v>
      </c>
      <c r="N47" s="3649"/>
      <c r="O47" s="3649"/>
    </row>
    <row r="48" spans="1:15" ht="25.5">
      <c r="A48" s="3597" t="s">
        <v>1338</v>
      </c>
      <c r="B48" s="3580"/>
      <c r="C48" s="3580"/>
      <c r="D48" s="3455" t="b">
        <f>IF(H48="情况1",0,IF(H48="情况2",D52,IF(H48="情况3",D53,IF(H48="情况4",D54))))</f>
        <v>0</v>
      </c>
      <c r="E48" s="3470" t="str">
        <f>IF(H48="情况4","(销售额-原购置价)×税（费）率","销售额×税（费）率")</f>
        <v>销售额×税（费）率</v>
      </c>
      <c r="F48" s="2548">
        <f>IF(H48="情况1","免征",'数据-取费表'!B41)</f>
        <v>5.6000000000000001E-2</v>
      </c>
      <c r="G48" s="2549" t="s">
        <v>1339</v>
      </c>
      <c r="H48" s="2550"/>
      <c r="I48" s="1806"/>
      <c r="J48" s="3460">
        <v>3</v>
      </c>
      <c r="K48" s="3628" t="s">
        <v>1340</v>
      </c>
      <c r="L48" s="3628"/>
      <c r="M48" s="3650">
        <f ca="1">H101</f>
        <v>6370</v>
      </c>
      <c r="N48" s="3650"/>
      <c r="O48" s="3650"/>
    </row>
    <row r="49" spans="1:35" ht="25.5" customHeight="1">
      <c r="A49" s="3469" t="s">
        <v>1341</v>
      </c>
      <c r="B49" s="3564" t="s">
        <v>1342</v>
      </c>
      <c r="C49" s="3564"/>
      <c r="D49" s="1590">
        <v>0</v>
      </c>
      <c r="E49" s="324" t="s">
        <v>1343</v>
      </c>
      <c r="F49" s="3452" t="s">
        <v>28</v>
      </c>
      <c r="G49" s="3634"/>
      <c r="H49" s="2310" t="s">
        <v>2133</v>
      </c>
      <c r="I49" s="2311"/>
      <c r="J49" s="3460">
        <v>4</v>
      </c>
      <c r="K49" s="3628" t="str">
        <f>IF(项目基本情况!E8="房地产抵押价值","房地产抵押价值","抵押担保权已注销时的房地产抵押价值")</f>
        <v>房地产抵押价值</v>
      </c>
      <c r="L49" s="3628"/>
      <c r="M49" s="3650">
        <f ca="1">IF(项目基本情况!E8="房地产抵押价值",H107,H109)</f>
        <v>6370</v>
      </c>
      <c r="N49" s="3650"/>
      <c r="O49" s="3650"/>
    </row>
    <row r="50" spans="1:35" ht="25.5" customHeight="1">
      <c r="A50" s="2551"/>
      <c r="B50" s="3564" t="s">
        <v>1344</v>
      </c>
      <c r="C50" s="3564"/>
      <c r="D50" s="2552"/>
      <c r="E50" s="332"/>
      <c r="F50" s="3452"/>
      <c r="G50" s="3635"/>
      <c r="H50" s="2312" t="s">
        <v>2134</v>
      </c>
      <c r="I50" s="2311"/>
      <c r="J50" s="3647" t="s">
        <v>1345</v>
      </c>
      <c r="K50" s="3647"/>
      <c r="L50" s="3647"/>
      <c r="M50" s="3647"/>
      <c r="N50" s="3647"/>
      <c r="O50" s="3647"/>
    </row>
    <row r="51" spans="1:35" ht="20.45" customHeight="1">
      <c r="A51" s="2553"/>
      <c r="B51" s="3564" t="s">
        <v>1346</v>
      </c>
      <c r="C51" s="3564"/>
      <c r="D51" s="1087"/>
      <c r="E51" s="327"/>
      <c r="F51" s="3452"/>
      <c r="G51" s="3636"/>
      <c r="H51" s="2312" t="s">
        <v>2135</v>
      </c>
      <c r="I51" s="2311"/>
      <c r="J51" s="3454" t="s">
        <v>1347</v>
      </c>
      <c r="K51" s="3628" t="s">
        <v>1348</v>
      </c>
      <c r="L51" s="3628"/>
      <c r="M51" s="3454" t="s">
        <v>1349</v>
      </c>
      <c r="N51" s="3454" t="s">
        <v>1350</v>
      </c>
      <c r="O51" s="3454" t="s">
        <v>1351</v>
      </c>
    </row>
    <row r="52" spans="1:35" ht="24" customHeight="1">
      <c r="A52" s="3472" t="s">
        <v>1352</v>
      </c>
      <c r="B52" s="3564" t="s">
        <v>1353</v>
      </c>
      <c r="C52" s="3564"/>
      <c r="D52" s="1087">
        <f ca="1">ROUND(D45*'数据-取费表'!B41/(1+'数据-取费表'!C42),0)</f>
        <v>340</v>
      </c>
      <c r="E52" s="3470" t="s">
        <v>1354</v>
      </c>
      <c r="F52" s="2554">
        <f>'数据-取费表'!B41</f>
        <v>5.6000000000000001E-2</v>
      </c>
      <c r="G52" s="2555"/>
      <c r="H52" s="2544"/>
      <c r="I52" s="1807"/>
      <c r="J52" s="3460">
        <v>1</v>
      </c>
      <c r="K52" s="3629" t="s">
        <v>1355</v>
      </c>
      <c r="L52" s="3629"/>
      <c r="M52" s="2525" t="b">
        <f>D48</f>
        <v>0</v>
      </c>
      <c r="N52" s="3460" t="str">
        <f>E48</f>
        <v>销售额×税（费）率</v>
      </c>
      <c r="O52" s="2526">
        <f>F48</f>
        <v>5.6000000000000001E-2</v>
      </c>
    </row>
    <row r="53" spans="1:35" ht="12" customHeight="1">
      <c r="A53" s="3472" t="s">
        <v>1356</v>
      </c>
      <c r="B53" s="3590" t="s">
        <v>2290</v>
      </c>
      <c r="C53" s="3591"/>
      <c r="D53" s="1087">
        <f ca="1">ROUND(D45*'数据-取费表'!B41/(1+'数据-取费表'!C42),0)</f>
        <v>340</v>
      </c>
      <c r="E53" s="3470" t="s">
        <v>1354</v>
      </c>
      <c r="F53" s="2554">
        <f>'数据-取费表'!B41</f>
        <v>5.6000000000000001E-2</v>
      </c>
      <c r="G53" s="2555"/>
      <c r="H53" s="2544"/>
      <c r="I53" s="1807"/>
      <c r="J53" s="3460">
        <v>2</v>
      </c>
      <c r="K53" s="3629" t="s">
        <v>1357</v>
      </c>
      <c r="L53" s="3629"/>
      <c r="M53" s="2525">
        <f t="shared" ref="M53:O54" ca="1" si="1">D55</f>
        <v>3</v>
      </c>
      <c r="N53" s="3460" t="str">
        <f t="shared" si="1"/>
        <v>销售额×税（费）率</v>
      </c>
      <c r="O53" s="2526" t="str">
        <f t="shared" si="1"/>
        <v>免征</v>
      </c>
    </row>
    <row r="54" spans="1:35" ht="12" customHeight="1">
      <c r="A54" s="3472" t="s">
        <v>1358</v>
      </c>
      <c r="B54" s="3590" t="s">
        <v>2291</v>
      </c>
      <c r="C54" s="3591"/>
      <c r="D54" s="1087">
        <f ca="1">C68</f>
        <v>340</v>
      </c>
      <c r="E54" s="327" t="s">
        <v>1359</v>
      </c>
      <c r="F54" s="2554">
        <f>'数据-取费表'!B41</f>
        <v>5.6000000000000001E-2</v>
      </c>
      <c r="G54" s="2555"/>
      <c r="H54" s="2556"/>
      <c r="I54" s="1807"/>
      <c r="J54" s="3460">
        <v>3</v>
      </c>
      <c r="K54" s="3629" t="s">
        <v>1360</v>
      </c>
      <c r="L54" s="3629"/>
      <c r="M54" s="2525">
        <f t="shared" ca="1" si="1"/>
        <v>3606</v>
      </c>
      <c r="N54" s="3460" t="str">
        <f t="shared" si="1"/>
        <v>增值额×税（费）率</v>
      </c>
      <c r="O54" s="2527" t="str">
        <f t="shared" si="1"/>
        <v>免征</v>
      </c>
    </row>
    <row r="55" spans="1:35" ht="24" customHeight="1">
      <c r="A55" s="3579" t="s">
        <v>1361</v>
      </c>
      <c r="B55" s="3580"/>
      <c r="C55" s="3580"/>
      <c r="D55" s="3455">
        <f ca="1">IF(H55="个人住宅",0,ROUND(D45*I55,0))</f>
        <v>3</v>
      </c>
      <c r="E55" s="3470" t="s">
        <v>1362</v>
      </c>
      <c r="F55" s="2554" t="str">
        <f>IF(H55="正常",I55,"免征")</f>
        <v>免征</v>
      </c>
      <c r="G55" s="2555"/>
      <c r="H55" s="2550"/>
      <c r="I55" s="165">
        <f>'数据-取费表'!B49</f>
        <v>5.0000000000000001E-4</v>
      </c>
      <c r="J55" s="3460">
        <f>IF(H59="非个人房产","",4)</f>
        <v>4</v>
      </c>
      <c r="K55" s="3629" t="str">
        <f>IF(H59="非个人房产","——","个人所得税")</f>
        <v>个人所得税</v>
      </c>
      <c r="L55" s="3629"/>
      <c r="M55" s="2528">
        <f ca="1">D59</f>
        <v>61</v>
      </c>
      <c r="N55" s="3461" t="str">
        <f>E59</f>
        <v>差额计税</v>
      </c>
      <c r="O55" s="2529">
        <f>F59</f>
        <v>0.01</v>
      </c>
    </row>
    <row r="56" spans="1:35" ht="24.75">
      <c r="A56" s="3579" t="s">
        <v>1363</v>
      </c>
      <c r="B56" s="3580"/>
      <c r="C56" s="3580"/>
      <c r="D56" s="3455">
        <f ca="1">IF(H56="个人住宅",D57,D58)</f>
        <v>3606</v>
      </c>
      <c r="E56" s="3470" t="s">
        <v>1364</v>
      </c>
      <c r="F56" s="2554" t="str">
        <f>IF(H56="正常",F58,"免征")</f>
        <v>免征</v>
      </c>
      <c r="G56" s="2557" t="s">
        <v>1365</v>
      </c>
      <c r="H56" s="2558"/>
      <c r="I56" s="1808"/>
      <c r="J56" s="3460" t="str">
        <f>IF(项目基本情况!K6="上海银行",IF(J55="",4,J55+1),"")</f>
        <v/>
      </c>
      <c r="K56" s="3652" t="str">
        <f>IF(项目基本情况!K6="上海银行","其他处置费用","")</f>
        <v/>
      </c>
      <c r="L56" s="3653"/>
      <c r="M56" s="2525" t="str">
        <f>IF(项目基本情况!K6="上海银行",M69,"")</f>
        <v/>
      </c>
      <c r="N56" s="3652" t="str">
        <f>IF(项目基本情况!K6="上海银行","包含处置中涉及的律师、诉讼、拍卖、评估等费用","")</f>
        <v/>
      </c>
      <c r="O56" s="3655"/>
    </row>
    <row r="57" spans="1:35" ht="12.75">
      <c r="A57" s="3472" t="s">
        <v>1341</v>
      </c>
      <c r="B57" s="3590" t="s">
        <v>1366</v>
      </c>
      <c r="C57" s="3591"/>
      <c r="D57" s="1590">
        <v>0</v>
      </c>
      <c r="E57" s="324" t="s">
        <v>1343</v>
      </c>
      <c r="F57" s="302"/>
      <c r="G57" s="2555"/>
      <c r="H57" s="2559"/>
      <c r="I57" s="1808"/>
      <c r="J57" s="3629">
        <f>IF(AND(J55="",J56=""),4,IF(项目基本情况!K6="上海银行",'结果表(车库)'!J56+1,'结果表(车库)'!J55+1))</f>
        <v>5</v>
      </c>
      <c r="K57" s="3629" t="s">
        <v>1367</v>
      </c>
      <c r="L57" s="2530" t="s">
        <v>1368</v>
      </c>
      <c r="M57" s="2531"/>
      <c r="N57" s="2532">
        <f ca="1">SUMIF(M52:M56,"&lt;9e307")</f>
        <v>3670</v>
      </c>
      <c r="O57" s="2533"/>
      <c r="P57" s="2690">
        <f ca="1">N57/M49</f>
        <v>0.57613814756671899</v>
      </c>
    </row>
    <row r="58" spans="1:35" ht="24.75">
      <c r="A58" s="3472" t="s">
        <v>1352</v>
      </c>
      <c r="B58" s="3590" t="s">
        <v>1369</v>
      </c>
      <c r="C58" s="3564"/>
      <c r="D58" s="3455">
        <f ca="1">IF(H58="转让取得",C81,C97)</f>
        <v>3606</v>
      </c>
      <c r="E58" s="3470" t="s">
        <v>1364</v>
      </c>
      <c r="F58" s="302" t="s">
        <v>28</v>
      </c>
      <c r="G58" s="2555"/>
      <c r="H58" s="2558"/>
      <c r="I58" s="1808"/>
      <c r="J58" s="3629"/>
      <c r="K58" s="3629"/>
      <c r="L58" s="2530" t="s">
        <v>1370</v>
      </c>
      <c r="M58" s="2534"/>
      <c r="N58" s="2535" t="str">
        <f ca="1">NUMBERSTRING(INT(N57*10000),2)&amp;"元整"</f>
        <v>叁仟陆佰柒拾万元整</v>
      </c>
      <c r="O58" s="2536"/>
    </row>
    <row r="59" spans="1:35" ht="24.75" thickBot="1">
      <c r="A59" s="3632" t="s">
        <v>1371</v>
      </c>
      <c r="B59" s="3633"/>
      <c r="C59" s="3633"/>
      <c r="D59" s="2560">
        <f ca="1">IF(H59="非个人房产","——",IF(H59="个人住宅（满五唯一有凭证）",0,IF(H59="个人其他（无凭证）",ROUND(D45*F59,0),ROUND(C67*F59,0))))</f>
        <v>61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0">
        <f>J57+1</f>
        <v>6</v>
      </c>
      <c r="K59" s="3629" t="s">
        <v>1372</v>
      </c>
      <c r="L59" s="3460" t="s">
        <v>1368</v>
      </c>
      <c r="M59" s="2537"/>
      <c r="N59" s="2538">
        <f ca="1">M49-N57</f>
        <v>2700</v>
      </c>
      <c r="O59" s="2539"/>
    </row>
    <row r="60" spans="1:35" ht="12" customHeight="1">
      <c r="A60" s="1809"/>
      <c r="B60" s="1747"/>
      <c r="C60" s="1747"/>
      <c r="D60" s="1747"/>
      <c r="E60" s="1578"/>
      <c r="F60" s="1808"/>
      <c r="G60" s="1808"/>
      <c r="H60" s="1810"/>
      <c r="I60" s="129"/>
      <c r="J60" s="3631"/>
      <c r="K60" s="3629"/>
      <c r="L60" s="2530" t="s">
        <v>1370</v>
      </c>
      <c r="M60" s="2534"/>
      <c r="N60" s="2535" t="str">
        <f ca="1">NUMBERSTRING(INT(N59*10000),2)&amp;"元整"</f>
        <v>贰仟柒佰万元整</v>
      </c>
      <c r="O60" s="2536"/>
    </row>
    <row r="61" spans="1:35" ht="13.5" thickBot="1">
      <c r="A61" s="3577" t="s">
        <v>1373</v>
      </c>
      <c r="B61" s="3577"/>
      <c r="C61" s="3577"/>
      <c r="D61" s="3577"/>
      <c r="E61" s="3577"/>
      <c r="F61" s="1808"/>
      <c r="G61" s="1808"/>
      <c r="H61" s="1810"/>
      <c r="I61" s="129"/>
      <c r="J61" s="3460">
        <f>J59+1</f>
        <v>7</v>
      </c>
      <c r="K61" s="3629" t="s">
        <v>1374</v>
      </c>
      <c r="L61" s="3629"/>
      <c r="M61" s="2540"/>
      <c r="N61" s="2541">
        <f ca="1">ROUND(N59*10000/'数据-汇总表'!E3,0)</f>
        <v>1004</v>
      </c>
      <c r="O61" s="2542"/>
    </row>
    <row r="62" spans="1:35" ht="12.75">
      <c r="A62" s="3595" t="s">
        <v>1375</v>
      </c>
      <c r="B62" s="3596"/>
      <c r="C62" s="3465"/>
      <c r="D62" s="3465" t="s">
        <v>1376</v>
      </c>
      <c r="E62" s="166" t="s">
        <v>1377</v>
      </c>
      <c r="F62" s="1808"/>
      <c r="G62" s="1808"/>
      <c r="H62" s="1810"/>
      <c r="I62" s="129"/>
    </row>
    <row r="63" spans="1:35" ht="12.75">
      <c r="A63" s="173" t="s">
        <v>330</v>
      </c>
      <c r="B63" s="167" t="s">
        <v>1378</v>
      </c>
      <c r="C63" s="2564">
        <f ca="1">ROUND((C64+C65)/(1+'数据-取费表'!C42),0)</f>
        <v>6067</v>
      </c>
      <c r="D63" s="167"/>
      <c r="E63" s="168"/>
      <c r="F63" s="1808"/>
      <c r="G63" s="1808"/>
      <c r="H63" s="1810"/>
      <c r="I63" s="129"/>
      <c r="J63" s="3654" t="s">
        <v>1379</v>
      </c>
      <c r="K63" s="3456" t="s">
        <v>1380</v>
      </c>
      <c r="L63" s="3456">
        <f ca="1">IF(M49&gt;10000,M49*0.5%,IF(AND(M49&gt;1000,M49&lt;=10000),M49*1%,IF(AND(M49&gt;100,M49&lt;=1000),M49*3%,IF(AND(M49&gt;10,M49&lt;=100),M49*5%,M49*8%))))</f>
        <v>63.7</v>
      </c>
      <c r="M63" s="302">
        <f ca="1">ROUND(L63,1)</f>
        <v>63.7</v>
      </c>
      <c r="N63" s="2543"/>
      <c r="Z63" s="1752"/>
      <c r="AI63" s="1753"/>
    </row>
    <row r="64" spans="1:35" ht="14.25" customHeight="1">
      <c r="A64" s="169" t="s">
        <v>325</v>
      </c>
      <c r="B64" s="170" t="s">
        <v>1381</v>
      </c>
      <c r="C64" s="2565">
        <f ca="1">D45</f>
        <v>6370</v>
      </c>
      <c r="D64" s="170" t="s">
        <v>26</v>
      </c>
      <c r="E64" s="172"/>
      <c r="F64" s="1808"/>
      <c r="G64" s="1808"/>
      <c r="H64" s="1810"/>
      <c r="I64" s="129"/>
      <c r="J64" s="3654"/>
      <c r="K64" s="3456" t="s">
        <v>1382</v>
      </c>
      <c r="L64" s="3456">
        <f ca="1">IF(M49&gt;2000,M49*0.5%,IF(AND(M49&gt;1000,M49&lt;=2000),M49*0.6%,IF(AND(M49&gt;500,M49&lt;=1000),M49*0.7%,IF(AND(M49&gt;200,M49&lt;=500),M49*0.8%,IF(AND(M49&gt;100,M49&lt;=200),M49*0.9%,IF(AND(M49&gt;50,M49&lt;=100),M49*1%,IF(AND(M49&gt;20,M49&lt;=50),M49*1.5%,IF(AND(M49&gt;10,M49&lt;=20),M49*2%,IF(AND(M49&gt;1,M49&lt;=10),M49*2.5%)))))))))</f>
        <v>31.85</v>
      </c>
      <c r="M64" s="302">
        <f t="shared" ref="M64:M65" ca="1" si="2">ROUND(L64,1)</f>
        <v>31.9</v>
      </c>
      <c r="N64" s="2544" t="s">
        <v>1383</v>
      </c>
      <c r="Z64" s="1752"/>
      <c r="AI64" s="1753"/>
    </row>
    <row r="65" spans="1:35" ht="14.25" customHeight="1">
      <c r="A65" s="169" t="s">
        <v>326</v>
      </c>
      <c r="B65" s="170" t="s">
        <v>1384</v>
      </c>
      <c r="C65" s="2566"/>
      <c r="D65" s="170"/>
      <c r="E65" s="172"/>
      <c r="F65" s="1808"/>
      <c r="G65" s="1808"/>
      <c r="H65" s="1810"/>
      <c r="I65" s="129"/>
      <c r="J65" s="3654"/>
      <c r="K65" s="3456" t="s">
        <v>1385</v>
      </c>
      <c r="L65" s="3456">
        <f ca="1">IF(M49&gt;1000,M49*0.1%,IF(AND(M49&gt;500,M49&lt;=1000),M49*0.5%,IF(AND(M49&gt;50,M49&lt;=500),M49*1%,IF(AND(M49&gt;1,M49&lt;=50),M49*1.5%))))</f>
        <v>6.37</v>
      </c>
      <c r="M65" s="302">
        <f t="shared" ca="1" si="2"/>
        <v>6.4</v>
      </c>
      <c r="N65" s="2544" t="s">
        <v>1383</v>
      </c>
      <c r="Z65" s="1752"/>
      <c r="AI65" s="1753"/>
    </row>
    <row r="66" spans="1:35" ht="14.25" customHeight="1">
      <c r="A66" s="173" t="s">
        <v>327</v>
      </c>
      <c r="B66" s="174" t="s">
        <v>1386</v>
      </c>
      <c r="C66" s="2567"/>
      <c r="D66" s="174" t="s">
        <v>26</v>
      </c>
      <c r="E66" s="1338" t="s">
        <v>671</v>
      </c>
      <c r="F66" s="1808"/>
      <c r="G66" s="1808"/>
      <c r="H66" s="1810"/>
      <c r="I66" s="129"/>
      <c r="J66" s="3654"/>
      <c r="K66" s="3456" t="s">
        <v>1387</v>
      </c>
      <c r="L66" s="3456">
        <f ca="1">M49*0.5%</f>
        <v>31.85</v>
      </c>
      <c r="M66" s="302">
        <f ca="1">IF(L66&gt;0.5,0.5,ROUND(L66,0))</f>
        <v>0.5</v>
      </c>
      <c r="N66" s="2544" t="s">
        <v>1388</v>
      </c>
      <c r="Z66" s="1752"/>
      <c r="AI66" s="1753"/>
    </row>
    <row r="67" spans="1:35" ht="14.25" customHeight="1">
      <c r="A67" s="173" t="s">
        <v>328</v>
      </c>
      <c r="B67" s="174" t="s">
        <v>1389</v>
      </c>
      <c r="C67" s="2568">
        <f ca="1">C63-C66</f>
        <v>6067</v>
      </c>
      <c r="D67" s="170" t="s">
        <v>26</v>
      </c>
      <c r="E67" s="172"/>
      <c r="F67" s="1808"/>
      <c r="G67" s="1808"/>
      <c r="H67" s="1810"/>
      <c r="I67" s="129"/>
      <c r="J67" s="3654"/>
      <c r="K67" s="3456" t="s">
        <v>1390</v>
      </c>
      <c r="L67" s="3456">
        <f ca="1">IF(M49&gt;=10000,(8.25+(M49-10000)*0.01%),IF(AND(M49&gt;=8000,M49&lt;10000),(7.85+(M49-8000)*0.02%),IF(AND(M49&gt;=5000,M49&lt;8000),(6.65+(M49-5000)*0.04%),IF(AND(M49&gt;=2000,M49&lt;5000),(4.25+(PM49-2000)*0.08%),IF(AND(M49&gt;=1000,M49&lt;2000),(2.75+(M49-1000)*0.15%),IF(AND(M49&gt;=100,M49&lt;1000),(0.5+(M49-100)*0.25%),IF(AND(M49&gt;0,M49&lt;100),M49*0.5%)))))))</f>
        <v>7.1980000000000004</v>
      </c>
      <c r="M67" s="302">
        <f ca="1">ROUND(L67*0.9,1)</f>
        <v>6.5</v>
      </c>
      <c r="N67" s="2543"/>
      <c r="Z67" s="1752"/>
      <c r="AI67" s="1753"/>
    </row>
    <row r="68" spans="1:35" ht="14.25" customHeight="1" thickBot="1">
      <c r="A68" s="176" t="s">
        <v>329</v>
      </c>
      <c r="B68" s="177" t="s">
        <v>1391</v>
      </c>
      <c r="C68" s="2569">
        <f ca="1">IF(C67&lt;=0,0,ROUND(C67*D68,0))</f>
        <v>340</v>
      </c>
      <c r="D68" s="2570">
        <f>'数据-取费表'!B41</f>
        <v>5.6000000000000001E-2</v>
      </c>
      <c r="E68" s="178"/>
      <c r="F68" s="1808"/>
      <c r="G68" s="1808"/>
      <c r="H68" s="1810"/>
      <c r="I68" s="129"/>
      <c r="J68" s="3654"/>
      <c r="K68" s="3456" t="s">
        <v>1392</v>
      </c>
      <c r="L68" s="3456">
        <f ca="1">IF(M49&gt;10000,M49*0.5%,IF(AND(M49&gt;5000,M49&lt;=10000),M49*1%,IF(AND(M49&gt;1000,M49&lt;=5000),M49*2%,IF(AND(M49&gt;200,M49&lt;=1000),M49*3%,M49*5%))))</f>
        <v>63.7</v>
      </c>
      <c r="M68" s="302">
        <f ca="1">ROUND(L68,1)</f>
        <v>63.7</v>
      </c>
      <c r="N68" s="2543"/>
      <c r="Z68" s="1752"/>
      <c r="AI68" s="1753"/>
    </row>
    <row r="69" spans="1:35" s="1772" customFormat="1" ht="16.5" customHeight="1">
      <c r="A69" s="1811"/>
      <c r="B69" s="1812"/>
      <c r="C69" s="1813"/>
      <c r="D69" s="1814"/>
      <c r="E69" s="1815"/>
      <c r="F69" s="1578"/>
      <c r="G69" s="1578"/>
      <c r="H69" s="1577"/>
      <c r="I69" s="1747"/>
      <c r="J69" s="3654"/>
      <c r="K69" s="3456" t="s">
        <v>1393</v>
      </c>
      <c r="L69" s="3456"/>
      <c r="M69" s="302">
        <f ca="1">ROUND(SUM(M63:M68),0)</f>
        <v>173</v>
      </c>
      <c r="N69" s="2545">
        <f ca="1">M69/M49</f>
        <v>2.7158555729984303E-2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3465"/>
      <c r="D71" s="3465"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6067</v>
      </c>
      <c r="D72" s="170" t="s">
        <v>26</v>
      </c>
      <c r="E72" s="3467"/>
      <c r="F72" s="3466"/>
      <c r="G72" s="3466"/>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36</v>
      </c>
      <c r="D73" s="170" t="s">
        <v>26</v>
      </c>
      <c r="E73" s="3467"/>
      <c r="F73" s="3466"/>
      <c r="G73" s="3466"/>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7"/>
      <c r="F74" s="3466"/>
      <c r="G74" s="3466"/>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64"/>
      <c r="G76" s="3564"/>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5" t="s">
        <v>1404</v>
      </c>
      <c r="F77" s="186"/>
      <c r="G77" s="1822"/>
      <c r="H77" s="346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36</v>
      </c>
      <c r="D78" s="2577">
        <f>'数据-取费表'!B43</f>
        <v>6.000000000000001E-3</v>
      </c>
      <c r="E78" s="3574" t="s">
        <v>1406</v>
      </c>
      <c r="F78" s="3575"/>
      <c r="G78" s="3575"/>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6031</v>
      </c>
      <c r="D79" s="170" t="s">
        <v>26</v>
      </c>
      <c r="E79" s="3467"/>
      <c r="F79" s="3466"/>
      <c r="G79" s="3466"/>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167.52777777777777</v>
      </c>
      <c r="D80" s="170" t="s">
        <v>26</v>
      </c>
      <c r="E80" s="3455" t="str">
        <f ca="1">IF(C80&gt;=200%,"增值额超过扣除项目金额200%",IF(C80&gt;=100%,"增值额超过扣除项目金额100%，未超过200%",IF(C80&gt;=50%,"增值额超过扣除项目金额50%，未超过100%",IF(C80&lt;50%,"增值额未超过扣除项目金额50%"))))</f>
        <v>增值额超过扣除项目金额200%</v>
      </c>
      <c r="F80" s="3466"/>
      <c r="G80" s="3466"/>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3606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3465"/>
      <c r="D84" s="3465"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6067</v>
      </c>
      <c r="D85" s="170" t="s">
        <v>26</v>
      </c>
      <c r="E85" s="3467"/>
      <c r="F85" s="3466"/>
      <c r="G85" s="3466"/>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36</v>
      </c>
      <c r="D86" s="2581"/>
      <c r="E86" s="3467"/>
      <c r="F86" s="3466"/>
      <c r="G86" s="3466"/>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2"/>
      <c r="F87" s="3463"/>
      <c r="G87" s="3463"/>
      <c r="H87" s="3464"/>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3"/>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3"/>
      <c r="G89" s="3463"/>
      <c r="H89" s="3464"/>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3"/>
      <c r="G90" s="3656" t="s">
        <v>2128</v>
      </c>
      <c r="H90" s="365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4" t="s">
        <v>1419</v>
      </c>
      <c r="F91" s="3575"/>
      <c r="G91" s="357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4" t="s">
        <v>1422</v>
      </c>
      <c r="F92" s="3575"/>
      <c r="G92" s="3575"/>
      <c r="H92" s="358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36</v>
      </c>
      <c r="D93" s="2577">
        <f>'数据-取费表'!B43</f>
        <v>6.000000000000001E-3</v>
      </c>
      <c r="E93" s="3574" t="s">
        <v>1406</v>
      </c>
      <c r="F93" s="3575"/>
      <c r="G93" s="3575"/>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5" t="s">
        <v>1426</v>
      </c>
      <c r="F94" s="3586"/>
      <c r="G94" s="3586"/>
      <c r="H94" s="358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6031</v>
      </c>
      <c r="D95" s="170" t="s">
        <v>26</v>
      </c>
      <c r="E95" s="3467"/>
      <c r="F95" s="3466"/>
      <c r="G95" s="3466"/>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167.52777777777777</v>
      </c>
      <c r="D96" s="170" t="s">
        <v>26</v>
      </c>
      <c r="E96" s="3455" t="str">
        <f ca="1">IF(C96&gt;=200%,"增值额超过扣除项目金额200%",IF(C96&gt;=100%,"增值额超过扣除项目金额100%，未超过200%",IF(C96&gt;=50%,"增值额超过扣除项目金额50%，未超过100%",IF(C96&lt;50%,"增值额未超过扣除项目金额50%"))))</f>
        <v>增值额超过扣除项目金额200%</v>
      </c>
      <c r="F96" s="3466"/>
      <c r="G96" s="3466"/>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3606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85" t="str">
        <f>C4</f>
        <v>成本法(车库)</v>
      </c>
      <c r="D101" s="2586" t="str">
        <f>D4</f>
        <v>收益法(车库)</v>
      </c>
      <c r="E101" s="3651" t="s">
        <v>1431</v>
      </c>
      <c r="F101" s="3608"/>
      <c r="G101" s="1827" t="s">
        <v>1432</v>
      </c>
      <c r="H101" s="2595">
        <f ca="1">H118</f>
        <v>6370</v>
      </c>
      <c r="I101" s="129"/>
    </row>
    <row r="102" spans="1:35" ht="18.75" customHeight="1">
      <c r="A102" s="3610" t="s">
        <v>1433</v>
      </c>
      <c r="B102" s="2584" t="s">
        <v>1432</v>
      </c>
      <c r="C102" s="2585">
        <f ca="1">IF(D32="楼面单价",ROUND(C19,0),C19)</f>
        <v>7878</v>
      </c>
      <c r="D102" s="2586">
        <f ca="1">IF(D32="楼面单价",ROUND(D19,0),D19)</f>
        <v>5364</v>
      </c>
      <c r="E102" s="3651"/>
      <c r="F102" s="3608"/>
      <c r="G102" s="1827" t="s">
        <v>1434</v>
      </c>
      <c r="H102" s="2555">
        <f ca="1">I118</f>
        <v>8753</v>
      </c>
      <c r="I102" s="129"/>
    </row>
    <row r="103" spans="1:35" ht="42.75" customHeight="1">
      <c r="A103" s="3610"/>
      <c r="B103" s="2584" t="s">
        <v>1434</v>
      </c>
      <c r="C103" s="2587">
        <f ca="1">C20</f>
        <v>10826</v>
      </c>
      <c r="D103" s="2588">
        <f ca="1">D20</f>
        <v>7371</v>
      </c>
      <c r="E103" s="3645" t="s">
        <v>1435</v>
      </c>
      <c r="F103" s="3646"/>
      <c r="G103" s="1828" t="s">
        <v>1436</v>
      </c>
      <c r="H103" s="2595">
        <f>IF(D36="正常操作",H104+H105+H106,H105+H106)</f>
        <v>0</v>
      </c>
      <c r="I103" s="129"/>
    </row>
    <row r="104" spans="1:35" ht="18.75" customHeight="1">
      <c r="A104" s="3610" t="s">
        <v>1437</v>
      </c>
      <c r="B104" s="2589" t="s">
        <v>1432</v>
      </c>
      <c r="C104" s="2590">
        <f ca="1">H118</f>
        <v>6370</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f ca="1">I118</f>
        <v>8753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608"/>
      <c r="G107" s="1827" t="s">
        <v>1432</v>
      </c>
      <c r="H107" s="2595">
        <f ca="1">IF(E107="——","——",H101-H103)</f>
        <v>6370</v>
      </c>
      <c r="I107" s="129"/>
    </row>
    <row r="108" spans="1:35" ht="18.75" customHeight="1">
      <c r="A108" s="129"/>
      <c r="B108" s="129"/>
      <c r="C108" s="129"/>
      <c r="D108" s="129"/>
      <c r="E108" s="3607"/>
      <c r="F108" s="3608"/>
      <c r="G108" s="1827" t="s">
        <v>1434</v>
      </c>
      <c r="H108" s="2555">
        <f ca="1">IF(H107=H101,H102,ROUND(H107*10000/'数据-汇总表'!E3,0))</f>
        <v>8753</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7" t="s">
        <v>1432</v>
      </c>
      <c r="H109" s="2598" t="str">
        <f>IF(E109="——","——",H101-H105-H106)</f>
        <v>——</v>
      </c>
      <c r="I109" s="129"/>
    </row>
    <row r="110" spans="1:35" ht="18.75" customHeight="1">
      <c r="A110" s="129"/>
      <c r="B110" s="129"/>
      <c r="C110" s="129"/>
      <c r="D110" s="129"/>
      <c r="E110" s="3607"/>
      <c r="F110" s="3608"/>
      <c r="G110" s="1827" t="s">
        <v>1434</v>
      </c>
      <c r="H110" s="2555"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7" t="s">
        <v>1432</v>
      </c>
      <c r="H111" s="2595" t="str">
        <f>IF(E111="——","——",N59)</f>
        <v>——</v>
      </c>
      <c r="I111" s="129"/>
    </row>
    <row r="112" spans="1:35" ht="18.75" customHeight="1" thickBot="1">
      <c r="A112" s="129"/>
      <c r="B112" s="129"/>
      <c r="C112" s="129"/>
      <c r="D112" s="129"/>
      <c r="E112" s="3640"/>
      <c r="F112" s="3641"/>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3458" t="s">
        <v>1449</v>
      </c>
      <c r="E117" s="3458" t="s">
        <v>1450</v>
      </c>
      <c r="F117" s="3458" t="s">
        <v>1449</v>
      </c>
      <c r="G117" s="3458" t="s">
        <v>1451</v>
      </c>
      <c r="H117" s="3458" t="s">
        <v>1449</v>
      </c>
      <c r="I117" s="3458" t="s">
        <v>1451</v>
      </c>
    </row>
    <row r="118" spans="1:27" ht="24.75" customHeight="1">
      <c r="A118" s="2600" t="str">
        <f>项目基本情况!S2</f>
        <v>房地产</v>
      </c>
      <c r="B118" s="3458">
        <f>M18</f>
        <v>7277.21</v>
      </c>
      <c r="C118" s="3458">
        <f>M19</f>
        <v>0</v>
      </c>
      <c r="D118" s="3458" t="e">
        <f ca="1">ROUND(IF(D32="总价",C34,E118*B118/10000),0)</f>
        <v>#REF!</v>
      </c>
      <c r="E118" s="3458" t="e">
        <f ca="1">ROUND(IF(C33="自定义",IF(D32="楼面单价",C34,D118*10000/B118),I118-G118),0)</f>
        <v>#REF!</v>
      </c>
      <c r="F118" s="3458" t="e">
        <f ca="1">ROUND(IF(D32="总价",C35,G118*B118/10000),0)</f>
        <v>#REF!</v>
      </c>
      <c r="G118" s="3458" t="e">
        <f ca="1">ROUND(IF(D32="楼面单价",C35,F118*10000/B118),0)</f>
        <v>#REF!</v>
      </c>
      <c r="H118" s="3458">
        <f ca="1">ROUND(IF(D32="总价",C32,I118*B118/10000),0)</f>
        <v>6370</v>
      </c>
      <c r="I118" s="3458">
        <f ca="1">ROUND(IF(D32="楼面单价",C32,H118*10000/B118),0)</f>
        <v>8753</v>
      </c>
    </row>
    <row r="119" spans="1:27" ht="18.75" customHeight="1">
      <c r="A119" s="3578" t="s">
        <v>1452</v>
      </c>
      <c r="B119" s="3578"/>
      <c r="C119" s="3578"/>
      <c r="D119" s="3618" t="e">
        <f ca="1">NUMBERSTRING(INT(D118*10000),2)&amp;"元整"</f>
        <v>#REF!</v>
      </c>
      <c r="E119" s="3620"/>
      <c r="F119" s="3618" t="e">
        <f ca="1">NUMBERSTRING(INT(F118*10000),2)&amp;"元整"</f>
        <v>#REF!</v>
      </c>
      <c r="G119" s="3620"/>
      <c r="H119" s="3618" t="str">
        <f ca="1">NUMBERSTRING(INT(H118*10000),2)&amp;"元整"</f>
        <v>陆仟叁佰柒拾万元整</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房地产抵押价值</v>
      </c>
      <c r="B122" s="3609"/>
      <c r="C122" s="3609"/>
      <c r="D122" s="3642">
        <f ca="1">H107</f>
        <v>6370</v>
      </c>
      <c r="E122" s="3643"/>
      <c r="F122" s="3643"/>
      <c r="G122" s="3643"/>
      <c r="H122" s="3643"/>
      <c r="I122" s="3644"/>
      <c r="AA122" s="725"/>
    </row>
    <row r="123" spans="1:27" ht="18.75" customHeight="1">
      <c r="A123" s="3578" t="s">
        <v>1452</v>
      </c>
      <c r="B123" s="3578"/>
      <c r="C123" s="3578"/>
      <c r="D123" s="3618" t="str">
        <f ca="1">NUMBERSTRING(INT(D122*10000),2)&amp;"元整"</f>
        <v>陆仟叁佰柒拾万元整</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0" priority="10" stopIfTrue="1" operator="equal">
      <formula>25</formula>
    </cfRule>
  </conditionalFormatting>
  <conditionalFormatting sqref="C8:C9">
    <cfRule type="cellIs" dxfId="29" priority="9" stopIfTrue="1" operator="equal">
      <formula>15</formula>
    </cfRule>
  </conditionalFormatting>
  <conditionalFormatting sqref="C14:C16">
    <cfRule type="cellIs" dxfId="28" priority="8" stopIfTrue="1" operator="equal">
      <formula>30</formula>
    </cfRule>
  </conditionalFormatting>
  <conditionalFormatting sqref="D5:D7">
    <cfRule type="cellIs" dxfId="27" priority="7" stopIfTrue="1" operator="equal">
      <formula>25</formula>
    </cfRule>
  </conditionalFormatting>
  <conditionalFormatting sqref="D8:D9">
    <cfRule type="cellIs" dxfId="26" priority="6" stopIfTrue="1" operator="equal">
      <formula>15</formula>
    </cfRule>
  </conditionalFormatting>
  <conditionalFormatting sqref="C10:D13">
    <cfRule type="cellIs" dxfId="25" priority="5" stopIfTrue="1" operator="equal">
      <formula>15</formula>
    </cfRule>
  </conditionalFormatting>
  <conditionalFormatting sqref="D14:D16">
    <cfRule type="cellIs" dxfId="24" priority="4" stopIfTrue="1" operator="equal">
      <formula>30</formula>
    </cfRule>
  </conditionalFormatting>
  <conditionalFormatting sqref="C90">
    <cfRule type="expression" dxfId="23" priority="3" stopIfTrue="1">
      <formula>$H$88&lt;&gt;"仅含出让金"</formula>
    </cfRule>
  </conditionalFormatting>
  <conditionalFormatting sqref="C91">
    <cfRule type="expression" dxfId="22" priority="2" stopIfTrue="1">
      <formula>$H$91="由企业提供"</formula>
    </cfRule>
  </conditionalFormatting>
  <conditionalFormatting sqref="E36">
    <cfRule type="expression" dxfId="2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3336</v>
      </c>
      <c r="C1" s="198"/>
      <c r="D1" s="198"/>
      <c r="E1" s="198"/>
      <c r="F1" s="198"/>
      <c r="G1" s="1126">
        <f>MATCH(B1,'数据-取费表'!A6:A16,0)+5</f>
        <v>7</v>
      </c>
    </row>
    <row r="2" spans="1:9" s="200" customFormat="1" ht="18" customHeight="1">
      <c r="A2" s="201" t="s">
        <v>685</v>
      </c>
      <c r="B2" s="202">
        <f ca="1">IF(D2="——",C52,C52-E2)</f>
        <v>7878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10826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3659</v>
      </c>
      <c r="D5" s="211" t="s">
        <v>1469</v>
      </c>
      <c r="E5" s="212" t="s">
        <v>1470</v>
      </c>
      <c r="F5" s="212" t="s">
        <v>1471</v>
      </c>
      <c r="G5" s="213"/>
    </row>
    <row r="6" spans="1:9" s="214" customFormat="1" ht="13.5" customHeight="1">
      <c r="A6" s="778" t="s">
        <v>1472</v>
      </c>
      <c r="B6" s="215" t="s">
        <v>1473</v>
      </c>
      <c r="C6" s="216">
        <f>基准地价修正!E42</f>
        <v>3409</v>
      </c>
      <c r="D6" s="217"/>
      <c r="E6" s="218"/>
      <c r="F6" s="218"/>
      <c r="G6" s="219"/>
    </row>
    <row r="7" spans="1:9" s="214" customFormat="1" ht="13.5" customHeight="1">
      <c r="A7" s="778" t="s">
        <v>1474</v>
      </c>
      <c r="B7" s="215" t="s">
        <v>1475</v>
      </c>
      <c r="C7" s="220">
        <f>ROUND(C6*F7,0)</f>
        <v>104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146</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3405</v>
      </c>
      <c r="H9" s="1137"/>
      <c r="I9" s="1858" t="s">
        <v>1479</v>
      </c>
    </row>
    <row r="10" spans="1:9" s="214" customFormat="1" ht="13.5" customHeight="1">
      <c r="A10" s="779" t="s">
        <v>356</v>
      </c>
      <c r="B10" s="224" t="s">
        <v>1480</v>
      </c>
      <c r="C10" s="225">
        <f ca="1">ROUND(D10*E10/10000,0)</f>
        <v>146</v>
      </c>
      <c r="D10" s="845">
        <f ca="1">IF(B1="",'数据-汇总表'!E6,IF(INDIRECT("'数据-取费表'!c"&amp;$G$1)="住宅",INDIRECT("'数据-取费表'!s"&amp;$G$1),INDIRECT("'数据-取费表'!k"&amp;$G$1)+INDIRECT("'数据-取费表'!s"&amp;$G$1)))</f>
        <v>7277.21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7277.21</v>
      </c>
      <c r="E19" s="211">
        <f>'数据-取费表'!B31</f>
        <v>200</v>
      </c>
      <c r="F19" s="231"/>
      <c r="G19" s="1856" t="s">
        <v>3406</v>
      </c>
    </row>
    <row r="20" spans="1:7" s="214" customFormat="1" ht="13.5" customHeight="1">
      <c r="A20" s="255" t="s">
        <v>1493</v>
      </c>
      <c r="B20" s="210" t="s">
        <v>1494</v>
      </c>
      <c r="C20" s="232">
        <f ca="1">ROUND((C5+C19)*F20,0)</f>
        <v>73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1472</v>
      </c>
      <c r="B23" s="215" t="s">
        <v>1503</v>
      </c>
      <c r="C23" s="1105">
        <f ca="1">ROUND(IF('数据-取费表'!B22&lt;=1,C5*F22*'数据-取费表'!B23,C5*(POWER((1+F22),'数据-取费表'!B23)-1)),0)</f>
        <v>257</v>
      </c>
      <c r="D23" s="238"/>
      <c r="E23" s="238"/>
      <c r="F23" s="239"/>
      <c r="G23" s="240" t="s">
        <v>1504</v>
      </c>
    </row>
    <row r="24" spans="1:7" s="214" customFormat="1" ht="13.5" customHeight="1">
      <c r="A24" s="780" t="s">
        <v>1474</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373</v>
      </c>
      <c r="D27" s="235">
        <f ca="1">C29</f>
        <v>2E-3</v>
      </c>
      <c r="E27" s="236" t="s">
        <v>1498</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373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1498</v>
      </c>
      <c r="E30" s="241"/>
      <c r="F30" s="237">
        <f>'数据-取费表'!B41</f>
        <v>5.6000000000000001E-2</v>
      </c>
      <c r="G30" s="234" t="s">
        <v>1520</v>
      </c>
    </row>
    <row r="31" spans="1:7" ht="16.5" customHeight="1">
      <c r="A31" s="209">
        <v>1</v>
      </c>
      <c r="B31" s="210" t="s">
        <v>1521</v>
      </c>
      <c r="C31" s="211">
        <f ca="1">ROUND((C5+C19+C20+C22+C27)/(1-C21-D22-D27-C30),0)</f>
        <v>4724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2911</v>
      </c>
      <c r="D34" s="217"/>
      <c r="E34" s="220"/>
      <c r="F34" s="257">
        <f ca="1">IF('数据-取费表'!B24=0,1,IF(B1="",'数据-取费表'!N16,INDIRECT("'数据-取费表'!n"&amp;$G$1)))</f>
        <v>1</v>
      </c>
      <c r="G34" s="219" t="s">
        <v>1526</v>
      </c>
    </row>
    <row r="35" spans="1:7" ht="13.5" customHeight="1">
      <c r="A35" s="780" t="s">
        <v>351</v>
      </c>
      <c r="B35" s="215" t="s">
        <v>1527</v>
      </c>
      <c r="C35" s="220">
        <f ca="1">ROUND(C34*F35,0)</f>
        <v>87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146</v>
      </c>
      <c r="D37" s="217">
        <f ca="1">D19</f>
        <v>7277.21</v>
      </c>
      <c r="E37" s="249">
        <f>'数据-取费表'!B35</f>
        <v>200</v>
      </c>
      <c r="F37" s="259"/>
      <c r="G37" s="261" t="s">
        <v>1532</v>
      </c>
    </row>
    <row r="38" spans="1:7" ht="13.5" customHeight="1">
      <c r="A38" s="780" t="s">
        <v>354</v>
      </c>
      <c r="B38" s="215" t="s">
        <v>1533</v>
      </c>
      <c r="C38" s="220">
        <f ca="1">ROUND(C34*F38,0)</f>
        <v>44</v>
      </c>
      <c r="D38" s="220"/>
      <c r="E38" s="220"/>
      <c r="F38" s="259">
        <f>'数据-取费表'!B36</f>
        <v>1.4999999999999999E-2</v>
      </c>
      <c r="G38" s="219" t="s">
        <v>1528</v>
      </c>
    </row>
    <row r="39" spans="1:7" s="214" customFormat="1" ht="13.5" customHeight="1">
      <c r="A39" s="255" t="s">
        <v>1491</v>
      </c>
      <c r="B39" s="210" t="s">
        <v>1494</v>
      </c>
      <c r="C39" s="232">
        <f ca="1">ROUND(C33*F20,0)</f>
        <v>64</v>
      </c>
      <c r="D39" s="232"/>
      <c r="E39" s="232"/>
      <c r="F39" s="233">
        <f>F20</f>
        <v>0.02</v>
      </c>
      <c r="G39" s="234" t="s">
        <v>1536</v>
      </c>
    </row>
    <row r="40" spans="1:7" s="214" customFormat="1" ht="13.5" customHeight="1">
      <c r="A40" s="255" t="s">
        <v>1493</v>
      </c>
      <c r="B40" s="210" t="s">
        <v>1497</v>
      </c>
      <c r="C40" s="1327">
        <f>F21</f>
        <v>0.02</v>
      </c>
      <c r="D40" s="236" t="s">
        <v>1539</v>
      </c>
      <c r="E40" s="232"/>
      <c r="F40" s="233">
        <f>F21</f>
        <v>0.02</v>
      </c>
      <c r="G40" s="234" t="s">
        <v>1540</v>
      </c>
    </row>
    <row r="41" spans="1:7" s="214" customFormat="1" ht="13.5" customHeight="1">
      <c r="A41" s="255" t="s">
        <v>1496</v>
      </c>
      <c r="B41" s="210" t="s">
        <v>1501</v>
      </c>
      <c r="C41" s="232">
        <f ca="1">ROUND(SUM(C42:C43),0)</f>
        <v>112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1503</v>
      </c>
      <c r="C42" s="238">
        <f ca="1">ROUND(IF('数据-取费表'!B22&lt;=1,C33*F22*'数据-取费表'!B21/2,C33*(POWER((1+F22),'数据-取费表'!B21/2)-1)),0)</f>
        <v>110</v>
      </c>
      <c r="D42" s="238"/>
      <c r="E42" s="238"/>
      <c r="F42" s="239"/>
      <c r="G42" s="3658" t="s">
        <v>1544</v>
      </c>
    </row>
    <row r="43" spans="1:7" ht="13.5" customHeight="1">
      <c r="A43" s="780" t="s">
        <v>347</v>
      </c>
      <c r="B43" s="215" t="s">
        <v>1506</v>
      </c>
      <c r="C43" s="238">
        <f ca="1">ROUND(IF('数据-取费表'!B22&lt;=1,C39*F22*'数据-取费表'!B21/2,C39*(POWER((1+F22),'数据-取费表'!B21/2)-1)),0)</f>
        <v>2</v>
      </c>
      <c r="D43" s="238"/>
      <c r="E43" s="238"/>
      <c r="F43" s="239"/>
      <c r="G43" s="3659"/>
    </row>
    <row r="44" spans="1:7" ht="13.5" customHeight="1">
      <c r="A44" s="780" t="s">
        <v>348</v>
      </c>
      <c r="B44" s="215" t="s">
        <v>1509</v>
      </c>
      <c r="C44" s="238">
        <f ca="1">ROUND(IF('数据-取费表'!B22&lt;=1,C40*F22*'数据-取费表'!B21/2,C40*(POWER((1+F22),'数据-取费表'!B21/2)-1)),4)</f>
        <v>6.9999999999999999E-4</v>
      </c>
      <c r="D44" s="238"/>
      <c r="E44" s="238"/>
      <c r="F44" s="239"/>
      <c r="G44" s="3660"/>
    </row>
    <row r="45" spans="1:7" s="214" customFormat="1" ht="13.5" customHeight="1">
      <c r="A45" s="255" t="s">
        <v>1500</v>
      </c>
      <c r="B45" s="244" t="s">
        <v>1513</v>
      </c>
      <c r="C45" s="245">
        <f ca="1">C46</f>
        <v>325</v>
      </c>
      <c r="D45" s="235">
        <f ca="1">C47</f>
        <v>2E-3</v>
      </c>
      <c r="E45" s="236" t="s">
        <v>1539</v>
      </c>
      <c r="F45" s="246">
        <f ca="1">F27</f>
        <v>0.1</v>
      </c>
      <c r="G45" s="247" t="s">
        <v>1548</v>
      </c>
    </row>
    <row r="46" spans="1:7" s="214" customFormat="1" ht="13.5" customHeight="1">
      <c r="A46" s="780" t="s">
        <v>346</v>
      </c>
      <c r="B46" s="248" t="s">
        <v>1549</v>
      </c>
      <c r="C46" s="249">
        <f ca="1">ROUND((C33+C39)*F27,0)</f>
        <v>325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3992</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3154</v>
      </c>
      <c r="D51" s="232"/>
      <c r="E51" s="232"/>
      <c r="F51" s="264"/>
      <c r="G51" s="234" t="s">
        <v>1560</v>
      </c>
    </row>
    <row r="52" spans="1:7" s="208" customFormat="1" ht="16.5" thickBot="1">
      <c r="A52" s="265" t="s">
        <v>1561</v>
      </c>
      <c r="B52" s="266"/>
      <c r="C52" s="267">
        <f ca="1">C31+C51</f>
        <v>7878</v>
      </c>
      <c r="D52" s="266"/>
      <c r="E52" s="266"/>
      <c r="F52" s="266"/>
      <c r="G52" s="268"/>
    </row>
    <row r="55" spans="1:7" ht="15">
      <c r="B55" s="270" t="s">
        <v>1562</v>
      </c>
      <c r="C55" s="271"/>
    </row>
    <row r="56" spans="1:7">
      <c r="B56" s="273" t="s">
        <v>802</v>
      </c>
      <c r="C56" s="275">
        <f ca="1">1-C57</f>
        <v>0.6</v>
      </c>
    </row>
    <row r="57" spans="1:7">
      <c r="B57" s="273" t="s">
        <v>803</v>
      </c>
      <c r="C57" s="274">
        <f ca="1">ROUND(C51/C52,3)</f>
        <v>0.4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0</v>
      </c>
      <c r="D6" s="155" t="s">
        <v>2105</v>
      </c>
      <c r="E6" s="302" t="s">
        <v>696</v>
      </c>
      <c r="F6" s="303">
        <f ca="1">INDIRECT("'数据-取费表'!u"&amp;$G$1)</f>
        <v>0</v>
      </c>
      <c r="G6" s="1384"/>
      <c r="H6" s="1069" t="s">
        <v>398</v>
      </c>
      <c r="I6" s="3663" t="s">
        <v>694</v>
      </c>
      <c r="J6" s="301">
        <f ca="1">ROUND(M6*M8*M7*(1-M9),0)</f>
        <v>0</v>
      </c>
      <c r="K6" s="1376" t="s">
        <v>2106</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2" priority="4">
      <formula>$L$48&gt;$J$51</formula>
    </cfRule>
  </conditionalFormatting>
  <conditionalFormatting sqref="I55 I60">
    <cfRule type="expression" dxfId="201" priority="5">
      <formula>$J$51&gt;$L$48</formula>
    </cfRule>
  </conditionalFormatting>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估价对象为房地产，为所有。根据《国有土地使用证》[]，估价对象（分摊）出让国有建设用地使用权面积为0平方米，建筑面积为26891.39平方米。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估价对象为房地产,属开发建设的，该项目尚在开发建设中。根据《国有土地使用证》[]，估价对象（分摊）出让国有建设用地使用权面积为0平方米，规划建筑面积为26891.39平方米。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672" t="s">
        <v>2320</v>
      </c>
      <c r="K2" s="367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4" t="s">
        <v>2330</v>
      </c>
      <c r="K3" s="367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4" t="s">
        <v>2332</v>
      </c>
      <c r="K4" s="367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80" t="s">
        <v>2336</v>
      </c>
      <c r="B6" s="3681"/>
      <c r="C6" s="3682"/>
      <c r="D6" s="2870"/>
      <c r="E6" s="2871"/>
      <c r="F6" s="2872"/>
      <c r="G6" s="2873"/>
      <c r="H6" s="2848"/>
      <c r="I6" s="2849"/>
      <c r="J6" s="3666">
        <v>1</v>
      </c>
      <c r="K6" s="366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6"/>
      <c r="K7" s="366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83" t="s">
        <v>2350</v>
      </c>
      <c r="C8" s="3684"/>
      <c r="D8" s="2889" t="s">
        <v>2351</v>
      </c>
      <c r="E8" s="2890" t="s">
        <v>2352</v>
      </c>
      <c r="F8" s="2891" t="s">
        <v>2353</v>
      </c>
      <c r="G8" s="2892"/>
      <c r="H8" s="2848"/>
      <c r="I8" s="2849"/>
      <c r="J8" s="3666"/>
      <c r="K8" s="366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83" t="s">
        <v>2356</v>
      </c>
      <c r="C9" s="3684"/>
      <c r="D9" s="2889">
        <f>ROUND(D6*E9,0)</f>
        <v>0</v>
      </c>
      <c r="E9" s="2893"/>
      <c r="F9" s="2894" t="s">
        <v>2357</v>
      </c>
      <c r="G9" s="2873"/>
      <c r="H9" s="2848"/>
      <c r="I9" s="2849"/>
      <c r="J9" s="3666"/>
      <c r="K9" s="3668"/>
      <c r="L9" s="2883" t="s">
        <v>2358</v>
      </c>
      <c r="M9" s="2884"/>
      <c r="N9" s="2860"/>
      <c r="O9" s="2885"/>
      <c r="P9" s="2885"/>
      <c r="Q9" s="2886">
        <v>365</v>
      </c>
      <c r="R9" s="2887">
        <f t="shared" si="0"/>
        <v>0</v>
      </c>
      <c r="S9" s="2841"/>
      <c r="T9" s="2841"/>
      <c r="U9" s="2841"/>
      <c r="V9" s="2849"/>
    </row>
    <row r="10" spans="1:22" s="2853" customFormat="1" ht="13.15" customHeight="1">
      <c r="A10" s="2888">
        <v>2</v>
      </c>
      <c r="B10" s="3683" t="s">
        <v>2359</v>
      </c>
      <c r="C10" s="3684"/>
      <c r="D10" s="2889">
        <f>ROUND(D6*E10,0)</f>
        <v>0</v>
      </c>
      <c r="E10" s="2893"/>
      <c r="F10" s="2894" t="s">
        <v>2360</v>
      </c>
      <c r="G10" s="2873"/>
      <c r="H10" s="2848"/>
      <c r="I10" s="2849"/>
      <c r="J10" s="3666"/>
      <c r="K10" s="3668"/>
      <c r="L10" s="2883" t="s">
        <v>2361</v>
      </c>
      <c r="M10" s="2884"/>
      <c r="N10" s="2860"/>
      <c r="O10" s="2885"/>
      <c r="P10" s="2885"/>
      <c r="Q10" s="2886">
        <v>365</v>
      </c>
      <c r="R10" s="2887">
        <f t="shared" si="0"/>
        <v>0</v>
      </c>
      <c r="S10" s="2841"/>
      <c r="T10" s="2841"/>
      <c r="U10" s="2841"/>
      <c r="V10" s="2849"/>
    </row>
    <row r="11" spans="1:22" s="2853" customFormat="1" ht="13.15" customHeight="1">
      <c r="A11" s="2888">
        <v>3</v>
      </c>
      <c r="B11" s="3683" t="s">
        <v>2362</v>
      </c>
      <c r="C11" s="3684"/>
      <c r="D11" s="2889">
        <f>D12+D14+D15+D16</f>
        <v>0</v>
      </c>
      <c r="E11" s="2895" t="e">
        <f>D11/D6</f>
        <v>#DIV/0!</v>
      </c>
      <c r="F11" s="2891"/>
      <c r="G11" s="2892"/>
      <c r="H11" s="2848"/>
      <c r="I11" s="2849"/>
      <c r="J11" s="3666"/>
      <c r="K11" s="366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6" t="s">
        <v>2365</v>
      </c>
      <c r="C12" s="3677"/>
      <c r="D12" s="2897">
        <f>ROUND(D13*1.2%*(1-30%),0)</f>
        <v>0</v>
      </c>
      <c r="E12" s="2898">
        <v>1.2E-2</v>
      </c>
      <c r="F12" s="2891" t="s">
        <v>2366</v>
      </c>
      <c r="G12" s="2892"/>
      <c r="H12" s="2848"/>
      <c r="I12" s="2849"/>
      <c r="J12" s="3666"/>
      <c r="K12" s="366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6"/>
      <c r="K13" s="366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6" t="s">
        <v>2371</v>
      </c>
      <c r="C14" s="3677"/>
      <c r="D14" s="2897">
        <f>ROUND(E14*B5/10000,0)</f>
        <v>0</v>
      </c>
      <c r="E14" s="2886"/>
      <c r="F14" s="2891" t="s">
        <v>2372</v>
      </c>
      <c r="G14" s="2892"/>
      <c r="H14" s="2848"/>
      <c r="I14" s="2849"/>
      <c r="J14" s="3666"/>
      <c r="K14" s="366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6" t="s">
        <v>2375</v>
      </c>
      <c r="C15" s="3677"/>
      <c r="D15" s="2897">
        <f>ROUND(D6*E15,0)</f>
        <v>0</v>
      </c>
      <c r="E15" s="2898">
        <v>5.5E-2</v>
      </c>
      <c r="F15" s="2891" t="s">
        <v>2376</v>
      </c>
      <c r="G15" s="2873"/>
      <c r="H15" s="2848"/>
      <c r="I15" s="2849"/>
      <c r="J15" s="3666">
        <v>2</v>
      </c>
      <c r="K15" s="366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6" t="s">
        <v>2384</v>
      </c>
      <c r="C16" s="3677"/>
      <c r="D16" s="2908">
        <f>D6*E16</f>
        <v>0</v>
      </c>
      <c r="E16" s="2909"/>
      <c r="F16" s="2894" t="s">
        <v>2385</v>
      </c>
      <c r="G16" s="2873"/>
      <c r="H16" s="2848"/>
      <c r="I16" s="2849"/>
      <c r="J16" s="3666"/>
      <c r="K16" s="366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8" t="s">
        <v>2387</v>
      </c>
      <c r="C17" s="3679"/>
      <c r="D17" s="2911">
        <f>ROUND(D6*E17,0)</f>
        <v>0</v>
      </c>
      <c r="E17" s="2912"/>
      <c r="F17" s="2913" t="s">
        <v>2388</v>
      </c>
      <c r="G17" s="2873"/>
      <c r="H17" s="2848"/>
      <c r="I17" s="2849"/>
      <c r="J17" s="3666"/>
      <c r="K17" s="366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6"/>
      <c r="K18" s="366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6"/>
      <c r="K19" s="366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6">
        <v>3</v>
      </c>
      <c r="K20" s="366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6"/>
      <c r="K21" s="366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6"/>
      <c r="K22" s="366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6"/>
      <c r="K23" s="366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6"/>
      <c r="K24" s="366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72" t="s">
        <v>2320</v>
      </c>
      <c r="K32" s="367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4" t="s">
        <v>2330</v>
      </c>
      <c r="K33" s="367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4" t="s">
        <v>2332</v>
      </c>
      <c r="K34" s="367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6">
        <v>1</v>
      </c>
      <c r="K36" s="366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6"/>
      <c r="K40" s="366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26891.389999999996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5" t="s">
        <v>1667</v>
      </c>
      <c r="D4" s="3706"/>
      <c r="E4" s="3707" t="s">
        <v>1668</v>
      </c>
      <c r="F4" s="3708"/>
      <c r="G4" s="3705" t="s">
        <v>1669</v>
      </c>
      <c r="H4" s="3706"/>
      <c r="I4" s="3705" t="s">
        <v>1670</v>
      </c>
      <c r="J4" s="3706"/>
      <c r="K4" s="1889" t="s">
        <v>1671</v>
      </c>
      <c r="L4" s="2715"/>
      <c r="M4" s="2716"/>
      <c r="N4" s="2716"/>
      <c r="O4" s="2716"/>
      <c r="P4" s="3709" t="s">
        <v>1672</v>
      </c>
      <c r="Q4" s="3710"/>
      <c r="R4" s="3715" t="s">
        <v>1668</v>
      </c>
      <c r="S4" s="3716"/>
      <c r="T4" s="3715" t="s">
        <v>1669</v>
      </c>
      <c r="U4" s="3716"/>
      <c r="V4" s="3721" t="s">
        <v>1670</v>
      </c>
      <c r="W4" s="3721"/>
      <c r="X4" s="1355"/>
      <c r="Y4" s="3715" t="s">
        <v>1672</v>
      </c>
      <c r="Z4" s="3716"/>
      <c r="AA4" s="3702" t="s">
        <v>1668</v>
      </c>
      <c r="AB4" s="3702" t="s">
        <v>1669</v>
      </c>
      <c r="AC4" s="3702" t="s">
        <v>1670</v>
      </c>
    </row>
    <row r="5" spans="1:29" ht="15">
      <c r="A5" s="358"/>
      <c r="B5" s="359"/>
      <c r="C5" s="3724" t="s">
        <v>1673</v>
      </c>
      <c r="D5" s="3725"/>
      <c r="E5" s="3731" t="s">
        <v>1674</v>
      </c>
      <c r="F5" s="3732"/>
      <c r="G5" s="3724" t="s">
        <v>1675</v>
      </c>
      <c r="H5" s="3725"/>
      <c r="I5" s="3724" t="s">
        <v>1676</v>
      </c>
      <c r="J5" s="3725"/>
      <c r="K5" s="1890"/>
      <c r="L5" s="2715"/>
      <c r="M5" s="2716"/>
      <c r="N5" s="2716"/>
      <c r="O5" s="2716"/>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1890" t="s">
        <v>1678</v>
      </c>
      <c r="L6" s="2715"/>
      <c r="M6" s="2716"/>
      <c r="N6" s="2716"/>
      <c r="O6" s="2716"/>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45243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6" t="s">
        <v>1680</v>
      </c>
      <c r="Q7" s="3728"/>
      <c r="R7" s="701" t="s">
        <v>20</v>
      </c>
      <c r="S7" s="702">
        <f t="shared" ref="S7:S15" si="0">F7</f>
        <v>0</v>
      </c>
      <c r="T7" s="701" t="s">
        <v>20</v>
      </c>
      <c r="U7" s="702">
        <f t="shared" ref="U7:U15" si="1">H7</f>
        <v>0</v>
      </c>
      <c r="V7" s="701" t="s">
        <v>20</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6" t="s">
        <v>1683</v>
      </c>
      <c r="Q8" s="3727"/>
      <c r="R8" s="701" t="s">
        <v>20</v>
      </c>
      <c r="S8" s="702">
        <f t="shared" si="0"/>
        <v>100</v>
      </c>
      <c r="T8" s="701" t="s">
        <v>20</v>
      </c>
      <c r="U8" s="702">
        <f t="shared" si="1"/>
        <v>100</v>
      </c>
      <c r="V8" s="701" t="s">
        <v>20</v>
      </c>
      <c r="W8" s="702">
        <f t="shared" si="2"/>
        <v>100</v>
      </c>
      <c r="X8" s="703"/>
      <c r="Y8" s="3726" t="s">
        <v>1683</v>
      </c>
      <c r="Z8" s="372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1"/>
      <c r="Q11" s="1343" t="str">
        <f t="shared" si="6"/>
        <v>容积率</v>
      </c>
      <c r="R11" s="701" t="s">
        <v>18</v>
      </c>
      <c r="S11" s="702" t="e">
        <f t="shared" si="0"/>
        <v>#N/A</v>
      </c>
      <c r="T11" s="701" t="s">
        <v>18</v>
      </c>
      <c r="U11" s="702" t="e">
        <f t="shared" si="1"/>
        <v>#N/A</v>
      </c>
      <c r="V11" s="701" t="s">
        <v>18</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1"/>
      <c r="Q12" s="1343">
        <f t="shared" si="6"/>
        <v>111</v>
      </c>
      <c r="R12" s="701" t="s">
        <v>18</v>
      </c>
      <c r="S12" s="702">
        <f t="shared" si="0"/>
        <v>100</v>
      </c>
      <c r="T12" s="701" t="s">
        <v>18</v>
      </c>
      <c r="U12" s="702">
        <f t="shared" si="1"/>
        <v>100</v>
      </c>
      <c r="V12" s="701" t="s">
        <v>18</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1"/>
      <c r="Q13" s="1343">
        <f t="shared" si="6"/>
        <v>111</v>
      </c>
      <c r="R13" s="701" t="s">
        <v>18</v>
      </c>
      <c r="S13" s="702">
        <f t="shared" si="0"/>
        <v>100</v>
      </c>
      <c r="T13" s="701" t="s">
        <v>18</v>
      </c>
      <c r="U13" s="702">
        <f t="shared" si="1"/>
        <v>100</v>
      </c>
      <c r="V13" s="701" t="s">
        <v>18</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1"/>
      <c r="Q14" s="1343">
        <f t="shared" si="6"/>
        <v>111</v>
      </c>
      <c r="R14" s="701" t="s">
        <v>18</v>
      </c>
      <c r="S14" s="702">
        <f t="shared" si="0"/>
        <v>100</v>
      </c>
      <c r="T14" s="701" t="s">
        <v>18</v>
      </c>
      <c r="U14" s="702">
        <f t="shared" si="1"/>
        <v>100</v>
      </c>
      <c r="V14" s="701" t="s">
        <v>18</v>
      </c>
      <c r="W14" s="702">
        <f t="shared" si="2"/>
        <v>100</v>
      </c>
      <c r="X14" s="703"/>
      <c r="Y14" s="356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9" t="s">
        <v>1691</v>
      </c>
      <c r="Q15" s="1352" t="str">
        <f t="shared" si="6"/>
        <v>居住社区成熟度</v>
      </c>
      <c r="R15" s="705" t="s">
        <v>18</v>
      </c>
      <c r="S15" s="706">
        <f t="shared" si="0"/>
        <v>100</v>
      </c>
      <c r="T15" s="705" t="s">
        <v>18</v>
      </c>
      <c r="U15" s="706">
        <f t="shared" si="1"/>
        <v>100</v>
      </c>
      <c r="V15" s="705" t="s">
        <v>18</v>
      </c>
      <c r="W15" s="706">
        <f t="shared" si="2"/>
        <v>100</v>
      </c>
      <c r="X15" s="1355"/>
      <c r="Y15" s="369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0"/>
      <c r="Q16" s="1352"/>
      <c r="R16" s="705"/>
      <c r="S16" s="706"/>
      <c r="T16" s="705"/>
      <c r="U16" s="706"/>
      <c r="V16" s="705"/>
      <c r="W16" s="706"/>
      <c r="X16" s="1355"/>
      <c r="Y16" s="369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0"/>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0"/>
      <c r="Q18" s="1352"/>
      <c r="R18" s="705"/>
      <c r="S18" s="706"/>
      <c r="T18" s="705"/>
      <c r="U18" s="706"/>
      <c r="V18" s="705"/>
      <c r="W18" s="706"/>
      <c r="X18" s="1355"/>
      <c r="Y18" s="369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0"/>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0"/>
      <c r="Q20" s="1352"/>
      <c r="R20" s="705"/>
      <c r="S20" s="706"/>
      <c r="T20" s="705"/>
      <c r="U20" s="706"/>
      <c r="V20" s="705"/>
      <c r="W20" s="706"/>
      <c r="X20" s="1355"/>
      <c r="Y20" s="369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0"/>
      <c r="Q22" s="1352"/>
      <c r="R22" s="705"/>
      <c r="S22" s="706"/>
      <c r="T22" s="705"/>
      <c r="U22" s="706"/>
      <c r="V22" s="705"/>
      <c r="W22" s="706"/>
      <c r="X22" s="1355"/>
      <c r="Y22" s="369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0"/>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0"/>
      <c r="Q24" s="1352"/>
      <c r="R24" s="705"/>
      <c r="S24" s="706"/>
      <c r="T24" s="705"/>
      <c r="U24" s="706"/>
      <c r="V24" s="705"/>
      <c r="W24" s="706"/>
      <c r="X24" s="1355"/>
      <c r="Y24" s="369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0"/>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0"/>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0"/>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0"/>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0"/>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0"/>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4" t="s">
        <v>1696</v>
      </c>
      <c r="Q32" s="1352" t="str">
        <f t="shared" si="11"/>
        <v>建筑类型</v>
      </c>
      <c r="R32" s="705" t="s">
        <v>18</v>
      </c>
      <c r="S32" s="706">
        <f t="shared" si="12"/>
        <v>100</v>
      </c>
      <c r="T32" s="705" t="s">
        <v>18</v>
      </c>
      <c r="U32" s="706">
        <f t="shared" si="13"/>
        <v>100</v>
      </c>
      <c r="V32" s="705" t="s">
        <v>18</v>
      </c>
      <c r="W32" s="706">
        <f t="shared" si="14"/>
        <v>100</v>
      </c>
      <c r="X32" s="1355"/>
      <c r="Y32" s="369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5"/>
      <c r="Q37" s="1343"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5" t="s">
        <v>1696</v>
      </c>
      <c r="Q38" s="1352" t="str">
        <f t="shared" si="11"/>
        <v>物业管理</v>
      </c>
      <c r="R38" s="705" t="s">
        <v>18</v>
      </c>
      <c r="S38" s="706">
        <f t="shared" si="12"/>
        <v>100</v>
      </c>
      <c r="T38" s="705" t="s">
        <v>18</v>
      </c>
      <c r="U38" s="706">
        <f t="shared" si="13"/>
        <v>100</v>
      </c>
      <c r="V38" s="705" t="s">
        <v>18</v>
      </c>
      <c r="W38" s="706">
        <f t="shared" si="14"/>
        <v>100</v>
      </c>
      <c r="X38" s="1355"/>
      <c r="Y38" s="369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7" priority="19" stopIfTrue="1" operator="containsText" text="超过">
      <formula>NOT(ISERROR(SEARCH("超过",F52)))</formula>
    </cfRule>
  </conditionalFormatting>
  <conditionalFormatting sqref="J54">
    <cfRule type="containsText" dxfId="196" priority="18" stopIfTrue="1" operator="containsText" text="超过">
      <formula>NOT(ISERROR(SEARCH("超过",J54)))</formula>
    </cfRule>
  </conditionalFormatting>
  <conditionalFormatting sqref="H54">
    <cfRule type="containsText" dxfId="195" priority="17" stopIfTrue="1" operator="containsText" text="超过">
      <formula>NOT(ISERROR(SEARCH("超过",H54)))</formula>
    </cfRule>
  </conditionalFormatting>
  <conditionalFormatting sqref="F54">
    <cfRule type="containsText" dxfId="194" priority="16" stopIfTrue="1" operator="containsText" text="超过">
      <formula>NOT(ISERROR(SEARCH("超过",F54)))</formula>
    </cfRule>
  </conditionalFormatting>
  <conditionalFormatting sqref="F53 H53 J53">
    <cfRule type="containsText" dxfId="193" priority="15" stopIfTrue="1" operator="containsText" text="超过">
      <formula>NOT(ISERROR(SEARCH("超过",F53)))</formula>
    </cfRule>
  </conditionalFormatting>
  <conditionalFormatting sqref="E52">
    <cfRule type="expression" dxfId="192" priority="14" stopIfTrue="1">
      <formula>$F$52="超过30%"</formula>
    </cfRule>
  </conditionalFormatting>
  <conditionalFormatting sqref="G54">
    <cfRule type="expression" dxfId="191" priority="12" stopIfTrue="1">
      <formula>$H$54="超过30%"</formula>
    </cfRule>
  </conditionalFormatting>
  <conditionalFormatting sqref="E53">
    <cfRule type="expression" dxfId="190" priority="11" stopIfTrue="1">
      <formula>$F$53="超过20%"</formula>
    </cfRule>
  </conditionalFormatting>
  <conditionalFormatting sqref="E54">
    <cfRule type="expression" dxfId="189" priority="10" stopIfTrue="1">
      <formula>$F$54="超过30%"</formula>
    </cfRule>
  </conditionalFormatting>
  <conditionalFormatting sqref="G52">
    <cfRule type="expression" dxfId="188" priority="9" stopIfTrue="1">
      <formula>$H$52="超过30%"</formula>
    </cfRule>
  </conditionalFormatting>
  <conditionalFormatting sqref="G53">
    <cfRule type="expression" dxfId="187" priority="8" stopIfTrue="1">
      <formula>$H$53="超过20%"</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753"/>
    <col min="3" max="3" width="12.625" style="1753" customWidth="1"/>
    <col min="4" max="4" width="15.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598" t="str">
        <f>项目基本情况!S2</f>
        <v>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4" t="s">
        <v>1265</v>
      </c>
      <c r="B4" s="1755" t="s">
        <v>1266</v>
      </c>
      <c r="C4" s="1756" t="s">
        <v>3439</v>
      </c>
      <c r="D4" s="1756" t="s">
        <v>3410</v>
      </c>
      <c r="E4" s="3604" t="s">
        <v>1267</v>
      </c>
      <c r="F4" s="3605"/>
      <c r="G4" s="3605"/>
      <c r="H4" s="3605"/>
      <c r="I4" s="3606"/>
      <c r="K4" s="14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78" t="s">
        <v>1268</v>
      </c>
      <c r="B5" s="3565">
        <v>25</v>
      </c>
      <c r="C5" s="3581"/>
      <c r="D5" s="3601"/>
      <c r="E5" s="131" t="s">
        <v>1269</v>
      </c>
      <c r="F5" s="1757"/>
      <c r="G5" s="1757"/>
      <c r="H5" s="1757"/>
      <c r="I5" s="1373"/>
    </row>
    <row r="6" spans="1:12" ht="12.75">
      <c r="A6" s="3578"/>
      <c r="B6" s="3565"/>
      <c r="C6" s="3582"/>
      <c r="D6" s="3601"/>
      <c r="E6" s="131" t="s">
        <v>1270</v>
      </c>
      <c r="F6" s="1757"/>
      <c r="G6" s="1757"/>
      <c r="H6" s="1757"/>
      <c r="I6" s="1373"/>
    </row>
    <row r="7" spans="1:12" ht="12.75">
      <c r="A7" s="3578"/>
      <c r="B7" s="3565"/>
      <c r="C7" s="3583"/>
      <c r="D7" s="3601"/>
      <c r="E7" s="131" t="s">
        <v>1271</v>
      </c>
      <c r="F7" s="1757"/>
      <c r="G7" s="1757"/>
      <c r="H7" s="1757"/>
      <c r="I7" s="1373"/>
    </row>
    <row r="8" spans="1:12" ht="12.75">
      <c r="A8" s="3578" t="s">
        <v>1272</v>
      </c>
      <c r="B8" s="3565">
        <v>15</v>
      </c>
      <c r="C8" s="3581"/>
      <c r="D8" s="3601"/>
      <c r="E8" s="131" t="s">
        <v>1273</v>
      </c>
      <c r="F8" s="1757"/>
      <c r="G8" s="1757"/>
      <c r="H8" s="1757"/>
      <c r="I8" s="1373"/>
    </row>
    <row r="9" spans="1:12" ht="12.75">
      <c r="A9" s="3578"/>
      <c r="B9" s="3565"/>
      <c r="C9" s="3583"/>
      <c r="D9" s="3601"/>
      <c r="E9" s="131" t="s">
        <v>1274</v>
      </c>
      <c r="F9" s="1757"/>
      <c r="G9" s="1757"/>
      <c r="H9" s="1757"/>
      <c r="I9" s="1373"/>
    </row>
    <row r="10" spans="1:12" ht="12.75">
      <c r="A10" s="3578" t="s">
        <v>1275</v>
      </c>
      <c r="B10" s="3565">
        <v>15</v>
      </c>
      <c r="C10" s="3581"/>
      <c r="D10" s="3601"/>
      <c r="E10" s="131" t="s">
        <v>1276</v>
      </c>
      <c r="F10" s="1757"/>
      <c r="G10" s="1757"/>
      <c r="H10" s="1757"/>
      <c r="I10" s="1373"/>
    </row>
    <row r="11" spans="1:12" ht="12.75">
      <c r="A11" s="3578"/>
      <c r="B11" s="3565"/>
      <c r="C11" s="3583"/>
      <c r="D11" s="3601"/>
      <c r="E11" s="131" t="s">
        <v>1277</v>
      </c>
      <c r="F11" s="1757"/>
      <c r="G11" s="1757"/>
      <c r="H11" s="1757"/>
      <c r="I11" s="1373"/>
    </row>
    <row r="12" spans="1:12" ht="12.75">
      <c r="A12" s="3578" t="s">
        <v>1278</v>
      </c>
      <c r="B12" s="3565">
        <v>15</v>
      </c>
      <c r="C12" s="3581"/>
      <c r="D12" s="3601"/>
      <c r="E12" s="131" t="s">
        <v>1279</v>
      </c>
      <c r="F12" s="1757"/>
      <c r="G12" s="1757"/>
      <c r="H12" s="1757"/>
      <c r="I12" s="1373"/>
    </row>
    <row r="13" spans="1:12" ht="12.75">
      <c r="A13" s="3578"/>
      <c r="B13" s="3565"/>
      <c r="C13" s="3583"/>
      <c r="D13" s="3601"/>
      <c r="E13" s="131" t="s">
        <v>1280</v>
      </c>
      <c r="F13" s="1757"/>
      <c r="G13" s="1757"/>
      <c r="H13" s="1757"/>
      <c r="I13" s="1373"/>
    </row>
    <row r="14" spans="1:12" ht="12.75">
      <c r="A14" s="3578" t="s">
        <v>1281</v>
      </c>
      <c r="B14" s="3565">
        <v>30</v>
      </c>
      <c r="C14" s="3581">
        <v>6</v>
      </c>
      <c r="D14" s="3601">
        <v>4</v>
      </c>
      <c r="E14" s="131" t="s">
        <v>1282</v>
      </c>
      <c r="F14" s="1757"/>
      <c r="G14" s="1757"/>
      <c r="H14" s="1757"/>
      <c r="I14" s="1373"/>
    </row>
    <row r="15" spans="1:12" ht="12.75">
      <c r="A15" s="3578"/>
      <c r="B15" s="3565"/>
      <c r="C15" s="3582"/>
      <c r="D15" s="3601"/>
      <c r="E15" s="131" t="s">
        <v>1283</v>
      </c>
      <c r="F15" s="1757"/>
      <c r="G15" s="1757"/>
      <c r="H15" s="1757"/>
      <c r="I15" s="1373"/>
    </row>
    <row r="16" spans="1:12" ht="12.75">
      <c r="A16" s="3578"/>
      <c r="B16" s="3565"/>
      <c r="C16" s="3583"/>
      <c r="D16" s="360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8" t="s">
        <v>2130</v>
      </c>
      <c r="F18" s="3589"/>
      <c r="G18" s="3589"/>
      <c r="H18" s="3589"/>
      <c r="I18" s="3589"/>
      <c r="K18" s="302" t="s">
        <v>1289</v>
      </c>
      <c r="L18" s="302">
        <f>IF(C1="",'数据-汇总表'!E3,SUMIF(项目类型,C1,'数据-汇总表'!E17:E26)+SUMIF(项目类型,C1,'数据-汇总表'!I17:I26))</f>
        <v>18406.539999999997</v>
      </c>
      <c r="M18" s="302">
        <f>IF(C1="",'数据-汇总表'!E3,SUMIF(项目类型,C1,'数据-汇总表'!E17:E26))</f>
        <v>18406.539999999997</v>
      </c>
    </row>
    <row r="19" spans="1:36" ht="15">
      <c r="A19" s="1761" t="s">
        <v>1290</v>
      </c>
      <c r="B19" s="1762" t="s">
        <v>1291</v>
      </c>
      <c r="C19" s="134">
        <f ca="1">SUMIF(INDIRECT("'"&amp;C4&amp;"'"&amp;"!A:A"),'结果表(商业)'!B19,INDIRECT("'"&amp;C4&amp;"'"&amp;"!B:B"))</f>
        <v>93888</v>
      </c>
      <c r="D19" s="135">
        <f ca="1">SUMIF(INDIRECT("'"&amp;D4&amp;"'"&amp;"!A:A"),'结果表(商业)'!B19,INDIRECT("'"&amp;D4&amp;"'"&amp;"!B:B"))</f>
        <v>64130</v>
      </c>
      <c r="E19" s="1761" t="s">
        <v>1292</v>
      </c>
      <c r="F19" s="1762" t="s">
        <v>1291</v>
      </c>
      <c r="G19" s="136">
        <f ca="1">ROUND(C19*$C$18+D19*$D$18,0)</f>
        <v>81985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SUMIF(INDIRECT("'"&amp;C4&amp;"'"&amp;"!A:A"),'结果表(商业)'!B20,INDIRECT("'"&amp;C4&amp;"'"&amp;"!B:B"))</f>
        <v>51008</v>
      </c>
      <c r="D20" s="138">
        <f ca="1">SUMIF(INDIRECT("'"&amp;D4&amp;"'"&amp;"!A:A"),'结果表(商业)'!B20,INDIRECT("'"&amp;D4&amp;"'"&amp;"!B:B"))</f>
        <v>34841</v>
      </c>
      <c r="E20" s="1764"/>
      <c r="F20" s="1026" t="s">
        <v>1295</v>
      </c>
      <c r="G20" s="139">
        <f ca="1">ROUND(C20*$C$18+D20*$D$18,0)</f>
        <v>44541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0.46402619678777479</v>
      </c>
      <c r="E22" s="129"/>
      <c r="F22" s="129"/>
      <c r="G22" s="129"/>
      <c r="H22" s="129"/>
      <c r="I22" s="129"/>
    </row>
    <row r="23" spans="1:36" ht="13.5" thickBot="1">
      <c r="A23" s="1747"/>
      <c r="B23" s="1747"/>
      <c r="C23" s="1747"/>
      <c r="D23" s="1747"/>
      <c r="E23" s="129"/>
      <c r="F23" s="129"/>
      <c r="G23" s="129"/>
      <c r="H23" s="129"/>
      <c r="I23" s="129"/>
    </row>
    <row r="24" spans="1:36" ht="14.25">
      <c r="A24" s="3572" t="s">
        <v>1299</v>
      </c>
      <c r="B24" s="1762" t="s">
        <v>1291</v>
      </c>
      <c r="C24" s="136">
        <f>IF(B30=0,0,D30)</f>
        <v>0</v>
      </c>
      <c r="D24" s="1769"/>
      <c r="E24" s="129"/>
      <c r="F24" s="129"/>
      <c r="G24" s="129"/>
      <c r="H24" s="129"/>
      <c r="I24" s="129"/>
      <c r="J24" s="725" t="s">
        <v>3423</v>
      </c>
      <c r="K24" s="725">
        <f>'数据-取费表'!T19</f>
        <v>4691.97</v>
      </c>
      <c r="L24" s="725">
        <v>75000</v>
      </c>
      <c r="M24" s="725">
        <v>1</v>
      </c>
      <c r="N24" s="725">
        <f>L24*K24</f>
        <v>351897750</v>
      </c>
    </row>
    <row r="25" spans="1:36" ht="14.25">
      <c r="A25" s="3573"/>
      <c r="B25" s="1026" t="s">
        <v>1295</v>
      </c>
      <c r="C25" s="141">
        <f>IF(B30=0,0,C30)</f>
        <v>0</v>
      </c>
      <c r="D25" s="1770"/>
      <c r="E25" s="129"/>
      <c r="F25" s="129"/>
      <c r="G25" s="129"/>
      <c r="H25" s="129"/>
      <c r="I25" s="129"/>
      <c r="J25" s="725" t="s">
        <v>3424</v>
      </c>
      <c r="K25" s="725">
        <f>'数据-取费表'!T20</f>
        <v>6439.65</v>
      </c>
      <c r="L25" s="725">
        <f>L24*M25</f>
        <v>52500</v>
      </c>
      <c r="M25" s="725">
        <v>0.7</v>
      </c>
      <c r="N25" s="725">
        <f t="shared" ref="N25:N27" si="0">L25*K25</f>
        <v>338081625</v>
      </c>
    </row>
    <row r="26" spans="1:36" ht="13.5" customHeight="1">
      <c r="A26" s="1771" t="s">
        <v>1300</v>
      </c>
      <c r="B26" s="142" t="s">
        <v>1301</v>
      </c>
      <c r="C26" s="142" t="s">
        <v>1302</v>
      </c>
      <c r="D26" s="143" t="s">
        <v>1303</v>
      </c>
      <c r="E26" s="129"/>
      <c r="F26" s="129"/>
      <c r="G26" s="129"/>
      <c r="H26" s="129"/>
      <c r="I26" s="129"/>
      <c r="J26" s="725" t="s">
        <v>3425</v>
      </c>
      <c r="K26" s="725">
        <f>'数据-取费表'!T21</f>
        <v>6514.75</v>
      </c>
      <c r="L26" s="725">
        <f>L24*M26</f>
        <v>45000</v>
      </c>
      <c r="M26" s="725">
        <v>0.6</v>
      </c>
      <c r="N26" s="725">
        <f t="shared" si="0"/>
        <v>293163750</v>
      </c>
    </row>
    <row r="27" spans="1:36" ht="14.25">
      <c r="A27" s="1771"/>
      <c r="B27" s="142">
        <v>0</v>
      </c>
      <c r="C27" s="142">
        <v>0</v>
      </c>
      <c r="D27" s="143">
        <f>ROUND(C27*B27/10000,0)</f>
        <v>0</v>
      </c>
      <c r="E27" s="129"/>
      <c r="F27" s="129"/>
      <c r="G27" s="129"/>
      <c r="H27" s="129"/>
      <c r="I27" s="129"/>
      <c r="J27" s="725" t="s">
        <v>3426</v>
      </c>
      <c r="K27" s="725">
        <f>'数据-取费表'!T22</f>
        <v>760.17</v>
      </c>
      <c r="L27" s="725">
        <f>L24*M27</f>
        <v>22500</v>
      </c>
      <c r="M27" s="725">
        <v>0.3</v>
      </c>
      <c r="N27" s="725">
        <f t="shared" si="0"/>
        <v>17103825</v>
      </c>
    </row>
    <row r="28" spans="1:36" ht="14.25">
      <c r="A28" s="1771"/>
      <c r="B28" s="142"/>
      <c r="C28" s="142"/>
      <c r="D28" s="143">
        <f ca="1">G19/'数据-汇总表'!F31</f>
        <v>4.64599801545587</v>
      </c>
      <c r="E28" s="129"/>
      <c r="F28" s="129"/>
      <c r="G28" s="129"/>
      <c r="H28" s="129"/>
      <c r="I28" s="129"/>
      <c r="K28" s="725">
        <f>SUM(K24:K27)</f>
        <v>18406.539999999997</v>
      </c>
      <c r="L28" s="725">
        <f>N28/K28</f>
        <v>54341.932269725876</v>
      </c>
      <c r="N28" s="725">
        <f>SUM(N24:N27)</f>
        <v>1000246950</v>
      </c>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81985</v>
      </c>
      <c r="D32" s="1775" t="s">
        <v>3442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2" t="s">
        <v>1312</v>
      </c>
      <c r="B36" s="1787" t="s">
        <v>1313</v>
      </c>
      <c r="C36" s="145"/>
      <c r="D36" s="1788"/>
      <c r="E36" s="1789"/>
      <c r="F36" s="1790"/>
      <c r="G36" s="129"/>
      <c r="H36" s="129"/>
      <c r="I36" s="129"/>
    </row>
    <row r="37" spans="1:15" ht="15.75" thickBot="1">
      <c r="A37" s="3593"/>
      <c r="B37" s="1674" t="s">
        <v>1314</v>
      </c>
      <c r="C37" s="147"/>
      <c r="D37" s="1139"/>
      <c r="E37" s="1139"/>
      <c r="F37" s="1790"/>
      <c r="G37" s="129"/>
      <c r="H37" s="129"/>
      <c r="I37" s="129"/>
    </row>
    <row r="38" spans="1:15" ht="15.75" thickBot="1">
      <c r="A38" s="3594"/>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9" t="s">
        <v>1326</v>
      </c>
      <c r="B45" s="3570"/>
      <c r="C45" s="3571"/>
      <c r="D45" s="155">
        <f ca="1">ROUND(H101*F45,0)</f>
        <v>81985</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6"/>
      <c r="I46" s="159"/>
      <c r="J46" s="3460">
        <v>1</v>
      </c>
      <c r="K46" s="3628" t="s">
        <v>1331</v>
      </c>
      <c r="L46" s="3628"/>
      <c r="M46" s="3648"/>
      <c r="N46" s="3648"/>
      <c r="O46" s="3648"/>
    </row>
    <row r="47" spans="1:15" ht="12" customHeight="1">
      <c r="A47" s="160" t="s">
        <v>1332</v>
      </c>
      <c r="B47" s="161"/>
      <c r="C47" s="162"/>
      <c r="D47" s="1087" t="s">
        <v>1333</v>
      </c>
      <c r="E47" s="302" t="s">
        <v>1334</v>
      </c>
      <c r="F47" s="163" t="s">
        <v>1335</v>
      </c>
      <c r="G47" s="2546" t="s">
        <v>1336</v>
      </c>
      <c r="H47" s="2547"/>
      <c r="I47" s="159"/>
      <c r="J47" s="3460">
        <v>2</v>
      </c>
      <c r="K47" s="3628" t="s">
        <v>1337</v>
      </c>
      <c r="L47" s="3628"/>
      <c r="M47" s="3649">
        <f>'数据-取费表'!B2</f>
        <v>45243</v>
      </c>
      <c r="N47" s="3649"/>
      <c r="O47" s="3649"/>
    </row>
    <row r="48" spans="1:15" ht="25.5">
      <c r="A48" s="3597" t="s">
        <v>1338</v>
      </c>
      <c r="B48" s="3580"/>
      <c r="C48" s="3580"/>
      <c r="D48" s="3455" t="b">
        <f>IF(H48="情况1",0,IF(H48="情况2",D52,IF(H48="情况3",D53,IF(H48="情况4",D54))))</f>
        <v>0</v>
      </c>
      <c r="E48" s="3470" t="str">
        <f>IF(H48="情况4","(销售额-原购置价)×税（费）率","销售额×税（费）率")</f>
        <v>销售额×税（费）率</v>
      </c>
      <c r="F48" s="2548">
        <f>IF(H48="情况1","免征",'数据-取费表'!B41)</f>
        <v>5.6000000000000001E-2</v>
      </c>
      <c r="G48" s="2549" t="s">
        <v>1339</v>
      </c>
      <c r="H48" s="2550"/>
      <c r="I48" s="1806"/>
      <c r="J48" s="3460">
        <v>3</v>
      </c>
      <c r="K48" s="3628" t="s">
        <v>1340</v>
      </c>
      <c r="L48" s="3628"/>
      <c r="M48" s="3650">
        <f ca="1">H101</f>
        <v>81985</v>
      </c>
      <c r="N48" s="3650"/>
      <c r="O48" s="3650"/>
    </row>
    <row r="49" spans="1:35" ht="25.5" customHeight="1">
      <c r="A49" s="3469" t="s">
        <v>1341</v>
      </c>
      <c r="B49" s="3564" t="s">
        <v>1342</v>
      </c>
      <c r="C49" s="3564"/>
      <c r="D49" s="1590">
        <v>0</v>
      </c>
      <c r="E49" s="324" t="s">
        <v>1343</v>
      </c>
      <c r="F49" s="3452" t="s">
        <v>28</v>
      </c>
      <c r="G49" s="3634"/>
      <c r="H49" s="2310" t="s">
        <v>2133</v>
      </c>
      <c r="I49" s="2311"/>
      <c r="J49" s="3460">
        <v>4</v>
      </c>
      <c r="K49" s="3628" t="str">
        <f>IF(项目基本情况!E8="房地产抵押价值","房地产抵押价值","抵押担保权已注销时的房地产抵押价值")</f>
        <v>房地产抵押价值</v>
      </c>
      <c r="L49" s="3628"/>
      <c r="M49" s="3650">
        <f ca="1">IF(项目基本情况!E8="房地产抵押价值",H107,H109)</f>
        <v>81985</v>
      </c>
      <c r="N49" s="3650"/>
      <c r="O49" s="3650"/>
    </row>
    <row r="50" spans="1:35" ht="25.5" customHeight="1">
      <c r="A50" s="2551"/>
      <c r="B50" s="3564" t="s">
        <v>1344</v>
      </c>
      <c r="C50" s="3564"/>
      <c r="D50" s="2552"/>
      <c r="E50" s="332"/>
      <c r="F50" s="3452"/>
      <c r="G50" s="3635"/>
      <c r="H50" s="2312" t="s">
        <v>2134</v>
      </c>
      <c r="I50" s="2311"/>
      <c r="J50" s="3647" t="s">
        <v>1345</v>
      </c>
      <c r="K50" s="3647"/>
      <c r="L50" s="3647"/>
      <c r="M50" s="3647"/>
      <c r="N50" s="3647"/>
      <c r="O50" s="3647"/>
    </row>
    <row r="51" spans="1:35" ht="20.45" customHeight="1">
      <c r="A51" s="2553"/>
      <c r="B51" s="3564" t="s">
        <v>1346</v>
      </c>
      <c r="C51" s="3564"/>
      <c r="D51" s="1087"/>
      <c r="E51" s="327"/>
      <c r="F51" s="3452"/>
      <c r="G51" s="3636"/>
      <c r="H51" s="2312" t="s">
        <v>2135</v>
      </c>
      <c r="I51" s="2311"/>
      <c r="J51" s="3454" t="s">
        <v>1347</v>
      </c>
      <c r="K51" s="3628" t="s">
        <v>1348</v>
      </c>
      <c r="L51" s="3628"/>
      <c r="M51" s="3454" t="s">
        <v>1349</v>
      </c>
      <c r="N51" s="3454" t="s">
        <v>1350</v>
      </c>
      <c r="O51" s="3454" t="s">
        <v>1351</v>
      </c>
    </row>
    <row r="52" spans="1:35" ht="24" customHeight="1">
      <c r="A52" s="3472" t="s">
        <v>1352</v>
      </c>
      <c r="B52" s="3564" t="s">
        <v>1353</v>
      </c>
      <c r="C52" s="3564"/>
      <c r="D52" s="1087">
        <f ca="1">ROUND(D45*'数据-取费表'!B41/(1+'数据-取费表'!C42),0)</f>
        <v>4373</v>
      </c>
      <c r="E52" s="3470" t="s">
        <v>1354</v>
      </c>
      <c r="F52" s="2554">
        <f>'数据-取费表'!B41</f>
        <v>5.6000000000000001E-2</v>
      </c>
      <c r="G52" s="2555"/>
      <c r="H52" s="2544"/>
      <c r="I52" s="1807"/>
      <c r="J52" s="3460">
        <v>1</v>
      </c>
      <c r="K52" s="3629" t="s">
        <v>1355</v>
      </c>
      <c r="L52" s="3629"/>
      <c r="M52" s="2525" t="b">
        <f>D48</f>
        <v>0</v>
      </c>
      <c r="N52" s="3460" t="str">
        <f>E48</f>
        <v>销售额×税（费）率</v>
      </c>
      <c r="O52" s="2526">
        <f>F48</f>
        <v>5.6000000000000001E-2</v>
      </c>
    </row>
    <row r="53" spans="1:35" ht="12" customHeight="1">
      <c r="A53" s="3472" t="s">
        <v>1356</v>
      </c>
      <c r="B53" s="3590" t="s">
        <v>2290</v>
      </c>
      <c r="C53" s="3591"/>
      <c r="D53" s="1087">
        <f ca="1">ROUND(D45*'数据-取费表'!B41/(1+'数据-取费表'!C42),0)</f>
        <v>4373</v>
      </c>
      <c r="E53" s="3470" t="s">
        <v>1354</v>
      </c>
      <c r="F53" s="2554">
        <f>'数据-取费表'!B41</f>
        <v>5.6000000000000001E-2</v>
      </c>
      <c r="G53" s="2555"/>
      <c r="H53" s="2544"/>
      <c r="I53" s="1807"/>
      <c r="J53" s="3460">
        <v>2</v>
      </c>
      <c r="K53" s="3629" t="s">
        <v>1357</v>
      </c>
      <c r="L53" s="3629"/>
      <c r="M53" s="2525">
        <f t="shared" ref="M53:O54" ca="1" si="1">D55</f>
        <v>41</v>
      </c>
      <c r="N53" s="3460" t="str">
        <f t="shared" si="1"/>
        <v>销售额×税（费）率</v>
      </c>
      <c r="O53" s="2526" t="str">
        <f t="shared" si="1"/>
        <v>免征</v>
      </c>
    </row>
    <row r="54" spans="1:35" ht="12" customHeight="1">
      <c r="A54" s="3472" t="s">
        <v>1358</v>
      </c>
      <c r="B54" s="3590" t="s">
        <v>2291</v>
      </c>
      <c r="C54" s="3591"/>
      <c r="D54" s="1087">
        <f ca="1">C68</f>
        <v>4373</v>
      </c>
      <c r="E54" s="327" t="s">
        <v>1359</v>
      </c>
      <c r="F54" s="2554">
        <f>'数据-取费表'!B41</f>
        <v>5.6000000000000001E-2</v>
      </c>
      <c r="G54" s="2555"/>
      <c r="H54" s="2556"/>
      <c r="I54" s="1807"/>
      <c r="J54" s="3460">
        <v>3</v>
      </c>
      <c r="K54" s="3629" t="s">
        <v>1360</v>
      </c>
      <c r="L54" s="3629"/>
      <c r="M54" s="2525">
        <f t="shared" ca="1" si="1"/>
        <v>46404</v>
      </c>
      <c r="N54" s="3460" t="str">
        <f t="shared" si="1"/>
        <v>增值额×税（费）率</v>
      </c>
      <c r="O54" s="2527" t="str">
        <f t="shared" si="1"/>
        <v>免征</v>
      </c>
    </row>
    <row r="55" spans="1:35" ht="24" customHeight="1">
      <c r="A55" s="3579" t="s">
        <v>1361</v>
      </c>
      <c r="B55" s="3580"/>
      <c r="C55" s="3580"/>
      <c r="D55" s="3455">
        <f ca="1">IF(H55="个人住宅",0,ROUND(D45*I55,0))</f>
        <v>41</v>
      </c>
      <c r="E55" s="3470" t="s">
        <v>1362</v>
      </c>
      <c r="F55" s="2554" t="str">
        <f>IF(H55="正常",I55,"免征")</f>
        <v>免征</v>
      </c>
      <c r="G55" s="2555"/>
      <c r="H55" s="2550"/>
      <c r="I55" s="165">
        <f>'数据-取费表'!B49</f>
        <v>5.0000000000000001E-4</v>
      </c>
      <c r="J55" s="3460">
        <f>IF(H59="非个人房产","",4)</f>
        <v>4</v>
      </c>
      <c r="K55" s="3629" t="str">
        <f>IF(H59="非个人房产","——","个人所得税")</f>
        <v>个人所得税</v>
      </c>
      <c r="L55" s="3629"/>
      <c r="M55" s="2528">
        <f ca="1">D59</f>
        <v>781</v>
      </c>
      <c r="N55" s="3461" t="str">
        <f>E59</f>
        <v>差额计税</v>
      </c>
      <c r="O55" s="2529">
        <f>F59</f>
        <v>0.01</v>
      </c>
    </row>
    <row r="56" spans="1:35" ht="24.75">
      <c r="A56" s="3579" t="s">
        <v>1363</v>
      </c>
      <c r="B56" s="3580"/>
      <c r="C56" s="3580"/>
      <c r="D56" s="3455">
        <f ca="1">IF(H56="个人住宅",D57,D58)</f>
        <v>46404</v>
      </c>
      <c r="E56" s="3470" t="s">
        <v>1364</v>
      </c>
      <c r="F56" s="2554" t="str">
        <f>IF(H56="正常",F58,"免征")</f>
        <v>免征</v>
      </c>
      <c r="G56" s="2557" t="s">
        <v>1365</v>
      </c>
      <c r="H56" s="2558"/>
      <c r="I56" s="1808"/>
      <c r="J56" s="3460" t="str">
        <f>IF(项目基本情况!K6="上海银行",IF(J55="",4,J55+1),"")</f>
        <v/>
      </c>
      <c r="K56" s="3652" t="str">
        <f>IF(项目基本情况!K6="上海银行","其他处置费用","")</f>
        <v/>
      </c>
      <c r="L56" s="3653"/>
      <c r="M56" s="2525" t="str">
        <f>IF(项目基本情况!K6="上海银行",M69,"")</f>
        <v/>
      </c>
      <c r="N56" s="3652" t="str">
        <f>IF(项目基本情况!K6="上海银行","包含处置中涉及的律师、诉讼、拍卖、评估等费用","")</f>
        <v/>
      </c>
      <c r="O56" s="3655"/>
    </row>
    <row r="57" spans="1:35" ht="12.75">
      <c r="A57" s="3472" t="s">
        <v>1341</v>
      </c>
      <c r="B57" s="3590" t="s">
        <v>1366</v>
      </c>
      <c r="C57" s="3591"/>
      <c r="D57" s="1590">
        <v>0</v>
      </c>
      <c r="E57" s="324" t="s">
        <v>1343</v>
      </c>
      <c r="F57" s="302"/>
      <c r="G57" s="2555"/>
      <c r="H57" s="2559"/>
      <c r="I57" s="1808"/>
      <c r="J57" s="3629">
        <f>IF(AND(J55="",J56=""),4,IF(项目基本情况!K6="上海银行",'结果表(商业)'!J56+1,'结果表(商业)'!J55+1))</f>
        <v>5</v>
      </c>
      <c r="K57" s="3629" t="s">
        <v>1367</v>
      </c>
      <c r="L57" s="2530" t="s">
        <v>1368</v>
      </c>
      <c r="M57" s="2531"/>
      <c r="N57" s="2532">
        <f ca="1">SUMIF(M52:M56,"&lt;9e307")</f>
        <v>47226</v>
      </c>
      <c r="O57" s="2533"/>
      <c r="P57" s="2690">
        <f ca="1">N57/M49</f>
        <v>0.57603220101238028</v>
      </c>
    </row>
    <row r="58" spans="1:35" ht="24.75">
      <c r="A58" s="3472" t="s">
        <v>1352</v>
      </c>
      <c r="B58" s="3590" t="s">
        <v>1369</v>
      </c>
      <c r="C58" s="3564"/>
      <c r="D58" s="3455">
        <f ca="1">IF(H58="转让取得",C81,C97)</f>
        <v>46404</v>
      </c>
      <c r="E58" s="3470" t="s">
        <v>1364</v>
      </c>
      <c r="F58" s="302" t="s">
        <v>28</v>
      </c>
      <c r="G58" s="2555"/>
      <c r="H58" s="2558"/>
      <c r="I58" s="1808"/>
      <c r="J58" s="3629"/>
      <c r="K58" s="3629"/>
      <c r="L58" s="2530" t="s">
        <v>1370</v>
      </c>
      <c r="M58" s="2534"/>
      <c r="N58" s="2535" t="str">
        <f ca="1">NUMBERSTRING(INT(N57*10000),2)&amp;"元整"</f>
        <v>肆亿柒仟贰佰贰拾陆万元整</v>
      </c>
      <c r="O58" s="2536"/>
    </row>
    <row r="59" spans="1:35" ht="24.75" thickBot="1">
      <c r="A59" s="3632" t="s">
        <v>1371</v>
      </c>
      <c r="B59" s="3633"/>
      <c r="C59" s="3633"/>
      <c r="D59" s="2560">
        <f ca="1">IF(H59="非个人房产","——",IF(H59="个人住宅（满五唯一有凭证）",0,IF(H59="个人其他（无凭证）",ROUND(D45*F59,0),ROUND(C67*F59,0))))</f>
        <v>781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0">
        <f>J57+1</f>
        <v>6</v>
      </c>
      <c r="K59" s="3629" t="s">
        <v>1372</v>
      </c>
      <c r="L59" s="3460" t="s">
        <v>1368</v>
      </c>
      <c r="M59" s="2537"/>
      <c r="N59" s="2538">
        <f ca="1">M49-N57</f>
        <v>34759</v>
      </c>
      <c r="O59" s="2539"/>
    </row>
    <row r="60" spans="1:35" ht="12" customHeight="1">
      <c r="A60" s="1809"/>
      <c r="B60" s="1747"/>
      <c r="C60" s="1747"/>
      <c r="D60" s="1747"/>
      <c r="E60" s="1578"/>
      <c r="F60" s="1808"/>
      <c r="G60" s="1808"/>
      <c r="H60" s="1810"/>
      <c r="I60" s="129"/>
      <c r="J60" s="3631"/>
      <c r="K60" s="3629"/>
      <c r="L60" s="2530" t="s">
        <v>1370</v>
      </c>
      <c r="M60" s="2534"/>
      <c r="N60" s="2535" t="str">
        <f ca="1">NUMBERSTRING(INT(N59*10000),2)&amp;"元整"</f>
        <v>叁亿肆仟柒佰伍拾玖万元整</v>
      </c>
      <c r="O60" s="2536"/>
    </row>
    <row r="61" spans="1:35" ht="13.5" thickBot="1">
      <c r="A61" s="3577" t="s">
        <v>1373</v>
      </c>
      <c r="B61" s="3577"/>
      <c r="C61" s="3577"/>
      <c r="D61" s="3577"/>
      <c r="E61" s="3577"/>
      <c r="F61" s="1808"/>
      <c r="G61" s="1808"/>
      <c r="H61" s="1810"/>
      <c r="I61" s="129"/>
      <c r="J61" s="3460">
        <f>J59+1</f>
        <v>7</v>
      </c>
      <c r="K61" s="3629" t="s">
        <v>1374</v>
      </c>
      <c r="L61" s="3629"/>
      <c r="M61" s="2540"/>
      <c r="N61" s="2541">
        <f ca="1">ROUND(N59*10000/'数据-汇总表'!E3,0)</f>
        <v>12926</v>
      </c>
      <c r="O61" s="2542"/>
    </row>
    <row r="62" spans="1:35" ht="12.75">
      <c r="A62" s="3595" t="s">
        <v>1375</v>
      </c>
      <c r="B62" s="3596"/>
      <c r="C62" s="3465"/>
      <c r="D62" s="3465" t="s">
        <v>1376</v>
      </c>
      <c r="E62" s="166" t="s">
        <v>1377</v>
      </c>
      <c r="F62" s="1808"/>
      <c r="G62" s="1808"/>
      <c r="H62" s="1810"/>
      <c r="I62" s="129"/>
    </row>
    <row r="63" spans="1:35" ht="12.75">
      <c r="A63" s="173" t="s">
        <v>330</v>
      </c>
      <c r="B63" s="167" t="s">
        <v>1378</v>
      </c>
      <c r="C63" s="2564">
        <f ca="1">ROUND((C64+C65)/(1+'数据-取费表'!C42),0)</f>
        <v>78081</v>
      </c>
      <c r="D63" s="167"/>
      <c r="E63" s="168"/>
      <c r="F63" s="1808"/>
      <c r="G63" s="1808"/>
      <c r="H63" s="1810"/>
      <c r="I63" s="129"/>
      <c r="J63" s="3654" t="s">
        <v>1379</v>
      </c>
      <c r="K63" s="3456" t="s">
        <v>1380</v>
      </c>
      <c r="L63" s="3456">
        <f ca="1">IF(M49&gt;10000,M49*0.5%,IF(AND(M49&gt;1000,M49&lt;=10000),M49*1%,IF(AND(M49&gt;100,M49&lt;=1000),M49*3%,IF(AND(M49&gt;10,M49&lt;=100),M49*5%,M49*8%))))</f>
        <v>409.92500000000001</v>
      </c>
      <c r="M63" s="302">
        <f ca="1">ROUND(L63,1)</f>
        <v>409.9</v>
      </c>
      <c r="N63" s="2543"/>
      <c r="Z63" s="1752"/>
      <c r="AI63" s="1753"/>
    </row>
    <row r="64" spans="1:35" ht="14.25" customHeight="1">
      <c r="A64" s="169" t="s">
        <v>325</v>
      </c>
      <c r="B64" s="170" t="s">
        <v>1381</v>
      </c>
      <c r="C64" s="2565">
        <f ca="1">D45</f>
        <v>81985</v>
      </c>
      <c r="D64" s="170" t="s">
        <v>26</v>
      </c>
      <c r="E64" s="172"/>
      <c r="F64" s="1808"/>
      <c r="G64" s="1808"/>
      <c r="H64" s="1810"/>
      <c r="I64" s="129"/>
      <c r="J64" s="3654"/>
      <c r="K64" s="3456" t="s">
        <v>1382</v>
      </c>
      <c r="L64" s="3456">
        <f ca="1">IF(M49&gt;2000,M49*0.5%,IF(AND(M49&gt;1000,M49&lt;=2000),M49*0.6%,IF(AND(M49&gt;500,M49&lt;=1000),M49*0.7%,IF(AND(M49&gt;200,M49&lt;=500),M49*0.8%,IF(AND(M49&gt;100,M49&lt;=200),M49*0.9%,IF(AND(M49&gt;50,M49&lt;=100),M49*1%,IF(AND(M49&gt;20,M49&lt;=50),M49*1.5%,IF(AND(M49&gt;10,M49&lt;=20),M49*2%,IF(AND(M49&gt;1,M49&lt;=10),M49*2.5%)))))))))</f>
        <v>409.92500000000001</v>
      </c>
      <c r="M64" s="302">
        <f t="shared" ref="M64:M65" ca="1" si="2">ROUND(L64,1)</f>
        <v>409.9</v>
      </c>
      <c r="N64" s="2544" t="s">
        <v>1383</v>
      </c>
      <c r="Z64" s="1752"/>
      <c r="AI64" s="1753"/>
    </row>
    <row r="65" spans="1:35" ht="14.25" customHeight="1">
      <c r="A65" s="169" t="s">
        <v>326</v>
      </c>
      <c r="B65" s="170" t="s">
        <v>1384</v>
      </c>
      <c r="C65" s="2566"/>
      <c r="D65" s="170"/>
      <c r="E65" s="172"/>
      <c r="F65" s="1808"/>
      <c r="G65" s="1808"/>
      <c r="H65" s="1810"/>
      <c r="I65" s="129"/>
      <c r="J65" s="3654"/>
      <c r="K65" s="3456" t="s">
        <v>1385</v>
      </c>
      <c r="L65" s="3456">
        <f ca="1">IF(M49&gt;1000,M49*0.1%,IF(AND(M49&gt;500,M49&lt;=1000),M49*0.5%,IF(AND(M49&gt;50,M49&lt;=500),M49*1%,IF(AND(M49&gt;1,M49&lt;=50),M49*1.5%))))</f>
        <v>81.984999999999999</v>
      </c>
      <c r="M65" s="302">
        <f t="shared" ca="1" si="2"/>
        <v>82</v>
      </c>
      <c r="N65" s="2544" t="s">
        <v>1383</v>
      </c>
      <c r="Z65" s="1752"/>
      <c r="AI65" s="1753"/>
    </row>
    <row r="66" spans="1:35" ht="14.25" customHeight="1">
      <c r="A66" s="173" t="s">
        <v>327</v>
      </c>
      <c r="B66" s="174" t="s">
        <v>1386</v>
      </c>
      <c r="C66" s="2567"/>
      <c r="D66" s="174" t="s">
        <v>26</v>
      </c>
      <c r="E66" s="1338" t="s">
        <v>671</v>
      </c>
      <c r="F66" s="1808"/>
      <c r="G66" s="1808"/>
      <c r="H66" s="1810"/>
      <c r="I66" s="129"/>
      <c r="J66" s="3654"/>
      <c r="K66" s="3456" t="s">
        <v>1387</v>
      </c>
      <c r="L66" s="3456">
        <f ca="1">M49*0.5%</f>
        <v>409.92500000000001</v>
      </c>
      <c r="M66" s="302">
        <f ca="1">IF(L66&gt;0.5,0.5,ROUND(L66,0))</f>
        <v>0.5</v>
      </c>
      <c r="N66" s="2544" t="s">
        <v>1388</v>
      </c>
      <c r="Z66" s="1752"/>
      <c r="AI66" s="1753"/>
    </row>
    <row r="67" spans="1:35" ht="14.25" customHeight="1">
      <c r="A67" s="173" t="s">
        <v>328</v>
      </c>
      <c r="B67" s="174" t="s">
        <v>1389</v>
      </c>
      <c r="C67" s="2568">
        <f ca="1">C63-C66</f>
        <v>78081</v>
      </c>
      <c r="D67" s="170" t="s">
        <v>26</v>
      </c>
      <c r="E67" s="172"/>
      <c r="F67" s="1808"/>
      <c r="G67" s="1808"/>
      <c r="H67" s="1810"/>
      <c r="I67" s="129"/>
      <c r="J67" s="3654"/>
      <c r="K67" s="3456" t="s">
        <v>1390</v>
      </c>
      <c r="L67" s="3456">
        <f ca="1">IF(M49&gt;=10000,(8.25+(M49-10000)*0.01%),IF(AND(M49&gt;=8000,M49&lt;10000),(7.85+(M49-8000)*0.02%),IF(AND(M49&gt;=5000,M49&lt;8000),(6.65+(M49-5000)*0.04%),IF(AND(M49&gt;=2000,M49&lt;5000),(4.25+(PM49-2000)*0.08%),IF(AND(M49&gt;=1000,M49&lt;2000),(2.75+(M49-1000)*0.15%),IF(AND(M49&gt;=100,M49&lt;1000),(0.5+(M49-100)*0.25%),IF(AND(M49&gt;0,M49&lt;100),M49*0.5%)))))))</f>
        <v>15.448499999999999</v>
      </c>
      <c r="M67" s="302">
        <f ca="1">ROUND(L67*0.9,1)</f>
        <v>13.9</v>
      </c>
      <c r="N67" s="2543"/>
      <c r="Z67" s="1752"/>
      <c r="AI67" s="1753"/>
    </row>
    <row r="68" spans="1:35" ht="14.25" customHeight="1" thickBot="1">
      <c r="A68" s="176" t="s">
        <v>329</v>
      </c>
      <c r="B68" s="177" t="s">
        <v>1391</v>
      </c>
      <c r="C68" s="2569">
        <f ca="1">IF(C67&lt;=0,0,ROUND(C67*D68,0))</f>
        <v>4373</v>
      </c>
      <c r="D68" s="2570">
        <f>'数据-取费表'!B41</f>
        <v>5.6000000000000001E-2</v>
      </c>
      <c r="E68" s="178"/>
      <c r="F68" s="1808"/>
      <c r="G68" s="1808"/>
      <c r="H68" s="1810"/>
      <c r="I68" s="129"/>
      <c r="J68" s="3654"/>
      <c r="K68" s="3456" t="s">
        <v>1392</v>
      </c>
      <c r="L68" s="3456">
        <f ca="1">IF(M49&gt;10000,M49*0.5%,IF(AND(M49&gt;5000,M49&lt;=10000),M49*1%,IF(AND(M49&gt;1000,M49&lt;=5000),M49*2%,IF(AND(M49&gt;200,M49&lt;=1000),M49*3%,M49*5%))))</f>
        <v>409.92500000000001</v>
      </c>
      <c r="M68" s="302">
        <f ca="1">ROUND(L68,1)</f>
        <v>409.9</v>
      </c>
      <c r="N68" s="2543"/>
      <c r="Z68" s="1752"/>
      <c r="AI68" s="1753"/>
    </row>
    <row r="69" spans="1:35" s="1772" customFormat="1" ht="16.5" customHeight="1">
      <c r="A69" s="1811"/>
      <c r="B69" s="1812"/>
      <c r="C69" s="1813"/>
      <c r="D69" s="1814"/>
      <c r="E69" s="1815"/>
      <c r="F69" s="1578"/>
      <c r="G69" s="1578"/>
      <c r="H69" s="1577"/>
      <c r="I69" s="1747"/>
      <c r="J69" s="3654"/>
      <c r="K69" s="3456" t="s">
        <v>1393</v>
      </c>
      <c r="L69" s="3456"/>
      <c r="M69" s="302">
        <f ca="1">ROUND(SUM(M63:M68),0)</f>
        <v>1326</v>
      </c>
      <c r="N69" s="2545">
        <f ca="1">M69/M49</f>
        <v>1.6173690309202904E-2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3465"/>
      <c r="D71" s="3465"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78081</v>
      </c>
      <c r="D72" s="170" t="s">
        <v>26</v>
      </c>
      <c r="E72" s="3467"/>
      <c r="F72" s="3466"/>
      <c r="G72" s="3466"/>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468</v>
      </c>
      <c r="D73" s="170" t="s">
        <v>26</v>
      </c>
      <c r="E73" s="3467"/>
      <c r="F73" s="3466"/>
      <c r="G73" s="3466"/>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7"/>
      <c r="F74" s="3466"/>
      <c r="G74" s="3466"/>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64"/>
      <c r="G76" s="3564"/>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5" t="s">
        <v>1404</v>
      </c>
      <c r="F77" s="186"/>
      <c r="G77" s="1822"/>
      <c r="H77" s="346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468</v>
      </c>
      <c r="D78" s="2577">
        <f>'数据-取费表'!B43</f>
        <v>6.000000000000001E-3</v>
      </c>
      <c r="E78" s="3574" t="s">
        <v>1406</v>
      </c>
      <c r="F78" s="3575"/>
      <c r="G78" s="3575"/>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77613</v>
      </c>
      <c r="D79" s="170" t="s">
        <v>26</v>
      </c>
      <c r="E79" s="3467"/>
      <c r="F79" s="3466"/>
      <c r="G79" s="3466"/>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165.83974358974359</v>
      </c>
      <c r="D80" s="170" t="s">
        <v>26</v>
      </c>
      <c r="E80" s="3455" t="str">
        <f ca="1">IF(C80&gt;=200%,"增值额超过扣除项目金额200%",IF(C80&gt;=100%,"增值额超过扣除项目金额100%，未超过200%",IF(C80&gt;=50%,"增值额超过扣除项目金额50%，未超过100%",IF(C80&lt;50%,"增值额未超过扣除项目金额50%"))))</f>
        <v>增值额超过扣除项目金额200%</v>
      </c>
      <c r="F80" s="3466"/>
      <c r="G80" s="3466"/>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46404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3465"/>
      <c r="D84" s="3465"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78081</v>
      </c>
      <c r="D85" s="170" t="s">
        <v>26</v>
      </c>
      <c r="E85" s="3467"/>
      <c r="F85" s="3466"/>
      <c r="G85" s="3466"/>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468</v>
      </c>
      <c r="D86" s="2581"/>
      <c r="E86" s="3467"/>
      <c r="F86" s="3466"/>
      <c r="G86" s="3466"/>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2"/>
      <c r="F87" s="3463"/>
      <c r="G87" s="3463"/>
      <c r="H87" s="3464"/>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3"/>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3"/>
      <c r="G89" s="3463"/>
      <c r="H89" s="3464"/>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3"/>
      <c r="G90" s="3656" t="s">
        <v>2128</v>
      </c>
      <c r="H90" s="365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4" t="s">
        <v>1419</v>
      </c>
      <c r="F91" s="3575"/>
      <c r="G91" s="357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4" t="s">
        <v>1422</v>
      </c>
      <c r="F92" s="3575"/>
      <c r="G92" s="3575"/>
      <c r="H92" s="358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468</v>
      </c>
      <c r="D93" s="2577">
        <f>'数据-取费表'!B43</f>
        <v>6.000000000000001E-3</v>
      </c>
      <c r="E93" s="3574" t="s">
        <v>1406</v>
      </c>
      <c r="F93" s="3575"/>
      <c r="G93" s="3575"/>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5" t="s">
        <v>1426</v>
      </c>
      <c r="F94" s="3586"/>
      <c r="G94" s="3586"/>
      <c r="H94" s="358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77613</v>
      </c>
      <c r="D95" s="170" t="s">
        <v>26</v>
      </c>
      <c r="E95" s="3467"/>
      <c r="F95" s="3466"/>
      <c r="G95" s="3466"/>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165.83974358974359</v>
      </c>
      <c r="D96" s="170" t="s">
        <v>26</v>
      </c>
      <c r="E96" s="3455" t="str">
        <f ca="1">IF(C96&gt;=200%,"增值额超过扣除项目金额200%",IF(C96&gt;=100%,"增值额超过扣除项目金额100%，未超过200%",IF(C96&gt;=50%,"增值额超过扣除项目金额50%，未超过100%",IF(C96&lt;50%,"增值额未超过扣除项目金额50%"))))</f>
        <v>增值额超过扣除项目金额200%</v>
      </c>
      <c r="F96" s="3466"/>
      <c r="G96" s="3466"/>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46404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85" t="str">
        <f>C4</f>
        <v>典型户型修正</v>
      </c>
      <c r="D101" s="2586" t="str">
        <f>D4</f>
        <v>收益法</v>
      </c>
      <c r="E101" s="3651" t="s">
        <v>1431</v>
      </c>
      <c r="F101" s="3608"/>
      <c r="G101" s="1827" t="s">
        <v>1432</v>
      </c>
      <c r="H101" s="2595">
        <f ca="1">H118</f>
        <v>81985</v>
      </c>
      <c r="I101" s="129"/>
    </row>
    <row r="102" spans="1:35" ht="18.75" customHeight="1">
      <c r="A102" s="3610" t="s">
        <v>1433</v>
      </c>
      <c r="B102" s="2584" t="s">
        <v>1432</v>
      </c>
      <c r="C102" s="2585">
        <f ca="1">IF(D32="楼面单价",ROUND(C19,0),C19)</f>
        <v>93888</v>
      </c>
      <c r="D102" s="2586">
        <f ca="1">IF(D32="楼面单价",ROUND(D19,0),D19)</f>
        <v>64130</v>
      </c>
      <c r="E102" s="3651"/>
      <c r="F102" s="3608"/>
      <c r="G102" s="1827" t="s">
        <v>1434</v>
      </c>
      <c r="H102" s="2555">
        <f ca="1">I118</f>
        <v>44541</v>
      </c>
      <c r="I102" s="129"/>
    </row>
    <row r="103" spans="1:35" ht="42.75" customHeight="1">
      <c r="A103" s="3610"/>
      <c r="B103" s="2584" t="s">
        <v>1434</v>
      </c>
      <c r="C103" s="2587">
        <f ca="1">C20</f>
        <v>51008</v>
      </c>
      <c r="D103" s="2588">
        <f ca="1">D20</f>
        <v>34841</v>
      </c>
      <c r="E103" s="3645" t="s">
        <v>1435</v>
      </c>
      <c r="F103" s="3646"/>
      <c r="G103" s="1828" t="s">
        <v>1436</v>
      </c>
      <c r="H103" s="2595">
        <f>IF(D36="正常操作",H104+H105+H106,H105+H106)</f>
        <v>0</v>
      </c>
      <c r="I103" s="129"/>
    </row>
    <row r="104" spans="1:35" ht="18.75" customHeight="1">
      <c r="A104" s="3610" t="s">
        <v>1437</v>
      </c>
      <c r="B104" s="2589" t="s">
        <v>1432</v>
      </c>
      <c r="C104" s="2590">
        <f ca="1">H118</f>
        <v>81985</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f ca="1">I118</f>
        <v>44541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608"/>
      <c r="G107" s="1827" t="s">
        <v>1432</v>
      </c>
      <c r="H107" s="2595">
        <f ca="1">IF(E107="——","——",H101-H103)</f>
        <v>81985</v>
      </c>
      <c r="I107" s="129"/>
    </row>
    <row r="108" spans="1:35" ht="18.75" customHeight="1">
      <c r="A108" s="129"/>
      <c r="B108" s="129"/>
      <c r="C108" s="129"/>
      <c r="D108" s="129"/>
      <c r="E108" s="3607"/>
      <c r="F108" s="3608"/>
      <c r="G108" s="1827" t="s">
        <v>1434</v>
      </c>
      <c r="H108" s="2555">
        <f ca="1">IF(H107=H101,H102,ROUND(H107*10000/'数据-汇总表'!E3,0))</f>
        <v>44541</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7" t="s">
        <v>1432</v>
      </c>
      <c r="H109" s="2598" t="str">
        <f>IF(E109="——","——",H101-H105-H106)</f>
        <v>——</v>
      </c>
      <c r="I109" s="129"/>
    </row>
    <row r="110" spans="1:35" ht="18.75" customHeight="1">
      <c r="A110" s="129"/>
      <c r="B110" s="129"/>
      <c r="C110" s="129"/>
      <c r="D110" s="129"/>
      <c r="E110" s="3607"/>
      <c r="F110" s="3608"/>
      <c r="G110" s="1827" t="s">
        <v>1434</v>
      </c>
      <c r="H110" s="2555"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7" t="s">
        <v>1432</v>
      </c>
      <c r="H111" s="2595" t="str">
        <f>IF(E111="——","——",N59)</f>
        <v>——</v>
      </c>
      <c r="I111" s="129"/>
    </row>
    <row r="112" spans="1:35" ht="18.75" customHeight="1" thickBot="1">
      <c r="A112" s="129"/>
      <c r="B112" s="129"/>
      <c r="C112" s="129"/>
      <c r="D112" s="129"/>
      <c r="E112" s="3640"/>
      <c r="F112" s="3641"/>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3458" t="s">
        <v>1449</v>
      </c>
      <c r="E117" s="3458" t="s">
        <v>1450</v>
      </c>
      <c r="F117" s="3458" t="s">
        <v>1449</v>
      </c>
      <c r="G117" s="3458" t="s">
        <v>1451</v>
      </c>
      <c r="H117" s="3458" t="s">
        <v>1449</v>
      </c>
      <c r="I117" s="3458" t="s">
        <v>1451</v>
      </c>
    </row>
    <row r="118" spans="1:27" ht="24.75" customHeight="1">
      <c r="A118" s="2600" t="str">
        <f>项目基本情况!S2</f>
        <v>房地产</v>
      </c>
      <c r="B118" s="3458">
        <f>M18</f>
        <v>18406.539999999997</v>
      </c>
      <c r="C118" s="3458">
        <f>M19</f>
        <v>0</v>
      </c>
      <c r="D118" s="3458" t="e">
        <f ca="1">ROUND(IF(D32="总价",C34,E118*B118/10000),0)</f>
        <v>#REF!</v>
      </c>
      <c r="E118" s="3458" t="e">
        <f ca="1">ROUND(IF(C33="自定义",IF(D32="楼面单价",C34,D118*10000/B118),I118-G118),0)</f>
        <v>#REF!</v>
      </c>
      <c r="F118" s="3458" t="e">
        <f ca="1">ROUND(IF(D32="总价",C35,G118*B118/10000),0)</f>
        <v>#REF!</v>
      </c>
      <c r="G118" s="3458" t="e">
        <f ca="1">ROUND(IF(D32="楼面单价",C35,F118*10000/B118),0)</f>
        <v>#REF!</v>
      </c>
      <c r="H118" s="3458">
        <f ca="1">ROUND(IF(D32="总价",C32,I118*B118/10000),0)</f>
        <v>81985</v>
      </c>
      <c r="I118" s="3458">
        <f ca="1">ROUND(IF(D32="楼面单价",C32,H118*10000/B118),0)</f>
        <v>44541</v>
      </c>
    </row>
    <row r="119" spans="1:27" ht="18.75" customHeight="1">
      <c r="A119" s="3578" t="s">
        <v>1452</v>
      </c>
      <c r="B119" s="3578"/>
      <c r="C119" s="3578"/>
      <c r="D119" s="3618" t="e">
        <f ca="1">NUMBERSTRING(INT(D118*10000),2)&amp;"元整"</f>
        <v>#REF!</v>
      </c>
      <c r="E119" s="3620"/>
      <c r="F119" s="3618" t="e">
        <f ca="1">NUMBERSTRING(INT(F118*10000),2)&amp;"元整"</f>
        <v>#REF!</v>
      </c>
      <c r="G119" s="3620"/>
      <c r="H119" s="3618" t="str">
        <f ca="1">NUMBERSTRING(INT(H118*10000),2)&amp;"元整"</f>
        <v>捌亿壹仟玖佰捌拾伍万元整</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房地产抵押价值</v>
      </c>
      <c r="B122" s="3609"/>
      <c r="C122" s="3609"/>
      <c r="D122" s="3642">
        <f ca="1">H107</f>
        <v>81985</v>
      </c>
      <c r="E122" s="3643"/>
      <c r="F122" s="3643"/>
      <c r="G122" s="3643"/>
      <c r="H122" s="3643"/>
      <c r="I122" s="3644"/>
      <c r="AA122" s="725"/>
    </row>
    <row r="123" spans="1:27" ht="18.75" customHeight="1">
      <c r="A123" s="3578" t="s">
        <v>1452</v>
      </c>
      <c r="B123" s="3578"/>
      <c r="C123" s="3578"/>
      <c r="D123" s="3618" t="str">
        <f ca="1">NUMBERSTRING(INT(D122*10000),2)&amp;"元整"</f>
        <v>捌亿壹仟玖佰捌拾伍万元整</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C69" sqref="C6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3421</v>
      </c>
      <c r="F1" s="1879" t="s">
        <v>3422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147252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80000</v>
      </c>
      <c r="C3" s="354" t="s">
        <v>1768</v>
      </c>
      <c r="D3" s="353">
        <f>IF(D1="",'数据-汇总表'!E3,SUMIF('数据-汇总表'!$C19:$C33,D1,'数据-汇总表'!$E19:$E33))</f>
        <v>18406.539999999997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21" t="s">
        <v>1772</v>
      </c>
      <c r="AC4" s="3702" t="s">
        <v>1773</v>
      </c>
    </row>
    <row r="5" spans="1:29"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21"/>
      <c r="AC5" s="3703"/>
    </row>
    <row r="6" spans="1:29" ht="15.75" thickBot="1">
      <c r="A6" s="360"/>
      <c r="B6" s="361"/>
      <c r="C6" s="3722" t="s">
        <v>1677</v>
      </c>
      <c r="D6" s="3723"/>
      <c r="E6" s="3729" t="s">
        <v>1677</v>
      </c>
      <c r="F6" s="3730"/>
      <c r="G6" s="3722" t="s">
        <v>1677</v>
      </c>
      <c r="H6" s="3723"/>
      <c r="I6" s="3722" t="s">
        <v>1677</v>
      </c>
      <c r="J6" s="3723"/>
      <c r="K6" s="559" t="s">
        <v>1678</v>
      </c>
      <c r="L6" s="2715"/>
      <c r="M6" s="2716"/>
      <c r="N6" s="2716"/>
      <c r="O6" s="2716"/>
      <c r="P6" s="3713"/>
      <c r="Q6" s="3714"/>
      <c r="R6" s="3717"/>
      <c r="S6" s="3718"/>
      <c r="T6" s="3719"/>
      <c r="U6" s="3720"/>
      <c r="V6" s="3721"/>
      <c r="W6" s="3721"/>
      <c r="X6" s="1355"/>
      <c r="Y6" s="3719"/>
      <c r="Z6" s="3720"/>
      <c r="AA6" s="3704"/>
      <c r="AB6" s="3721"/>
      <c r="AC6" s="3704"/>
    </row>
    <row r="7" spans="1:29" s="108" customFormat="1" ht="15.75" thickBot="1">
      <c r="A7" s="362" t="s">
        <v>1679</v>
      </c>
      <c r="B7" s="363"/>
      <c r="C7" s="364">
        <f>'数据-取费表'!B2</f>
        <v>45243</v>
      </c>
      <c r="D7" s="365">
        <v>100</v>
      </c>
      <c r="E7" s="366">
        <f>C7</f>
        <v>45243</v>
      </c>
      <c r="F7" s="367">
        <f>SUMIF(58:58,YEAR(E7)&amp;"-"&amp;MONTH(E7),59:59)</f>
        <v>100</v>
      </c>
      <c r="G7" s="366">
        <f>C7</f>
        <v>45243</v>
      </c>
      <c r="H7" s="365">
        <f>SUMIF(58:58,YEAR(G7)&amp;"-"&amp;MONTH(G7),59:59)</f>
        <v>100</v>
      </c>
      <c r="I7" s="366">
        <f>C7</f>
        <v>45243</v>
      </c>
      <c r="J7" s="365">
        <f>SUMIF(58:58,YEAR(I7)&amp;"-"&amp;MONTH(I7),59:59)</f>
        <v>100</v>
      </c>
      <c r="K7" s="560"/>
      <c r="L7" s="2717"/>
      <c r="M7" s="2718"/>
      <c r="N7" s="2718"/>
      <c r="O7" s="2718"/>
      <c r="P7" s="3726" t="s">
        <v>1680</v>
      </c>
      <c r="Q7" s="3728"/>
      <c r="R7" s="701" t="s">
        <v>14</v>
      </c>
      <c r="S7" s="702">
        <f t="shared" ref="S7:S15" si="0">F7</f>
        <v>100</v>
      </c>
      <c r="T7" s="701" t="s">
        <v>14</v>
      </c>
      <c r="U7" s="702">
        <f t="shared" ref="U7:U15" si="1">H7</f>
        <v>100</v>
      </c>
      <c r="V7" s="701" t="s">
        <v>14</v>
      </c>
      <c r="W7" s="702">
        <f t="shared" ref="W7:W15" si="2">J7</f>
        <v>100</v>
      </c>
      <c r="X7" s="703"/>
      <c r="Y7" s="3726" t="s">
        <v>1680</v>
      </c>
      <c r="Z7" s="3727"/>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6" t="s">
        <v>1683</v>
      </c>
      <c r="Q8" s="3727"/>
      <c r="R8" s="701" t="s">
        <v>14</v>
      </c>
      <c r="S8" s="702">
        <f t="shared" si="0"/>
        <v>100</v>
      </c>
      <c r="T8" s="701" t="s">
        <v>14</v>
      </c>
      <c r="U8" s="702">
        <f t="shared" si="1"/>
        <v>100</v>
      </c>
      <c r="V8" s="701" t="s">
        <v>14</v>
      </c>
      <c r="W8" s="702">
        <f t="shared" si="2"/>
        <v>100</v>
      </c>
      <c r="X8" s="703"/>
      <c r="Y8" s="3726" t="s">
        <v>1683</v>
      </c>
      <c r="Z8" s="372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701"/>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9" t="s">
        <v>1691</v>
      </c>
      <c r="Q15" s="1352" t="str">
        <f t="shared" si="6"/>
        <v>商业繁华度</v>
      </c>
      <c r="R15" s="705" t="s">
        <v>14</v>
      </c>
      <c r="S15" s="706">
        <f t="shared" si="0"/>
        <v>100</v>
      </c>
      <c r="T15" s="705" t="s">
        <v>14</v>
      </c>
      <c r="U15" s="706">
        <f t="shared" si="1"/>
        <v>100</v>
      </c>
      <c r="V15" s="705" t="s">
        <v>14</v>
      </c>
      <c r="W15" s="706">
        <f t="shared" si="2"/>
        <v>100</v>
      </c>
      <c r="X15" s="1355"/>
      <c r="Y15" s="369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0"/>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0"/>
      <c r="Q18" s="1352"/>
      <c r="R18" s="705"/>
      <c r="S18" s="706"/>
      <c r="T18" s="705"/>
      <c r="U18" s="706"/>
      <c r="V18" s="705"/>
      <c r="W18" s="706"/>
      <c r="X18" s="1355"/>
      <c r="Y18" s="369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0"/>
      <c r="Q20" s="1352"/>
      <c r="R20" s="705"/>
      <c r="S20" s="706"/>
      <c r="T20" s="705"/>
      <c r="U20" s="706"/>
      <c r="V20" s="705"/>
      <c r="W20" s="706"/>
      <c r="X20" s="1355"/>
      <c r="Y20" s="369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0"/>
      <c r="Q22" s="1352"/>
      <c r="R22" s="705"/>
      <c r="S22" s="706"/>
      <c r="T22" s="705"/>
      <c r="U22" s="706"/>
      <c r="V22" s="705"/>
      <c r="W22" s="706"/>
      <c r="X22" s="1355"/>
      <c r="Y22" s="369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0"/>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0"/>
      <c r="Q24" s="1352"/>
      <c r="R24" s="705"/>
      <c r="S24" s="706"/>
      <c r="T24" s="705"/>
      <c r="U24" s="706"/>
      <c r="V24" s="705"/>
      <c r="W24" s="706"/>
      <c r="X24" s="1355"/>
      <c r="Y24" s="369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0"/>
      <c r="Q25" s="1352" t="str">
        <f t="shared" ref="Q25:Q46" si="11">B25</f>
        <v>临街状况</v>
      </c>
      <c r="R25" s="705" t="s">
        <v>14</v>
      </c>
      <c r="S25" s="706">
        <f>F25</f>
        <v>100</v>
      </c>
      <c r="T25" s="705" t="s">
        <v>14</v>
      </c>
      <c r="U25" s="706">
        <f>H25</f>
        <v>100</v>
      </c>
      <c r="V25" s="705" t="s">
        <v>14</v>
      </c>
      <c r="W25" s="706">
        <f>J25</f>
        <v>100</v>
      </c>
      <c r="X25" s="1355"/>
      <c r="Y25" s="369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0"/>
      <c r="Q26" s="1352" t="str">
        <f t="shared" si="11"/>
        <v>平面位置/可视性</v>
      </c>
      <c r="R26" s="705" t="s">
        <v>14</v>
      </c>
      <c r="S26" s="706">
        <f>F26</f>
        <v>100</v>
      </c>
      <c r="T26" s="705" t="s">
        <v>14</v>
      </c>
      <c r="U26" s="706">
        <f>H26</f>
        <v>100</v>
      </c>
      <c r="V26" s="705" t="s">
        <v>14</v>
      </c>
      <c r="W26" s="706">
        <f>J26</f>
        <v>100</v>
      </c>
      <c r="X26" s="1355"/>
      <c r="Y26" s="369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0"/>
      <c r="Q27" s="1343" t="str">
        <f t="shared" si="11"/>
        <v>人流量</v>
      </c>
      <c r="R27" s="701" t="s">
        <v>14</v>
      </c>
      <c r="S27" s="702">
        <f>F27</f>
        <v>100</v>
      </c>
      <c r="T27" s="701" t="s">
        <v>14</v>
      </c>
      <c r="U27" s="702">
        <f>H27</f>
        <v>100</v>
      </c>
      <c r="V27" s="701" t="s">
        <v>14</v>
      </c>
      <c r="W27" s="702">
        <f>J27</f>
        <v>100</v>
      </c>
      <c r="X27" s="703"/>
      <c r="Y27" s="369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0"/>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4" t="s">
        <v>1696</v>
      </c>
      <c r="Q32" s="1352" t="str">
        <f t="shared" si="11"/>
        <v>商业类型</v>
      </c>
      <c r="R32" s="705" t="s">
        <v>14</v>
      </c>
      <c r="S32" s="706">
        <f t="shared" si="12"/>
        <v>100</v>
      </c>
      <c r="T32" s="705" t="s">
        <v>14</v>
      </c>
      <c r="U32" s="706">
        <f t="shared" si="13"/>
        <v>100</v>
      </c>
      <c r="V32" s="705" t="s">
        <v>14</v>
      </c>
      <c r="W32" s="706">
        <f t="shared" si="14"/>
        <v>100</v>
      </c>
      <c r="X32" s="1355"/>
      <c r="Y32" s="369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95"/>
      <c r="Q33" s="707" t="str">
        <f t="shared" si="11"/>
        <v>项目建筑规模</v>
      </c>
      <c r="R33" s="708" t="s">
        <v>14</v>
      </c>
      <c r="S33" s="709">
        <f t="shared" si="12"/>
        <v>100</v>
      </c>
      <c r="T33" s="708" t="s">
        <v>14</v>
      </c>
      <c r="U33" s="709">
        <f t="shared" si="13"/>
        <v>100</v>
      </c>
      <c r="V33" s="708" t="s">
        <v>14</v>
      </c>
      <c r="W33" s="709">
        <f t="shared" si="14"/>
        <v>100</v>
      </c>
      <c r="X33" s="710"/>
      <c r="Y33" s="3697"/>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2"/>
      <c r="M36" s="2716"/>
      <c r="N36" s="2716"/>
      <c r="O36" s="2716"/>
      <c r="P36" s="3695"/>
      <c r="Q36" s="1352" t="str">
        <f t="shared" si="11"/>
        <v>成新度</v>
      </c>
      <c r="R36" s="705" t="s">
        <v>14</v>
      </c>
      <c r="S36" s="706">
        <f t="shared" si="12"/>
        <v>100</v>
      </c>
      <c r="T36" s="705" t="s">
        <v>14</v>
      </c>
      <c r="U36" s="706">
        <f t="shared" si="13"/>
        <v>100</v>
      </c>
      <c r="V36" s="705" t="s">
        <v>14</v>
      </c>
      <c r="W36" s="706">
        <f t="shared" si="14"/>
        <v>100</v>
      </c>
      <c r="X36" s="1355"/>
      <c r="Y36" s="3697"/>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5"/>
      <c r="Q37" s="1343"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5" t="s">
        <v>1696</v>
      </c>
      <c r="Q38" s="1352" t="str">
        <f t="shared" si="11"/>
        <v>业态</v>
      </c>
      <c r="R38" s="705" t="s">
        <v>14</v>
      </c>
      <c r="S38" s="706">
        <f t="shared" si="12"/>
        <v>100</v>
      </c>
      <c r="T38" s="705" t="s">
        <v>14</v>
      </c>
      <c r="U38" s="706">
        <f t="shared" si="13"/>
        <v>100</v>
      </c>
      <c r="V38" s="705" t="s">
        <v>14</v>
      </c>
      <c r="W38" s="706">
        <f t="shared" si="14"/>
        <v>100</v>
      </c>
      <c r="X38" s="1355"/>
      <c r="Y38" s="369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5"/>
      <c r="Q39" s="1352" t="str">
        <f t="shared" si="11"/>
        <v>层高</v>
      </c>
      <c r="R39" s="705" t="s">
        <v>14</v>
      </c>
      <c r="S39" s="706">
        <f t="shared" si="12"/>
        <v>100</v>
      </c>
      <c r="T39" s="705" t="s">
        <v>14</v>
      </c>
      <c r="U39" s="706">
        <f t="shared" si="13"/>
        <v>100</v>
      </c>
      <c r="V39" s="705" t="s">
        <v>14</v>
      </c>
      <c r="W39" s="706">
        <f t="shared" si="14"/>
        <v>100</v>
      </c>
      <c r="X39" s="1355"/>
      <c r="Y39" s="369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5"/>
      <c r="Q42" s="1352" t="str">
        <f t="shared" si="11"/>
        <v>内部装修</v>
      </c>
      <c r="R42" s="705" t="s">
        <v>14</v>
      </c>
      <c r="S42" s="706">
        <f t="shared" si="12"/>
        <v>100</v>
      </c>
      <c r="T42" s="705" t="s">
        <v>14</v>
      </c>
      <c r="U42" s="706">
        <f t="shared" si="13"/>
        <v>100</v>
      </c>
      <c r="V42" s="705" t="s">
        <v>14</v>
      </c>
      <c r="W42" s="706">
        <f t="shared" si="14"/>
        <v>100</v>
      </c>
      <c r="X42" s="1355"/>
      <c r="Y42" s="369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1708</v>
      </c>
      <c r="B47" s="431"/>
      <c r="C47" s="1154" t="s">
        <v>0</v>
      </c>
      <c r="D47" s="1155"/>
      <c r="E47" s="1156">
        <v>80000</v>
      </c>
      <c r="F47" s="1157"/>
      <c r="G47" s="1158">
        <f>E47</f>
        <v>80000</v>
      </c>
      <c r="H47" s="1159"/>
      <c r="I47" s="1156">
        <f>E47</f>
        <v>80000</v>
      </c>
      <c r="J47" s="1159"/>
      <c r="K47" s="714"/>
      <c r="L47" s="2724"/>
      <c r="M47" s="2725"/>
      <c r="N47" s="2716"/>
      <c r="O47" s="2725"/>
      <c r="P47" s="3690" t="str">
        <f>A47</f>
        <v>成交单价（元/平方米）</v>
      </c>
      <c r="Q47" s="3690"/>
      <c r="R47" s="3721">
        <f>E47</f>
        <v>80000</v>
      </c>
      <c r="S47" s="3721"/>
      <c r="T47" s="3721">
        <f>G47</f>
        <v>80000</v>
      </c>
      <c r="U47" s="3721"/>
      <c r="V47" s="3721">
        <f>I47</f>
        <v>80000</v>
      </c>
      <c r="W47" s="3721"/>
      <c r="X47" s="690"/>
      <c r="Y47" s="712"/>
      <c r="Z47" s="690"/>
      <c r="AA47" s="690"/>
      <c r="AB47" s="690"/>
      <c r="AC47" s="690"/>
    </row>
    <row r="48" spans="1:29" ht="15.75" thickBot="1">
      <c r="A48" s="437" t="s">
        <v>1793</v>
      </c>
      <c r="B48" s="438"/>
      <c r="C48" s="1160">
        <f>R49</f>
        <v>80000</v>
      </c>
      <c r="D48" s="2317" t="s">
        <v>2137</v>
      </c>
      <c r="E48" s="1161">
        <f>R48</f>
        <v>80000</v>
      </c>
      <c r="F48" s="2318"/>
      <c r="G48" s="1160">
        <f>T48</f>
        <v>80000</v>
      </c>
      <c r="H48" s="2318"/>
      <c r="I48" s="1161">
        <f>V48</f>
        <v>80000</v>
      </c>
      <c r="J48" s="2318"/>
      <c r="K48" s="2320">
        <f>F48+H48+J48</f>
        <v>0</v>
      </c>
      <c r="L48" s="2724"/>
      <c r="M48" s="2725"/>
      <c r="N48" s="2716"/>
      <c r="O48" s="2725"/>
      <c r="P48" s="3690" t="str">
        <f>A48</f>
        <v>比较价值（元/平方米）</v>
      </c>
      <c r="Q48" s="3690"/>
      <c r="R48" s="3691">
        <f>IF(F1="售价",ROUND(PRODUCT(R47,AA7:AA46),0),ROUND(PRODUCT(R47,AA7:AA46),1))</f>
        <v>80000</v>
      </c>
      <c r="S48" s="3691"/>
      <c r="T48" s="3691">
        <f>IF(F1="售价",ROUND(PRODUCT(T47,AB7:AB46),0),ROUND(PRODUCT(T47,AB7:AB46),1))</f>
        <v>80000</v>
      </c>
      <c r="U48" s="3691"/>
      <c r="V48" s="3691">
        <f>IF(F1="售价",ROUND(PRODUCT(V47,AC7:AC46),0),ROUND(PRODUCT(V47,AC7:AC46),1))</f>
        <v>80000</v>
      </c>
      <c r="W48" s="3691"/>
      <c r="X48" s="690"/>
      <c r="Y48" s="690"/>
      <c r="Z48" s="690"/>
      <c r="AA48" s="690"/>
      <c r="AB48" s="690"/>
      <c r="AC48" s="690"/>
    </row>
    <row r="49" spans="1:29" ht="15.75" thickBot="1">
      <c r="A49" s="441" t="s">
        <v>1794</v>
      </c>
      <c r="B49" s="442"/>
      <c r="C49" s="1163">
        <f>R49</f>
        <v>80000</v>
      </c>
      <c r="D49" s="1163"/>
      <c r="E49" s="1163"/>
      <c r="F49" s="1163"/>
      <c r="G49" s="1163"/>
      <c r="H49" s="1163"/>
      <c r="I49" s="1163"/>
      <c r="J49" s="1163"/>
      <c r="K49" s="715"/>
      <c r="L49" s="2724"/>
      <c r="M49" s="2725"/>
      <c r="N49" s="2716"/>
      <c r="O49" s="2725"/>
      <c r="P49" s="3687" t="str">
        <f>A49</f>
        <v>估价对象XX用房的比较价值（楼面单价，元/平方米）</v>
      </c>
      <c r="Q49" s="3688"/>
      <c r="R49" s="3689">
        <f>IF(F1="售价",ROUND(IF(D48="简单平均",AVERAGE(R48:V48),R48*F48+T48*H48+V48*J48),0),ROUND(IF(D48="简单平均",AVERAGE(R48:V48),R48*F48+T48*H48+V48*J48),1))</f>
        <v>80000</v>
      </c>
      <c r="S49" s="3689"/>
      <c r="T49" s="3689"/>
      <c r="U49" s="3689"/>
      <c r="V49" s="3689"/>
      <c r="W49" s="368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9" priority="21" stopIfTrue="1" operator="containsText" text="超过">
      <formula>NOT(ISERROR(SEARCH("超过",F52)))</formula>
    </cfRule>
  </conditionalFormatting>
  <conditionalFormatting sqref="H54">
    <cfRule type="containsText" dxfId="178" priority="19" stopIfTrue="1" operator="containsText" text="超过">
      <formula>NOT(ISERROR(SEARCH("超过",H54)))</formula>
    </cfRule>
  </conditionalFormatting>
  <conditionalFormatting sqref="F54">
    <cfRule type="containsText" dxfId="177" priority="18" stopIfTrue="1" operator="containsText" text="超过">
      <formula>NOT(ISERROR(SEARCH("超过",F54)))</formula>
    </cfRule>
  </conditionalFormatting>
  <conditionalFormatting sqref="F53 H53">
    <cfRule type="containsText" dxfId="176" priority="17" stopIfTrue="1" operator="containsText" text="超过">
      <formula>NOT(ISERROR(SEARCH("超过",F53)))</formula>
    </cfRule>
  </conditionalFormatting>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G54">
    <cfRule type="expression" dxfId="172" priority="13" stopIfTrue="1">
      <formula>$H$54="超过30%"</formula>
    </cfRule>
  </conditionalFormatting>
  <conditionalFormatting sqref="G52">
    <cfRule type="expression" dxfId="171" priority="12" stopIfTrue="1">
      <formula>$H$52="超过30%"</formula>
    </cfRule>
  </conditionalFormatting>
  <conditionalFormatting sqref="G53">
    <cfRule type="expression" dxfId="170" priority="11" stopIfTrue="1">
      <formula>$H$53="超过20%"</formula>
    </cfRule>
  </conditionalFormatting>
  <conditionalFormatting sqref="J52">
    <cfRule type="containsText" dxfId="169" priority="10" stopIfTrue="1" operator="containsText" text="超过">
      <formula>NOT(ISERROR(SEARCH("超过",J52)))</formula>
    </cfRule>
  </conditionalFormatting>
  <conditionalFormatting sqref="J54">
    <cfRule type="containsText" dxfId="168" priority="9" stopIfTrue="1" operator="containsText" text="超过">
      <formula>NOT(ISERROR(SEARCH("超过",J54)))</formula>
    </cfRule>
  </conditionalFormatting>
  <conditionalFormatting sqref="J53">
    <cfRule type="containsText" dxfId="167" priority="8" stopIfTrue="1" operator="containsText" text="超过">
      <formula>NOT(ISERROR(SEARCH("超过",J53)))</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26891.389999999996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39" t="s">
        <v>1775</v>
      </c>
      <c r="Q4" s="3740"/>
      <c r="R4" s="3743" t="s">
        <v>1771</v>
      </c>
      <c r="S4" s="3744"/>
      <c r="T4" s="3743" t="s">
        <v>1772</v>
      </c>
      <c r="U4" s="3744"/>
      <c r="V4" s="3745" t="s">
        <v>1773</v>
      </c>
      <c r="W4" s="3745"/>
      <c r="X4" s="1958"/>
      <c r="Y4" s="3743" t="s">
        <v>1775</v>
      </c>
      <c r="Z4" s="3744"/>
      <c r="AA4" s="3747" t="s">
        <v>1771</v>
      </c>
      <c r="AB4" s="3747" t="s">
        <v>1772</v>
      </c>
      <c r="AC4" s="3736" t="s">
        <v>1773</v>
      </c>
    </row>
    <row r="5" spans="1:29" ht="15">
      <c r="A5" s="358"/>
      <c r="B5" s="359"/>
      <c r="C5" s="3724" t="s">
        <v>1673</v>
      </c>
      <c r="D5" s="3725"/>
      <c r="E5" s="3731" t="s">
        <v>1674</v>
      </c>
      <c r="F5" s="3732"/>
      <c r="G5" s="3724" t="s">
        <v>1675</v>
      </c>
      <c r="H5" s="3725"/>
      <c r="I5" s="3724" t="s">
        <v>1676</v>
      </c>
      <c r="J5" s="3725"/>
      <c r="K5" s="559"/>
      <c r="L5" s="2715"/>
      <c r="M5" s="2716"/>
      <c r="N5" s="2716"/>
      <c r="O5" s="2716"/>
      <c r="P5" s="3741"/>
      <c r="Q5" s="3712"/>
      <c r="R5" s="3717"/>
      <c r="S5" s="3718"/>
      <c r="T5" s="3717"/>
      <c r="U5" s="3718"/>
      <c r="V5" s="3721"/>
      <c r="W5" s="3721"/>
      <c r="X5" s="1355"/>
      <c r="Y5" s="3717"/>
      <c r="Z5" s="3718"/>
      <c r="AA5" s="3703"/>
      <c r="AB5" s="3703"/>
      <c r="AC5" s="3737"/>
    </row>
    <row r="6" spans="1:29" ht="15.75" thickBot="1">
      <c r="A6" s="360"/>
      <c r="B6" s="361"/>
      <c r="C6" s="3722" t="s">
        <v>1677</v>
      </c>
      <c r="D6" s="3723"/>
      <c r="E6" s="3729" t="s">
        <v>1677</v>
      </c>
      <c r="F6" s="3730"/>
      <c r="G6" s="3722" t="s">
        <v>1677</v>
      </c>
      <c r="H6" s="3723"/>
      <c r="I6" s="3722" t="s">
        <v>1677</v>
      </c>
      <c r="J6" s="3723"/>
      <c r="K6" s="559" t="s">
        <v>1678</v>
      </c>
      <c r="L6" s="2715"/>
      <c r="M6" s="2716"/>
      <c r="N6" s="2716"/>
      <c r="O6" s="2716"/>
      <c r="P6" s="3742"/>
      <c r="Q6" s="3714"/>
      <c r="R6" s="3717"/>
      <c r="S6" s="3718"/>
      <c r="T6" s="3719"/>
      <c r="U6" s="3720"/>
      <c r="V6" s="3721"/>
      <c r="W6" s="3721"/>
      <c r="X6" s="1355"/>
      <c r="Y6" s="3719"/>
      <c r="Z6" s="3720"/>
      <c r="AA6" s="3704"/>
      <c r="AB6" s="3704"/>
      <c r="AC6" s="3738"/>
    </row>
    <row r="7" spans="1:29" s="108" customFormat="1" ht="15.75" thickBot="1">
      <c r="A7" s="362" t="s">
        <v>1679</v>
      </c>
      <c r="B7" s="363"/>
      <c r="C7" s="364">
        <f>'数据-取费表'!B2</f>
        <v>45243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6" t="s">
        <v>1683</v>
      </c>
      <c r="Q8" s="3727"/>
      <c r="R8" s="701" t="s">
        <v>14</v>
      </c>
      <c r="S8" s="702">
        <f t="shared" si="0"/>
        <v>100</v>
      </c>
      <c r="T8" s="701" t="s">
        <v>14</v>
      </c>
      <c r="U8" s="702">
        <f t="shared" si="1"/>
        <v>100</v>
      </c>
      <c r="V8" s="701" t="s">
        <v>14</v>
      </c>
      <c r="W8" s="702">
        <f t="shared" si="2"/>
        <v>100</v>
      </c>
      <c r="X8" s="703"/>
      <c r="Y8" s="3726" t="s">
        <v>1683</v>
      </c>
      <c r="Z8" s="372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1"/>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9" t="s">
        <v>1691</v>
      </c>
      <c r="Q15" s="1352" t="str">
        <f t="shared" si="6"/>
        <v>办公集聚程度</v>
      </c>
      <c r="R15" s="705" t="s">
        <v>14</v>
      </c>
      <c r="S15" s="706">
        <f t="shared" si="0"/>
        <v>100</v>
      </c>
      <c r="T15" s="705" t="s">
        <v>14</v>
      </c>
      <c r="U15" s="706">
        <f t="shared" si="1"/>
        <v>100</v>
      </c>
      <c r="V15" s="705" t="s">
        <v>14</v>
      </c>
      <c r="W15" s="706">
        <f t="shared" si="2"/>
        <v>100</v>
      </c>
      <c r="X15" s="1355"/>
      <c r="Y15" s="369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0"/>
      <c r="Q16" s="1352"/>
      <c r="R16" s="705"/>
      <c r="S16" s="706"/>
      <c r="T16" s="705"/>
      <c r="U16" s="706"/>
      <c r="V16" s="705"/>
      <c r="W16" s="706"/>
      <c r="X16" s="1355"/>
      <c r="Y16" s="369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0"/>
      <c r="Q18" s="1352"/>
      <c r="R18" s="705"/>
      <c r="S18" s="706"/>
      <c r="T18" s="705"/>
      <c r="U18" s="706"/>
      <c r="V18" s="705"/>
      <c r="W18" s="706"/>
      <c r="X18" s="1355"/>
      <c r="Y18" s="369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0"/>
      <c r="Q20" s="1352"/>
      <c r="R20" s="705"/>
      <c r="S20" s="706"/>
      <c r="T20" s="705"/>
      <c r="U20" s="706"/>
      <c r="V20" s="705"/>
      <c r="W20" s="706"/>
      <c r="X20" s="1355"/>
      <c r="Y20" s="369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0"/>
      <c r="Q22" s="1352"/>
      <c r="R22" s="705"/>
      <c r="S22" s="706"/>
      <c r="T22" s="705"/>
      <c r="U22" s="706"/>
      <c r="V22" s="705"/>
      <c r="W22" s="706"/>
      <c r="X22" s="1355"/>
      <c r="Y22" s="369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0"/>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0"/>
      <c r="Q24" s="1352"/>
      <c r="R24" s="705"/>
      <c r="S24" s="706"/>
      <c r="T24" s="705"/>
      <c r="U24" s="706"/>
      <c r="V24" s="705"/>
      <c r="W24" s="706"/>
      <c r="X24" s="1355"/>
      <c r="Y24" s="369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0"/>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0"/>
      <c r="Q26" s="1352"/>
      <c r="R26" s="705"/>
      <c r="S26" s="706"/>
      <c r="T26" s="705"/>
      <c r="U26" s="706"/>
      <c r="V26" s="705"/>
      <c r="W26" s="706"/>
      <c r="X26" s="1355"/>
      <c r="Y26" s="369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0"/>
      <c r="Q27" s="1352" t="str">
        <f t="shared" ref="Q27:Q47" si="11">B27</f>
        <v>楼层</v>
      </c>
      <c r="R27" s="705" t="s">
        <v>14</v>
      </c>
      <c r="S27" s="706">
        <f>F27</f>
        <v>100</v>
      </c>
      <c r="T27" s="705" t="s">
        <v>14</v>
      </c>
      <c r="U27" s="706">
        <f>H27</f>
        <v>100</v>
      </c>
      <c r="V27" s="705" t="s">
        <v>14</v>
      </c>
      <c r="W27" s="706">
        <f>J27</f>
        <v>100</v>
      </c>
      <c r="X27" s="1355"/>
      <c r="Y27" s="369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0"/>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0"/>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4" t="s">
        <v>1696</v>
      </c>
      <c r="Q33" s="1352" t="str">
        <f t="shared" si="11"/>
        <v>建筑类型</v>
      </c>
      <c r="R33" s="705" t="s">
        <v>14</v>
      </c>
      <c r="S33" s="706">
        <f t="shared" si="12"/>
        <v>100</v>
      </c>
      <c r="T33" s="705" t="s">
        <v>14</v>
      </c>
      <c r="U33" s="706">
        <f t="shared" si="13"/>
        <v>100</v>
      </c>
      <c r="V33" s="705" t="s">
        <v>14</v>
      </c>
      <c r="W33" s="706">
        <f t="shared" si="14"/>
        <v>100</v>
      </c>
      <c r="X33" s="1355"/>
      <c r="Y33" s="369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5"/>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5"/>
      <c r="Q37" s="1352" t="str">
        <f t="shared" si="11"/>
        <v>成新度</v>
      </c>
      <c r="R37" s="705" t="s">
        <v>14</v>
      </c>
      <c r="S37" s="706" t="e">
        <f t="shared" si="12"/>
        <v>#N/A</v>
      </c>
      <c r="T37" s="705" t="s">
        <v>14</v>
      </c>
      <c r="U37" s="706" t="e">
        <f t="shared" si="13"/>
        <v>#N/A</v>
      </c>
      <c r="V37" s="705" t="s">
        <v>14</v>
      </c>
      <c r="W37" s="706" t="e">
        <f t="shared" si="14"/>
        <v>#N/A</v>
      </c>
      <c r="X37" s="1355"/>
      <c r="Y37" s="369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5" t="s">
        <v>1696</v>
      </c>
      <c r="Q39" s="1352" t="str">
        <f t="shared" si="11"/>
        <v>物业管理</v>
      </c>
      <c r="R39" s="705" t="s">
        <v>14</v>
      </c>
      <c r="S39" s="706">
        <f t="shared" si="12"/>
        <v>100</v>
      </c>
      <c r="T39" s="705" t="s">
        <v>14</v>
      </c>
      <c r="U39" s="706">
        <f t="shared" si="13"/>
        <v>100</v>
      </c>
      <c r="V39" s="705" t="s">
        <v>14</v>
      </c>
      <c r="W39" s="706">
        <f t="shared" si="14"/>
        <v>100</v>
      </c>
      <c r="X39" s="1355"/>
      <c r="Y39" s="369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5"/>
      <c r="Q41" s="1352" t="str">
        <f t="shared" si="11"/>
        <v>层高</v>
      </c>
      <c r="R41" s="705" t="s">
        <v>14</v>
      </c>
      <c r="S41" s="706">
        <f t="shared" si="12"/>
        <v>100</v>
      </c>
      <c r="T41" s="705" t="s">
        <v>14</v>
      </c>
      <c r="U41" s="706">
        <f t="shared" si="13"/>
        <v>100</v>
      </c>
      <c r="V41" s="705" t="s">
        <v>14</v>
      </c>
      <c r="W41" s="706">
        <f t="shared" si="14"/>
        <v>100</v>
      </c>
      <c r="X41" s="1355"/>
      <c r="Y41" s="369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5"/>
      <c r="Q43" s="1352" t="str">
        <f t="shared" si="11"/>
        <v>内部装修</v>
      </c>
      <c r="R43" s="705" t="s">
        <v>14</v>
      </c>
      <c r="S43" s="706">
        <f t="shared" si="12"/>
        <v>100</v>
      </c>
      <c r="T43" s="705" t="s">
        <v>14</v>
      </c>
      <c r="U43" s="706">
        <f t="shared" si="13"/>
        <v>100</v>
      </c>
      <c r="V43" s="705" t="s">
        <v>14</v>
      </c>
      <c r="W43" s="706">
        <f t="shared" si="14"/>
        <v>100</v>
      </c>
      <c r="X43" s="1355"/>
      <c r="Y43" s="369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1" t="str">
        <f>A48</f>
        <v>成交单价（元/平方米）</v>
      </c>
      <c r="Q48" s="3690"/>
      <c r="R48" s="3691">
        <f>E48</f>
        <v>0</v>
      </c>
      <c r="S48" s="3691"/>
      <c r="T48" s="3691">
        <f>G48</f>
        <v>0</v>
      </c>
      <c r="U48" s="3691"/>
      <c r="V48" s="3691">
        <f>I48</f>
        <v>0</v>
      </c>
      <c r="W48" s="3691"/>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1"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9" priority="20" stopIfTrue="1" operator="containsText" text="超过">
      <formula>NOT(ISERROR(SEARCH("超过",F53)))</formula>
    </cfRule>
  </conditionalFormatting>
  <conditionalFormatting sqref="H55">
    <cfRule type="containsText" dxfId="158" priority="19" stopIfTrue="1" operator="containsText" text="超过">
      <formula>NOT(ISERROR(SEARCH("超过",H55)))</formula>
    </cfRule>
  </conditionalFormatting>
  <conditionalFormatting sqref="F55">
    <cfRule type="containsText" dxfId="157" priority="18" stopIfTrue="1" operator="containsText" text="超过">
      <formula>NOT(ISERROR(SEARCH("超过",F55)))</formula>
    </cfRule>
  </conditionalFormatting>
  <conditionalFormatting sqref="F54 H54">
    <cfRule type="containsText" dxfId="156" priority="17" stopIfTrue="1" operator="containsText" text="超过">
      <formula>NOT(ISERROR(SEARCH("超过",F54)))</formula>
    </cfRule>
  </conditionalFormatting>
  <conditionalFormatting sqref="E53">
    <cfRule type="expression" dxfId="155" priority="16" stopIfTrue="1">
      <formula>$F$53="超过30%"</formula>
    </cfRule>
  </conditionalFormatting>
  <conditionalFormatting sqref="E54">
    <cfRule type="expression" dxfId="154" priority="15" stopIfTrue="1">
      <formula>$F$54="超过20%"</formula>
    </cfRule>
  </conditionalFormatting>
  <conditionalFormatting sqref="E55">
    <cfRule type="expression" dxfId="153" priority="14" stopIfTrue="1">
      <formula>$F$55="超过30%"</formula>
    </cfRule>
  </conditionalFormatting>
  <conditionalFormatting sqref="G55">
    <cfRule type="expression" dxfId="152" priority="13" stopIfTrue="1">
      <formula>$H$55="超过30%"</formula>
    </cfRule>
  </conditionalFormatting>
  <conditionalFormatting sqref="G53">
    <cfRule type="expression" dxfId="151" priority="12" stopIfTrue="1">
      <formula>$H$53="超过30%"</formula>
    </cfRule>
  </conditionalFormatting>
  <conditionalFormatting sqref="G54">
    <cfRule type="expression" dxfId="150" priority="11" stopIfTrue="1">
      <formula>$H$54="超过20%"</formula>
    </cfRule>
  </conditionalFormatting>
  <conditionalFormatting sqref="J53">
    <cfRule type="containsText" dxfId="149" priority="10" stopIfTrue="1" operator="containsText" text="超过">
      <formula>NOT(ISERROR(SEARCH("超过",J53)))</formula>
    </cfRule>
  </conditionalFormatting>
  <conditionalFormatting sqref="J55">
    <cfRule type="containsText" dxfId="148" priority="9" stopIfTrue="1" operator="containsText" text="超过">
      <formula>NOT(ISERROR(SEARCH("超过",J55)))</formula>
    </cfRule>
  </conditionalFormatting>
  <conditionalFormatting sqref="J54">
    <cfRule type="containsText" dxfId="147" priority="8" stopIfTrue="1" operator="containsText" text="超过">
      <formula>NOT(ISERROR(SEARCH("超过",J54)))</formula>
    </cfRule>
  </conditionalFormatting>
  <conditionalFormatting sqref="I53">
    <cfRule type="expression" dxfId="146" priority="7" stopIfTrue="1">
      <formula>$J$53="超过30%"</formula>
    </cfRule>
  </conditionalFormatting>
  <conditionalFormatting sqref="I54">
    <cfRule type="expression" dxfId="145" priority="6" stopIfTrue="1">
      <formula>$J$53+$J$54="超过20%"</formula>
    </cfRule>
  </conditionalFormatting>
  <conditionalFormatting sqref="I55">
    <cfRule type="expression" dxfId="144" priority="5" stopIfTrue="1">
      <formula>$J$55="超过30%"</formula>
    </cfRule>
  </conditionalFormatting>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F7:F47 H7:H47 J7:J47">
    <cfRule type="cellIs" dxfId="14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26891.389999999996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913"/>
      <c r="M5" s="914"/>
      <c r="N5" s="914"/>
      <c r="O5" s="914"/>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913"/>
      <c r="M6" s="914"/>
      <c r="N6" s="914"/>
      <c r="O6" s="914"/>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45243</v>
      </c>
      <c r="D7" s="365">
        <v>100</v>
      </c>
      <c r="E7" s="366"/>
      <c r="F7" s="367">
        <f>SUMIF(52:52,YEAR(E7)&amp;"-"&amp;MONTH(E7),53:53)</f>
        <v>0</v>
      </c>
      <c r="G7" s="366"/>
      <c r="H7" s="365">
        <f>SUMIF(52:52,YEAR(G7)&amp;"-"&amp;MONTH(G7),53:53)</f>
        <v>0</v>
      </c>
      <c r="I7" s="366"/>
      <c r="J7" s="365">
        <f>SUMIF(52:52,YEAR(I7)&amp;"-"&amp;MONTH(I7),53:53)</f>
        <v>0</v>
      </c>
      <c r="K7" s="560"/>
      <c r="L7" s="915"/>
      <c r="M7" s="916"/>
      <c r="N7" s="916"/>
      <c r="O7" s="916"/>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6" t="s">
        <v>1683</v>
      </c>
      <c r="Q8" s="3727"/>
      <c r="R8" s="701" t="s">
        <v>14</v>
      </c>
      <c r="S8" s="702">
        <f t="shared" si="0"/>
        <v>100</v>
      </c>
      <c r="T8" s="701" t="s">
        <v>14</v>
      </c>
      <c r="U8" s="702">
        <f t="shared" si="1"/>
        <v>100</v>
      </c>
      <c r="V8" s="701" t="s">
        <v>14</v>
      </c>
      <c r="W8" s="702">
        <f t="shared" si="2"/>
        <v>100</v>
      </c>
      <c r="X8" s="703"/>
      <c r="Y8" s="3726" t="s">
        <v>1683</v>
      </c>
      <c r="Z8" s="372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8" t="s">
        <v>1696</v>
      </c>
      <c r="Q29" s="1352" t="str">
        <f t="shared" si="11"/>
        <v>建筑类型</v>
      </c>
      <c r="R29" s="705" t="s">
        <v>14</v>
      </c>
      <c r="S29" s="706">
        <f t="shared" si="12"/>
        <v>100</v>
      </c>
      <c r="T29" s="705" t="s">
        <v>14</v>
      </c>
      <c r="U29" s="706">
        <f t="shared" si="13"/>
        <v>100</v>
      </c>
      <c r="V29" s="705" t="s">
        <v>14</v>
      </c>
      <c r="W29" s="706">
        <f t="shared" si="14"/>
        <v>100</v>
      </c>
      <c r="X29" s="1355"/>
      <c r="Y29" s="369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2" t="str">
        <f t="shared" si="11"/>
        <v>成新度</v>
      </c>
      <c r="R33" s="705" t="s">
        <v>14</v>
      </c>
      <c r="S33" s="706" t="e">
        <f t="shared" si="12"/>
        <v>#N/A</v>
      </c>
      <c r="T33" s="705" t="s">
        <v>14</v>
      </c>
      <c r="U33" s="706" t="e">
        <f t="shared" si="13"/>
        <v>#N/A</v>
      </c>
      <c r="V33" s="705" t="s">
        <v>14</v>
      </c>
      <c r="W33" s="706" t="e">
        <f t="shared" si="14"/>
        <v>#N/A</v>
      </c>
      <c r="X33" s="1355"/>
      <c r="Y33" s="369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2" t="str">
        <f t="shared" si="11"/>
        <v>市政基础设施</v>
      </c>
      <c r="R35" s="705" t="s">
        <v>14</v>
      </c>
      <c r="S35" s="706">
        <f t="shared" si="12"/>
        <v>100</v>
      </c>
      <c r="T35" s="705" t="s">
        <v>14</v>
      </c>
      <c r="U35" s="706">
        <f t="shared" si="13"/>
        <v>100</v>
      </c>
      <c r="V35" s="705" t="s">
        <v>14</v>
      </c>
      <c r="W35" s="706">
        <f t="shared" si="14"/>
        <v>100</v>
      </c>
      <c r="X35" s="1355"/>
      <c r="Y35" s="369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2" t="str">
        <f t="shared" si="11"/>
        <v>内部装修</v>
      </c>
      <c r="R36" s="705" t="s">
        <v>14</v>
      </c>
      <c r="S36" s="706">
        <f t="shared" si="12"/>
        <v>100</v>
      </c>
      <c r="T36" s="705" t="s">
        <v>14</v>
      </c>
      <c r="U36" s="706">
        <f t="shared" si="13"/>
        <v>100</v>
      </c>
      <c r="V36" s="705" t="s">
        <v>14</v>
      </c>
      <c r="W36" s="706">
        <f t="shared" si="14"/>
        <v>100</v>
      </c>
      <c r="X36" s="1355"/>
      <c r="Y36" s="369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9" priority="20" stopIfTrue="1" operator="containsText" text="超过">
      <formula>NOT(ISERROR(SEARCH("超过",F46)))</formula>
    </cfRule>
  </conditionalFormatting>
  <conditionalFormatting sqref="H48">
    <cfRule type="containsText" dxfId="138" priority="19" stopIfTrue="1" operator="containsText" text="超过">
      <formula>NOT(ISERROR(SEARCH("超过",H48)))</formula>
    </cfRule>
  </conditionalFormatting>
  <conditionalFormatting sqref="F48">
    <cfRule type="containsText" dxfId="137" priority="18" stopIfTrue="1" operator="containsText" text="超过">
      <formula>NOT(ISERROR(SEARCH("超过",F48)))</formula>
    </cfRule>
  </conditionalFormatting>
  <conditionalFormatting sqref="F47 H47">
    <cfRule type="containsText" dxfId="136" priority="17" stopIfTrue="1" operator="containsText" text="超过">
      <formula>NOT(ISERROR(SEARCH("超过",F47)))</formula>
    </cfRule>
  </conditionalFormatting>
  <conditionalFormatting sqref="E46">
    <cfRule type="expression" dxfId="135" priority="16" stopIfTrue="1">
      <formula>$F$46="超过30%"</formula>
    </cfRule>
  </conditionalFormatting>
  <conditionalFormatting sqref="E47">
    <cfRule type="expression" dxfId="134" priority="15" stopIfTrue="1">
      <formula>$F$47="超过20%"</formula>
    </cfRule>
  </conditionalFormatting>
  <conditionalFormatting sqref="E48">
    <cfRule type="expression" dxfId="133" priority="14" stopIfTrue="1">
      <formula>$F$48="超过30%"</formula>
    </cfRule>
  </conditionalFormatting>
  <conditionalFormatting sqref="G48">
    <cfRule type="expression" dxfId="132" priority="13" stopIfTrue="1">
      <formula>$H$48="超过30%"</formula>
    </cfRule>
  </conditionalFormatting>
  <conditionalFormatting sqref="G46">
    <cfRule type="expression" dxfId="131" priority="12" stopIfTrue="1">
      <formula>$H$46="超过30%"</formula>
    </cfRule>
  </conditionalFormatting>
  <conditionalFormatting sqref="G47">
    <cfRule type="expression" dxfId="130" priority="11" stopIfTrue="1">
      <formula>$H$47="超过20%"</formula>
    </cfRule>
  </conditionalFormatting>
  <conditionalFormatting sqref="J46">
    <cfRule type="containsText" dxfId="129" priority="10" stopIfTrue="1" operator="containsText" text="超过">
      <formula>NOT(ISERROR(SEARCH("超过",J46)))</formula>
    </cfRule>
  </conditionalFormatting>
  <conditionalFormatting sqref="J48">
    <cfRule type="containsText" dxfId="128" priority="9" stopIfTrue="1" operator="containsText" text="超过">
      <formula>NOT(ISERROR(SEARCH("超过",J48)))</formula>
    </cfRule>
  </conditionalFormatting>
  <conditionalFormatting sqref="J47">
    <cfRule type="containsText" dxfId="127" priority="8" stopIfTrue="1" operator="containsText" text="超过">
      <formula>NOT(ISERROR(SEARCH("超过",J47)))</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F7:F40 H7:H40 J7:J40">
    <cfRule type="cellIs" dxfId="12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2715"/>
      <c r="M6" s="2716"/>
      <c r="N6" s="2716"/>
      <c r="O6" s="2716"/>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45243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6" t="s">
        <v>1683</v>
      </c>
      <c r="Q8" s="3727"/>
      <c r="R8" s="701" t="s">
        <v>14</v>
      </c>
      <c r="S8" s="702">
        <f t="shared" si="0"/>
        <v>100</v>
      </c>
      <c r="T8" s="701" t="s">
        <v>14</v>
      </c>
      <c r="U8" s="702">
        <f t="shared" si="1"/>
        <v>100</v>
      </c>
      <c r="V8" s="701" t="s">
        <v>14</v>
      </c>
      <c r="W8" s="702">
        <f t="shared" si="2"/>
        <v>100</v>
      </c>
      <c r="X8" s="703"/>
      <c r="Y8" s="3726" t="s">
        <v>1683</v>
      </c>
      <c r="Z8" s="372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0" t="s">
        <v>1686</v>
      </c>
      <c r="Q9" s="1343"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0"/>
      <c r="Q11" s="1343">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3"/>
      <c r="Q15" s="1352"/>
      <c r="R15" s="705"/>
      <c r="S15" s="706"/>
      <c r="T15" s="705"/>
      <c r="U15" s="706"/>
      <c r="V15" s="705"/>
      <c r="W15" s="706"/>
      <c r="X15" s="1355"/>
      <c r="Y15" s="369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3"/>
      <c r="Q17" s="1352"/>
      <c r="R17" s="705"/>
      <c r="S17" s="706"/>
      <c r="T17" s="705"/>
      <c r="U17" s="706"/>
      <c r="V17" s="705"/>
      <c r="W17" s="706"/>
      <c r="X17" s="1355"/>
      <c r="Y17" s="369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3"/>
      <c r="Q19" s="1352"/>
      <c r="R19" s="705"/>
      <c r="S19" s="706"/>
      <c r="T19" s="705"/>
      <c r="U19" s="706"/>
      <c r="V19" s="705"/>
      <c r="W19" s="706"/>
      <c r="X19" s="1355"/>
      <c r="Y19" s="369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3"/>
      <c r="Q21" s="1352"/>
      <c r="R21" s="705"/>
      <c r="S21" s="706"/>
      <c r="T21" s="705"/>
      <c r="U21" s="706"/>
      <c r="V21" s="705"/>
      <c r="W21" s="706"/>
      <c r="X21" s="1355"/>
      <c r="Y21" s="369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7" t="s">
        <v>1696</v>
      </c>
      <c r="Q32" s="1352" t="str">
        <f t="shared" si="11"/>
        <v>车位类型</v>
      </c>
      <c r="R32" s="705" t="s">
        <v>14</v>
      </c>
      <c r="S32" s="706">
        <f t="shared" si="12"/>
        <v>100</v>
      </c>
      <c r="T32" s="705" t="s">
        <v>14</v>
      </c>
      <c r="U32" s="706">
        <f t="shared" si="13"/>
        <v>100</v>
      </c>
      <c r="V32" s="705" t="s">
        <v>14</v>
      </c>
      <c r="W32" s="706">
        <f t="shared" si="14"/>
        <v>100</v>
      </c>
      <c r="X32" s="1355"/>
      <c r="Y32" s="369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7" t="str">
        <f>A39</f>
        <v>估价对象XX用房的比较价值（楼面单价，元/平方米）</v>
      </c>
      <c r="Q39" s="3688"/>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9" priority="18" stopIfTrue="1" operator="containsText" text="超过">
      <formula>NOT(ISERROR(SEARCH("超过",F42)))</formula>
    </cfRule>
  </conditionalFormatting>
  <conditionalFormatting sqref="J44">
    <cfRule type="containsText" dxfId="118" priority="17" stopIfTrue="1" operator="containsText" text="超过">
      <formula>NOT(ISERROR(SEARCH("超过",J44)))</formula>
    </cfRule>
  </conditionalFormatting>
  <conditionalFormatting sqref="H44">
    <cfRule type="containsText" dxfId="117" priority="16" stopIfTrue="1" operator="containsText" text="超过">
      <formula>NOT(ISERROR(SEARCH("超过",H44)))</formula>
    </cfRule>
  </conditionalFormatting>
  <conditionalFormatting sqref="F44">
    <cfRule type="containsText" dxfId="116" priority="15" stopIfTrue="1" operator="containsText" text="超过">
      <formula>NOT(ISERROR(SEARCH("超过",F44)))</formula>
    </cfRule>
  </conditionalFormatting>
  <conditionalFormatting sqref="F43 H43 J43">
    <cfRule type="containsText" dxfId="115" priority="14" stopIfTrue="1" operator="containsText" text="超过">
      <formula>NOT(ISERROR(SEARCH("超过",F43)))</formula>
    </cfRule>
  </conditionalFormatting>
  <conditionalFormatting sqref="E42">
    <cfRule type="expression" dxfId="114" priority="13" stopIfTrue="1">
      <formula>$F$42="超过30%"</formula>
    </cfRule>
  </conditionalFormatting>
  <conditionalFormatting sqref="G44">
    <cfRule type="expression" dxfId="113" priority="12" stopIfTrue="1">
      <formula>$H$54+$H$44="超过30%"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G42">
    <cfRule type="expression" dxfId="110" priority="9" stopIfTrue="1">
      <formula>$H$52+$H$42="超过30%"</formula>
    </cfRule>
  </conditionalFormatting>
  <conditionalFormatting sqref="G43">
    <cfRule type="expression" dxfId="109" priority="8" stopIfTrue="1">
      <formula>$H$43="超过20%"</formula>
    </cfRule>
  </conditionalFormatting>
  <conditionalFormatting sqref="I42">
    <cfRule type="expression" dxfId="108" priority="7" stopIfTrue="1">
      <formula>$J$52+$J$42="超过30%"</formula>
    </cfRule>
  </conditionalFormatting>
  <conditionalFormatting sqref="I43">
    <cfRule type="expression" dxfId="107" priority="6" stopIfTrue="1">
      <formula>$J$53+$J$43="超过20%"</formula>
    </cfRule>
  </conditionalFormatting>
  <conditionalFormatting sqref="I44">
    <cfRule type="expression" dxfId="106" priority="5" stopIfTrue="1">
      <formula>$J$44="超过30%"</formula>
    </cfRule>
  </conditionalFormatting>
  <conditionalFormatting sqref="F38">
    <cfRule type="expression" dxfId="105" priority="4">
      <formula>$D$38="简单平均"</formula>
    </cfRule>
  </conditionalFormatting>
  <conditionalFormatting sqref="H38">
    <cfRule type="expression" dxfId="104" priority="3">
      <formula>$D$38="简单平均"</formula>
    </cfRule>
  </conditionalFormatting>
  <conditionalFormatting sqref="J38">
    <cfRule type="expression" dxfId="103" priority="2">
      <formula>$D$38="简单平均"</formula>
    </cfRule>
  </conditionalFormatting>
  <conditionalFormatting sqref="F7:F36 H7:H36 J7:J36">
    <cfRule type="cellIs" dxfId="10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03"/>
      <c r="AC5" s="3703"/>
    </row>
    <row r="6" spans="1:29" ht="15.75" thickBot="1">
      <c r="A6" s="360"/>
      <c r="B6" s="361"/>
      <c r="C6" s="3722" t="s">
        <v>1677</v>
      </c>
      <c r="D6" s="3723"/>
      <c r="E6" s="3729" t="s">
        <v>1677</v>
      </c>
      <c r="F6" s="3730"/>
      <c r="G6" s="3722" t="s">
        <v>1677</v>
      </c>
      <c r="H6" s="3723"/>
      <c r="I6" s="3722" t="s">
        <v>1677</v>
      </c>
      <c r="J6" s="3723"/>
      <c r="K6" s="559" t="s">
        <v>1678</v>
      </c>
      <c r="L6" s="2715"/>
      <c r="M6" s="2716"/>
      <c r="N6" s="2716"/>
      <c r="O6" s="2716"/>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45243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6" t="s">
        <v>1683</v>
      </c>
      <c r="Q8" s="3727"/>
      <c r="R8" s="701" t="s">
        <v>14</v>
      </c>
      <c r="S8" s="702">
        <f t="shared" si="0"/>
        <v>100</v>
      </c>
      <c r="T8" s="701" t="s">
        <v>14</v>
      </c>
      <c r="U8" s="702">
        <f t="shared" si="1"/>
        <v>100</v>
      </c>
      <c r="V8" s="701" t="s">
        <v>14</v>
      </c>
      <c r="W8" s="702">
        <f t="shared" si="2"/>
        <v>100</v>
      </c>
      <c r="X8" s="703"/>
      <c r="Y8" s="3726" t="s">
        <v>1683</v>
      </c>
      <c r="Z8" s="372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0" t="s">
        <v>1686</v>
      </c>
      <c r="Q9" s="1343"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0"/>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0"/>
      <c r="Q11" s="1343">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3"/>
      <c r="Q15" s="1352"/>
      <c r="R15" s="705"/>
      <c r="S15" s="706"/>
      <c r="T15" s="705"/>
      <c r="U15" s="706"/>
      <c r="V15" s="705"/>
      <c r="W15" s="706"/>
      <c r="X15" s="1355"/>
      <c r="Y15" s="369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3"/>
      <c r="Q17" s="1352"/>
      <c r="R17" s="705"/>
      <c r="S17" s="706"/>
      <c r="T17" s="705"/>
      <c r="U17" s="706"/>
      <c r="V17" s="705"/>
      <c r="W17" s="706"/>
      <c r="X17" s="1355"/>
      <c r="Y17" s="369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3"/>
      <c r="Q19" s="1352"/>
      <c r="R19" s="705"/>
      <c r="S19" s="706"/>
      <c r="T19" s="705"/>
      <c r="U19" s="706"/>
      <c r="V19" s="705"/>
      <c r="W19" s="706"/>
      <c r="X19" s="1355"/>
      <c r="Y19" s="369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3"/>
      <c r="Q21" s="1352"/>
      <c r="R21" s="705"/>
      <c r="S21" s="706"/>
      <c r="T21" s="705"/>
      <c r="U21" s="706"/>
      <c r="V21" s="705"/>
      <c r="W21" s="706"/>
      <c r="X21" s="1355"/>
      <c r="Y21" s="369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7" t="s">
        <v>1696</v>
      </c>
      <c r="Q32" s="1352">
        <f t="shared" si="11"/>
        <v>111</v>
      </c>
      <c r="R32" s="705" t="s">
        <v>14</v>
      </c>
      <c r="S32" s="706">
        <f t="shared" si="12"/>
        <v>100</v>
      </c>
      <c r="T32" s="705" t="s">
        <v>14</v>
      </c>
      <c r="U32" s="706">
        <f t="shared" si="13"/>
        <v>100</v>
      </c>
      <c r="V32" s="705" t="s">
        <v>14</v>
      </c>
      <c r="W32" s="706">
        <f t="shared" si="14"/>
        <v>100</v>
      </c>
      <c r="X32" s="1355"/>
      <c r="Y32" s="369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7" t="str">
        <f>A37</f>
        <v>估价对象XX用房的比较价值（楼面单价，元/平方米）</v>
      </c>
      <c r="Q37" s="3688"/>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01" priority="18" stopIfTrue="1" operator="containsText" text="超过">
      <formula>NOT(ISERROR(SEARCH("超过",F40)))</formula>
    </cfRule>
  </conditionalFormatting>
  <conditionalFormatting sqref="J42">
    <cfRule type="containsText" dxfId="100" priority="17" stopIfTrue="1" operator="containsText" text="超过">
      <formula>NOT(ISERROR(SEARCH("超过",J42)))</formula>
    </cfRule>
  </conditionalFormatting>
  <conditionalFormatting sqref="H42">
    <cfRule type="containsText" dxfId="99" priority="16" stopIfTrue="1" operator="containsText" text="超过">
      <formula>NOT(ISERROR(SEARCH("超过",H42)))</formula>
    </cfRule>
  </conditionalFormatting>
  <conditionalFormatting sqref="F42">
    <cfRule type="containsText" dxfId="98" priority="15" stopIfTrue="1" operator="containsText" text="超过">
      <formula>NOT(ISERROR(SEARCH("超过",F42)))</formula>
    </cfRule>
  </conditionalFormatting>
  <conditionalFormatting sqref="F41 H41 J41">
    <cfRule type="containsText" dxfId="97" priority="14" stopIfTrue="1" operator="containsText" text="超过">
      <formula>NOT(ISERROR(SEARCH("超过",F41)))</formula>
    </cfRule>
  </conditionalFormatting>
  <conditionalFormatting sqref="E40">
    <cfRule type="expression" dxfId="96" priority="13" stopIfTrue="1">
      <formula>$F$40="超过30%"</formula>
    </cfRule>
  </conditionalFormatting>
  <conditionalFormatting sqref="G42">
    <cfRule type="expression" dxfId="95" priority="12" stopIfTrue="1">
      <formula>$H$54+$H$42="超过30%"</formula>
    </cfRule>
  </conditionalFormatting>
  <conditionalFormatting sqref="E41">
    <cfRule type="expression" dxfId="94" priority="11" stopIfTrue="1">
      <formula>$F$41="超过20%"</formula>
    </cfRule>
  </conditionalFormatting>
  <conditionalFormatting sqref="E42">
    <cfRule type="expression" dxfId="93" priority="10" stopIfTrue="1">
      <formula>$F$42="超过30%"</formula>
    </cfRule>
  </conditionalFormatting>
  <conditionalFormatting sqref="G40">
    <cfRule type="expression" dxfId="92" priority="9" stopIfTrue="1">
      <formula>$H$52+$H$40="超过30%"</formula>
    </cfRule>
  </conditionalFormatting>
  <conditionalFormatting sqref="G41">
    <cfRule type="expression" dxfId="91" priority="8" stopIfTrue="1">
      <formula>$H$53+$H$41="超过20%"</formula>
    </cfRule>
  </conditionalFormatting>
  <conditionalFormatting sqref="I40">
    <cfRule type="expression" dxfId="90" priority="7" stopIfTrue="1">
      <formula>$J$40="超过30%"</formula>
    </cfRule>
  </conditionalFormatting>
  <conditionalFormatting sqref="I41">
    <cfRule type="expression" dxfId="89" priority="6" stopIfTrue="1">
      <formula>$J$41="超过20%"</formula>
    </cfRule>
  </conditionalFormatting>
  <conditionalFormatting sqref="I42">
    <cfRule type="expression" dxfId="88" priority="5" stopIfTrue="1">
      <formula>$J$42="超过30%"</formula>
    </cfRule>
  </conditionalFormatting>
  <conditionalFormatting sqref="F36">
    <cfRule type="expression" dxfId="87" priority="4">
      <formula>$D$36="简单平均"</formula>
    </cfRule>
  </conditionalFormatting>
  <conditionalFormatting sqref="H36">
    <cfRule type="expression" dxfId="86" priority="3">
      <formula>$D$36="简单平均"</formula>
    </cfRule>
  </conditionalFormatting>
  <conditionalFormatting sqref="J36">
    <cfRule type="expression" dxfId="85" priority="2">
      <formula>$D$36="简单平均"</formula>
    </cfRule>
  </conditionalFormatting>
  <conditionalFormatting sqref="F7:F34 H7:H34 J7:J34">
    <cfRule type="cellIs" dxfId="8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30"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03"/>
      <c r="AC5" s="3703"/>
    </row>
    <row r="6" spans="1:30" ht="15.75" thickBot="1">
      <c r="A6" s="360"/>
      <c r="B6" s="361"/>
      <c r="C6" s="3722" t="s">
        <v>1677</v>
      </c>
      <c r="D6" s="3723"/>
      <c r="E6" s="3729" t="s">
        <v>1677</v>
      </c>
      <c r="F6" s="3730"/>
      <c r="G6" s="3722" t="s">
        <v>1677</v>
      </c>
      <c r="H6" s="3723"/>
      <c r="I6" s="3722" t="s">
        <v>1677</v>
      </c>
      <c r="J6" s="3723"/>
      <c r="K6" s="559" t="s">
        <v>1678</v>
      </c>
      <c r="L6" s="2715"/>
      <c r="M6" s="2716"/>
      <c r="N6" s="2716"/>
      <c r="O6" s="2716"/>
      <c r="P6" s="3713"/>
      <c r="Q6" s="3714"/>
      <c r="R6" s="3717"/>
      <c r="S6" s="3718"/>
      <c r="T6" s="3719"/>
      <c r="U6" s="3720"/>
      <c r="V6" s="3721"/>
      <c r="W6" s="3721"/>
      <c r="X6" s="1355"/>
      <c r="Y6" s="3719"/>
      <c r="Z6" s="3720"/>
      <c r="AA6" s="3704"/>
      <c r="AB6" s="3704"/>
      <c r="AC6" s="3704"/>
    </row>
    <row r="7" spans="1:30" s="108" customFormat="1" ht="15.75" thickBot="1">
      <c r="A7" s="362" t="s">
        <v>1679</v>
      </c>
      <c r="B7" s="363"/>
      <c r="C7" s="364">
        <f>'数据-取费表'!B2</f>
        <v>45243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6" t="s">
        <v>1683</v>
      </c>
      <c r="Q8" s="3727"/>
      <c r="R8" s="701" t="s">
        <v>14</v>
      </c>
      <c r="S8" s="702">
        <f t="shared" si="0"/>
        <v>0</v>
      </c>
      <c r="T8" s="701" t="s">
        <v>14</v>
      </c>
      <c r="U8" s="702">
        <f t="shared" si="1"/>
        <v>0</v>
      </c>
      <c r="V8" s="701" t="s">
        <v>14</v>
      </c>
      <c r="W8" s="702">
        <f t="shared" si="2"/>
        <v>0</v>
      </c>
      <c r="X8" s="703"/>
      <c r="Y8" s="3726" t="s">
        <v>1683</v>
      </c>
      <c r="Z8" s="372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20"/>
      <c r="L10" s="2719"/>
      <c r="M10" s="2720"/>
      <c r="N10" s="2720"/>
      <c r="O10" s="2773"/>
      <c r="P10" s="3690"/>
      <c r="Q10" s="1343" t="str">
        <f t="shared" si="6"/>
        <v>土地使用年限（年）</v>
      </c>
      <c r="R10" s="701" t="s">
        <v>14</v>
      </c>
      <c r="S10" s="702">
        <f t="shared" si="0"/>
        <v>152</v>
      </c>
      <c r="T10" s="701" t="s">
        <v>14</v>
      </c>
      <c r="U10" s="702">
        <f t="shared" si="1"/>
        <v>152</v>
      </c>
      <c r="V10" s="701" t="s">
        <v>14</v>
      </c>
      <c r="W10" s="702">
        <f t="shared" si="2"/>
        <v>152</v>
      </c>
      <c r="X10" s="703"/>
      <c r="Y10" s="3565"/>
      <c r="Z10" s="52" t="str">
        <f t="shared" si="7"/>
        <v>土地使用年限（年）</v>
      </c>
      <c r="AA10" s="704">
        <f t="shared" si="3"/>
        <v>0.65789473684210531</v>
      </c>
      <c r="AB10" s="704">
        <f t="shared" si="4"/>
        <v>0.65789473684210531</v>
      </c>
      <c r="AC10" s="704">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0"/>
      <c r="Q12" s="1343" t="str">
        <f t="shared" si="6"/>
        <v>配建</v>
      </c>
      <c r="R12" s="701" t="s">
        <v>14</v>
      </c>
      <c r="S12" s="702">
        <f t="shared" si="0"/>
        <v>100</v>
      </c>
      <c r="T12" s="701" t="s">
        <v>14</v>
      </c>
      <c r="U12" s="702">
        <f t="shared" si="1"/>
        <v>100</v>
      </c>
      <c r="V12" s="701" t="s">
        <v>14</v>
      </c>
      <c r="W12" s="702">
        <f t="shared" si="2"/>
        <v>100</v>
      </c>
      <c r="X12" s="703"/>
      <c r="Y12" s="356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56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2" t="s">
        <v>1691</v>
      </c>
      <c r="Q15" s="1352" t="str">
        <f t="shared" si="6"/>
        <v>居住社区成熟度</v>
      </c>
      <c r="R15" s="705" t="s">
        <v>14</v>
      </c>
      <c r="S15" s="706">
        <f t="shared" si="0"/>
        <v>100</v>
      </c>
      <c r="T15" s="705" t="s">
        <v>14</v>
      </c>
      <c r="U15" s="706">
        <f t="shared" si="1"/>
        <v>100</v>
      </c>
      <c r="V15" s="705" t="s">
        <v>14</v>
      </c>
      <c r="W15" s="706">
        <f t="shared" si="2"/>
        <v>100</v>
      </c>
      <c r="X15" s="1355"/>
      <c r="Y15" s="369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3"/>
      <c r="Q16" s="1352"/>
      <c r="R16" s="705"/>
      <c r="S16" s="706"/>
      <c r="T16" s="705"/>
      <c r="U16" s="706"/>
      <c r="V16" s="705"/>
      <c r="W16" s="706"/>
      <c r="X16" s="1355"/>
      <c r="Y16" s="369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3"/>
      <c r="Q18" s="1352"/>
      <c r="R18" s="705"/>
      <c r="S18" s="706"/>
      <c r="T18" s="705"/>
      <c r="U18" s="706"/>
      <c r="V18" s="705"/>
      <c r="W18" s="706"/>
      <c r="X18" s="1355"/>
      <c r="Y18" s="369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3"/>
      <c r="Q20" s="1352"/>
      <c r="R20" s="705"/>
      <c r="S20" s="706"/>
      <c r="T20" s="705"/>
      <c r="U20" s="706"/>
      <c r="V20" s="705"/>
      <c r="W20" s="706"/>
      <c r="X20" s="1355"/>
      <c r="Y20" s="369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3"/>
      <c r="Q22" s="1352"/>
      <c r="R22" s="705"/>
      <c r="S22" s="706"/>
      <c r="T22" s="705"/>
      <c r="U22" s="706"/>
      <c r="V22" s="705"/>
      <c r="W22" s="706"/>
      <c r="X22" s="1355"/>
      <c r="Y22" s="369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3"/>
      <c r="Q24" s="1352"/>
      <c r="R24" s="705"/>
      <c r="S24" s="706"/>
      <c r="T24" s="705"/>
      <c r="U24" s="706"/>
      <c r="V24" s="705"/>
      <c r="W24" s="706"/>
      <c r="X24" s="1355"/>
      <c r="Y24" s="369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3"/>
      <c r="Q26" s="1352"/>
      <c r="R26" s="705"/>
      <c r="S26" s="706"/>
      <c r="T26" s="705"/>
      <c r="U26" s="706"/>
      <c r="V26" s="705"/>
      <c r="W26" s="706"/>
      <c r="X26" s="1355"/>
      <c r="Y26" s="369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3"/>
      <c r="Q28" s="1343"/>
      <c r="R28" s="701"/>
      <c r="S28" s="702"/>
      <c r="T28" s="701"/>
      <c r="U28" s="702"/>
      <c r="V28" s="701"/>
      <c r="W28" s="702"/>
      <c r="X28" s="703"/>
      <c r="Y28" s="369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3"/>
      <c r="Q30" s="1343"/>
      <c r="R30" s="701"/>
      <c r="S30" s="702"/>
      <c r="T30" s="701"/>
      <c r="U30" s="702"/>
      <c r="V30" s="701"/>
      <c r="W30" s="702"/>
      <c r="X30" s="703"/>
      <c r="Y30" s="369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3"/>
      <c r="Q33" s="1352"/>
      <c r="R33" s="705"/>
      <c r="S33" s="706"/>
      <c r="T33" s="705"/>
      <c r="U33" s="706"/>
      <c r="V33" s="705"/>
      <c r="W33" s="706"/>
      <c r="X33" s="1355"/>
      <c r="Y33" s="369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8" t="s">
        <v>1696</v>
      </c>
      <c r="Q36" s="1352">
        <f t="shared" si="8"/>
        <v>111</v>
      </c>
      <c r="R36" s="705" t="s">
        <v>14</v>
      </c>
      <c r="S36" s="706">
        <f t="shared" si="10"/>
        <v>100</v>
      </c>
      <c r="T36" s="705" t="s">
        <v>14</v>
      </c>
      <c r="U36" s="706">
        <f t="shared" si="11"/>
        <v>100</v>
      </c>
      <c r="V36" s="705" t="s">
        <v>14</v>
      </c>
      <c r="W36" s="706">
        <f t="shared" si="12"/>
        <v>100</v>
      </c>
      <c r="X36" s="1355"/>
      <c r="Y36" s="369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7" t="s">
        <v>1696</v>
      </c>
      <c r="Q42" s="1352" t="str">
        <f t="shared" si="14"/>
        <v>工程地质条件</v>
      </c>
      <c r="R42" s="705" t="s">
        <v>14</v>
      </c>
      <c r="S42" s="706">
        <f t="shared" si="10"/>
        <v>100</v>
      </c>
      <c r="T42" s="705" t="s">
        <v>14</v>
      </c>
      <c r="U42" s="706">
        <f t="shared" si="11"/>
        <v>100</v>
      </c>
      <c r="V42" s="705" t="s">
        <v>14</v>
      </c>
      <c r="W42" s="706">
        <f t="shared" si="12"/>
        <v>100</v>
      </c>
      <c r="X42" s="1355"/>
      <c r="Y42" s="369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0" t="str">
        <f>A46</f>
        <v>成交单价</v>
      </c>
      <c r="Q46" s="3690"/>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0" t="str">
        <f>A47</f>
        <v>比较价值（元/平方米）</v>
      </c>
      <c r="Q47" s="3690"/>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7" t="str">
        <f>A48</f>
        <v>估价对象XX用房的比较价值（楼面单价，元/平方米）</v>
      </c>
      <c r="Q48" s="3688"/>
      <c r="R48" s="3751" t="e">
        <f>ROUND(IF(D47="简单平均",AVERAGE(R47:W47),R47*F47+T47*H47+V47*J47),0)</f>
        <v>#DIV/0!</v>
      </c>
      <c r="S48" s="3751"/>
      <c r="T48" s="3751"/>
      <c r="U48" s="3751"/>
      <c r="V48" s="3751"/>
      <c r="W48" s="375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5" t="s">
        <v>1887</v>
      </c>
      <c r="H55" s="375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17646.37</v>
      </c>
      <c r="F56" s="886" t="e">
        <f t="shared" ref="F56:F64" si="15">ROUND(B56*E56/10000,0)</f>
        <v>#DIV/0!</v>
      </c>
      <c r="G56" s="3701"/>
      <c r="H56" s="369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1207.6400000000001</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7277.21</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26131.219999999998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83" priority="18" stopIfTrue="1" operator="containsText" text="超过">
      <formula>NOT(ISERROR(SEARCH("超过",F51)))</formula>
    </cfRule>
  </conditionalFormatting>
  <conditionalFormatting sqref="J53">
    <cfRule type="containsText" dxfId="82" priority="17" stopIfTrue="1" operator="containsText" text="超过">
      <formula>NOT(ISERROR(SEARCH("超过",J53)))</formula>
    </cfRule>
  </conditionalFormatting>
  <conditionalFormatting sqref="H53">
    <cfRule type="containsText" dxfId="81" priority="16" stopIfTrue="1" operator="containsText" text="超过">
      <formula>NOT(ISERROR(SEARCH("超过",H53)))</formula>
    </cfRule>
  </conditionalFormatting>
  <conditionalFormatting sqref="F53">
    <cfRule type="containsText" dxfId="80" priority="15" stopIfTrue="1" operator="containsText" text="超过">
      <formula>NOT(ISERROR(SEARCH("超过",F53)))</formula>
    </cfRule>
  </conditionalFormatting>
  <conditionalFormatting sqref="F52 H52 J52">
    <cfRule type="containsText" dxfId="79" priority="14" stopIfTrue="1" operator="containsText" text="超过">
      <formula>NOT(ISERROR(SEARCH("超过",F52)))</formula>
    </cfRule>
  </conditionalFormatting>
  <conditionalFormatting sqref="E51">
    <cfRule type="expression" dxfId="78" priority="13" stopIfTrue="1">
      <formula>$F$51="超过30%"</formula>
    </cfRule>
  </conditionalFormatting>
  <conditionalFormatting sqref="G53">
    <cfRule type="expression" dxfId="77" priority="12" stopIfTrue="1">
      <formula>$H$53="超过30%"</formula>
    </cfRule>
  </conditionalFormatting>
  <conditionalFormatting sqref="E52">
    <cfRule type="expression" dxfId="76" priority="11" stopIfTrue="1">
      <formula>$F$52="超过20%"</formula>
    </cfRule>
  </conditionalFormatting>
  <conditionalFormatting sqref="E53">
    <cfRule type="expression" dxfId="75" priority="10" stopIfTrue="1">
      <formula>$F$53="超过30%"</formula>
    </cfRule>
  </conditionalFormatting>
  <conditionalFormatting sqref="G51">
    <cfRule type="expression" dxfId="74" priority="9" stopIfTrue="1">
      <formula>$H$53+$H$51="超过30%"</formula>
    </cfRule>
  </conditionalFormatting>
  <conditionalFormatting sqref="G52">
    <cfRule type="expression" dxfId="73" priority="8" stopIfTrue="1">
      <formula>$H$52="超过20%"</formula>
    </cfRule>
  </conditionalFormatting>
  <conditionalFormatting sqref="I51">
    <cfRule type="expression" dxfId="72" priority="7" stopIfTrue="1">
      <formula>$J$51="超过30%"</formula>
    </cfRule>
  </conditionalFormatting>
  <conditionalFormatting sqref="I52">
    <cfRule type="expression" dxfId="71" priority="6" stopIfTrue="1">
      <formula>$J$52="超过20%"</formula>
    </cfRule>
  </conditionalFormatting>
  <conditionalFormatting sqref="I53">
    <cfRule type="expression" dxfId="70" priority="5" stopIfTrue="1">
      <formula>$J$53="超过30%"</formula>
    </cfRule>
  </conditionalFormatting>
  <conditionalFormatting sqref="F47">
    <cfRule type="expression" dxfId="69" priority="4">
      <formula>$D$47="简单平均"</formula>
    </cfRule>
  </conditionalFormatting>
  <conditionalFormatting sqref="H47">
    <cfRule type="expression" dxfId="68" priority="3">
      <formula>$D$47="简单平均"</formula>
    </cfRule>
  </conditionalFormatting>
  <conditionalFormatting sqref="J47">
    <cfRule type="expression" dxfId="67" priority="2">
      <formula>$D$47="简单平均"</formula>
    </cfRule>
  </conditionalFormatting>
  <conditionalFormatting sqref="F7:F45 H7:H45 J7:J45">
    <cfRule type="cellIs" dxfId="6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R21" sqref="R2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5"/>
      <c r="M4" s="2716"/>
      <c r="N4" s="2716"/>
      <c r="O4" s="2716"/>
      <c r="P4" s="3709" t="s">
        <v>1775</v>
      </c>
      <c r="Q4" s="3710"/>
      <c r="R4" s="3715" t="s">
        <v>1771</v>
      </c>
      <c r="S4" s="3716"/>
      <c r="T4" s="3715" t="s">
        <v>1772</v>
      </c>
      <c r="U4" s="3716"/>
      <c r="V4" s="3721" t="s">
        <v>1773</v>
      </c>
      <c r="W4" s="3721"/>
      <c r="X4" s="1355"/>
      <c r="Y4" s="3715" t="s">
        <v>1775</v>
      </c>
      <c r="Z4" s="3716"/>
      <c r="AA4" s="3702" t="s">
        <v>1771</v>
      </c>
      <c r="AB4" s="3703" t="s">
        <v>1772</v>
      </c>
      <c r="AC4" s="3702" t="s">
        <v>1773</v>
      </c>
    </row>
    <row r="5" spans="1:29" ht="15">
      <c r="A5" s="358"/>
      <c r="B5" s="359"/>
      <c r="C5" s="3724" t="s">
        <v>1673</v>
      </c>
      <c r="D5" s="3725"/>
      <c r="E5" s="3731" t="s">
        <v>1674</v>
      </c>
      <c r="F5" s="3732"/>
      <c r="G5" s="3724" t="s">
        <v>1675</v>
      </c>
      <c r="H5" s="3725"/>
      <c r="I5" s="3724" t="s">
        <v>1676</v>
      </c>
      <c r="J5" s="3725"/>
      <c r="K5" s="559"/>
      <c r="L5" s="2715"/>
      <c r="M5" s="2716"/>
      <c r="N5" s="2716"/>
      <c r="O5" s="2716"/>
      <c r="P5" s="3711"/>
      <c r="Q5" s="3712"/>
      <c r="R5" s="3717"/>
      <c r="S5" s="3718"/>
      <c r="T5" s="3717"/>
      <c r="U5" s="3718"/>
      <c r="V5" s="3721"/>
      <c r="W5" s="3721"/>
      <c r="X5" s="1355"/>
      <c r="Y5" s="3717"/>
      <c r="Z5" s="3718"/>
      <c r="AA5" s="3703"/>
      <c r="AB5" s="3703"/>
      <c r="AC5" s="3703"/>
    </row>
    <row r="6" spans="1:29" ht="15.75" thickBot="1">
      <c r="A6" s="360"/>
      <c r="B6" s="361"/>
      <c r="C6" s="3753" t="s">
        <v>1919</v>
      </c>
      <c r="D6" s="3754"/>
      <c r="E6" s="3755" t="s">
        <v>1919</v>
      </c>
      <c r="F6" s="3756"/>
      <c r="G6" s="3753" t="s">
        <v>1919</v>
      </c>
      <c r="H6" s="3754"/>
      <c r="I6" s="3753" t="s">
        <v>1919</v>
      </c>
      <c r="J6" s="3754"/>
      <c r="K6" s="559" t="s">
        <v>1678</v>
      </c>
      <c r="L6" s="2715"/>
      <c r="M6" s="2716"/>
      <c r="N6" s="2716"/>
      <c r="O6" s="2716"/>
      <c r="P6" s="3713"/>
      <c r="Q6" s="3714"/>
      <c r="R6" s="3717"/>
      <c r="S6" s="3718"/>
      <c r="T6" s="3719"/>
      <c r="U6" s="3720"/>
      <c r="V6" s="3721"/>
      <c r="W6" s="3721"/>
      <c r="X6" s="1355"/>
      <c r="Y6" s="3719"/>
      <c r="Z6" s="3720"/>
      <c r="AA6" s="3704"/>
      <c r="AB6" s="3704"/>
      <c r="AC6" s="3704"/>
    </row>
    <row r="7" spans="1:29" s="108" customFormat="1" ht="15.75" thickBot="1">
      <c r="A7" s="362" t="s">
        <v>1679</v>
      </c>
      <c r="B7" s="363"/>
      <c r="C7" s="364">
        <f>'数据-取费表'!B2</f>
        <v>45243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6" t="s">
        <v>1683</v>
      </c>
      <c r="Q8" s="3727"/>
      <c r="R8" s="701" t="s">
        <v>14</v>
      </c>
      <c r="S8" s="702">
        <f t="shared" si="0"/>
        <v>0</v>
      </c>
      <c r="T8" s="701" t="s">
        <v>14</v>
      </c>
      <c r="U8" s="702">
        <f t="shared" si="1"/>
        <v>0</v>
      </c>
      <c r="V8" s="701" t="s">
        <v>14</v>
      </c>
      <c r="W8" s="702">
        <f t="shared" si="2"/>
        <v>0</v>
      </c>
      <c r="X8" s="703"/>
      <c r="Y8" s="3726" t="s">
        <v>1683</v>
      </c>
      <c r="Z8" s="372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20"/>
      <c r="L10" s="2719"/>
      <c r="M10" s="2720"/>
      <c r="N10" s="2720"/>
      <c r="O10" s="2773"/>
      <c r="P10" s="3690"/>
      <c r="Q10" s="1343" t="str">
        <f t="shared" si="6"/>
        <v>土地使用年限（年）</v>
      </c>
      <c r="R10" s="701" t="s">
        <v>14</v>
      </c>
      <c r="S10" s="702">
        <f t="shared" si="0"/>
        <v>152</v>
      </c>
      <c r="T10" s="701" t="s">
        <v>14</v>
      </c>
      <c r="U10" s="702">
        <f t="shared" si="1"/>
        <v>152</v>
      </c>
      <c r="V10" s="701" t="s">
        <v>14</v>
      </c>
      <c r="W10" s="702">
        <f t="shared" si="2"/>
        <v>152</v>
      </c>
      <c r="X10" s="703"/>
      <c r="Y10" s="3565"/>
      <c r="Z10" s="52" t="str">
        <f t="shared" si="7"/>
        <v>土地使用年限（年）</v>
      </c>
      <c r="AA10" s="704">
        <f t="shared" si="3"/>
        <v>0.65789473684210531</v>
      </c>
      <c r="AB10" s="704">
        <f t="shared" si="4"/>
        <v>0.65789473684210531</v>
      </c>
      <c r="AC10" s="704">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3"/>
      <c r="Q16" s="1352"/>
      <c r="R16" s="705"/>
      <c r="S16" s="706"/>
      <c r="T16" s="705"/>
      <c r="U16" s="706"/>
      <c r="V16" s="705"/>
      <c r="W16" s="706"/>
      <c r="X16" s="1355"/>
      <c r="Y16" s="369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3"/>
      <c r="Q18" s="1352"/>
      <c r="R18" s="705"/>
      <c r="S18" s="706"/>
      <c r="T18" s="705"/>
      <c r="U18" s="706"/>
      <c r="V18" s="705"/>
      <c r="W18" s="706"/>
      <c r="X18" s="1355"/>
      <c r="Y18" s="369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3"/>
      <c r="Q20" s="1352"/>
      <c r="R20" s="705"/>
      <c r="S20" s="706"/>
      <c r="T20" s="705"/>
      <c r="U20" s="706"/>
      <c r="V20" s="705"/>
      <c r="W20" s="706"/>
      <c r="X20" s="1355"/>
      <c r="Y20" s="369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3"/>
      <c r="Q22" s="1352"/>
      <c r="R22" s="705"/>
      <c r="S22" s="706"/>
      <c r="T22" s="705"/>
      <c r="U22" s="706"/>
      <c r="V22" s="705"/>
      <c r="W22" s="706"/>
      <c r="X22" s="1355"/>
      <c r="Y22" s="369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3"/>
      <c r="Q24" s="1343"/>
      <c r="R24" s="701"/>
      <c r="S24" s="702"/>
      <c r="T24" s="701"/>
      <c r="U24" s="702"/>
      <c r="V24" s="701"/>
      <c r="W24" s="702"/>
      <c r="X24" s="703"/>
      <c r="Y24" s="369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3"/>
      <c r="Q26" s="1343"/>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3"/>
      <c r="Q29" s="1352"/>
      <c r="R29" s="705"/>
      <c r="S29" s="706"/>
      <c r="T29" s="705"/>
      <c r="U29" s="706"/>
      <c r="V29" s="705"/>
      <c r="W29" s="706"/>
      <c r="X29" s="1355"/>
      <c r="Y29" s="369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8" t="s">
        <v>1696</v>
      </c>
      <c r="Q32" s="1352">
        <f t="shared" si="8"/>
        <v>111</v>
      </c>
      <c r="R32" s="705" t="s">
        <v>14</v>
      </c>
      <c r="S32" s="706">
        <f t="shared" si="10"/>
        <v>100</v>
      </c>
      <c r="T32" s="705" t="s">
        <v>14</v>
      </c>
      <c r="U32" s="706">
        <f t="shared" si="11"/>
        <v>100</v>
      </c>
      <c r="V32" s="705" t="s">
        <v>14</v>
      </c>
      <c r="W32" s="706">
        <f t="shared" si="12"/>
        <v>100</v>
      </c>
      <c r="X32" s="1355"/>
      <c r="Y32" s="369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7" t="s">
        <v>1696</v>
      </c>
      <c r="Q37" s="1352" t="str">
        <f t="shared" si="14"/>
        <v>工程地质条件</v>
      </c>
      <c r="R37" s="705" t="s">
        <v>14</v>
      </c>
      <c r="S37" s="706">
        <f t="shared" si="10"/>
        <v>100</v>
      </c>
      <c r="T37" s="705" t="s">
        <v>14</v>
      </c>
      <c r="U37" s="706">
        <f t="shared" si="11"/>
        <v>100</v>
      </c>
      <c r="V37" s="705" t="s">
        <v>14</v>
      </c>
      <c r="W37" s="706">
        <f t="shared" si="12"/>
        <v>100</v>
      </c>
      <c r="X37" s="1355"/>
      <c r="Y37" s="369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0" t="str">
        <f>A41</f>
        <v>成交单价</v>
      </c>
      <c r="Q41" s="3690"/>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0" t="str">
        <f>A42</f>
        <v>比较价值（元/平方米）</v>
      </c>
      <c r="Q42" s="3690"/>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7" t="str">
        <f>A43</f>
        <v>估价对象XX用房的比较价值（楼面单价，元/平方米）</v>
      </c>
      <c r="Q43" s="3688"/>
      <c r="R43" s="3751" t="e">
        <f>ROUND(IF(D42="简单平均",AVERAGE(R42:W42),R42*F42+T42*H42+V42*J42),0)</f>
        <v>#DIV/0!</v>
      </c>
      <c r="S43" s="3751"/>
      <c r="T43" s="3751"/>
      <c r="U43" s="3751"/>
      <c r="V43" s="3751"/>
      <c r="W43" s="375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5" t="s">
        <v>1887</v>
      </c>
      <c r="H50" s="375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17646.37</v>
      </c>
      <c r="F51" s="639" t="e">
        <f t="shared" ref="F51:F60" si="15">ROUND(B51*E51/10000,0)</f>
        <v>#DIV/0!</v>
      </c>
      <c r="G51" s="3701"/>
      <c r="H51" s="369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1207.6400000000001</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7277.21</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65" priority="18" stopIfTrue="1" operator="containsText" text="超过">
      <formula>NOT(ISERROR(SEARCH("超过",F46)))</formula>
    </cfRule>
  </conditionalFormatting>
  <conditionalFormatting sqref="J48">
    <cfRule type="containsText" dxfId="64" priority="17" stopIfTrue="1" operator="containsText" text="超过">
      <formula>NOT(ISERROR(SEARCH("超过",J48)))</formula>
    </cfRule>
  </conditionalFormatting>
  <conditionalFormatting sqref="H48">
    <cfRule type="containsText" dxfId="63" priority="16" stopIfTrue="1" operator="containsText" text="超过">
      <formula>NOT(ISERROR(SEARCH("超过",H48)))</formula>
    </cfRule>
  </conditionalFormatting>
  <conditionalFormatting sqref="F48">
    <cfRule type="containsText" dxfId="62" priority="15" stopIfTrue="1" operator="containsText" text="超过">
      <formula>NOT(ISERROR(SEARCH("超过",F48)))</formula>
    </cfRule>
  </conditionalFormatting>
  <conditionalFormatting sqref="F47 H47 J47">
    <cfRule type="containsText" dxfId="61" priority="14" stopIfTrue="1" operator="containsText" text="超过">
      <formula>NOT(ISERROR(SEARCH("超过",F47)))</formula>
    </cfRule>
  </conditionalFormatting>
  <conditionalFormatting sqref="E46">
    <cfRule type="expression" dxfId="60" priority="13" stopIfTrue="1">
      <formula>$F$46="超过30%"</formula>
    </cfRule>
  </conditionalFormatting>
  <conditionalFormatting sqref="G48">
    <cfRule type="expression" dxfId="59" priority="12" stopIfTrue="1">
      <formula>$H$48="超过30%"</formula>
    </cfRule>
  </conditionalFormatting>
  <conditionalFormatting sqref="E48">
    <cfRule type="expression" dxfId="58" priority="10" stopIfTrue="1">
      <formula>$F$48="超过30%"</formula>
    </cfRule>
  </conditionalFormatting>
  <conditionalFormatting sqref="G46">
    <cfRule type="expression" dxfId="57" priority="9" stopIfTrue="1">
      <formula>$H$46="超过30%"</formula>
    </cfRule>
  </conditionalFormatting>
  <conditionalFormatting sqref="G47">
    <cfRule type="expression" dxfId="56" priority="8" stopIfTrue="1">
      <formula>$H$47="超过20%"</formula>
    </cfRule>
  </conditionalFormatting>
  <conditionalFormatting sqref="I46">
    <cfRule type="expression" dxfId="55" priority="7" stopIfTrue="1">
      <formula>$J$46="超过30%"</formula>
    </cfRule>
  </conditionalFormatting>
  <conditionalFormatting sqref="I47">
    <cfRule type="expression" dxfId="54" priority="6" stopIfTrue="1">
      <formula>$J$47="超过20%"</formula>
    </cfRule>
  </conditionalFormatting>
  <conditionalFormatting sqref="I48">
    <cfRule type="expression" dxfId="53" priority="5" stopIfTrue="1">
      <formula>$J$48="超过30%"</formula>
    </cfRule>
  </conditionalFormatting>
  <conditionalFormatting sqref="E47">
    <cfRule type="expression" dxfId="52" priority="53" stopIfTrue="1">
      <formula>#REF!+$F$47="超过20%"</formula>
    </cfRule>
  </conditionalFormatting>
  <conditionalFormatting sqref="F42">
    <cfRule type="expression" dxfId="51" priority="4">
      <formula>$D$42="简单平均"</formula>
    </cfRule>
  </conditionalFormatting>
  <conditionalFormatting sqref="H42">
    <cfRule type="expression" dxfId="50" priority="3">
      <formula>$D$42="简单平均"</formula>
    </cfRule>
  </conditionalFormatting>
  <conditionalFormatting sqref="J42">
    <cfRule type="expression" dxfId="49" priority="2">
      <formula>$D$42="简单平均"</formula>
    </cfRule>
  </conditionalFormatting>
  <conditionalFormatting sqref="F7:F40 H7:H40 J7:J40">
    <cfRule type="cellIs" dxfId="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t="e">
        <f ca="1">结果表!H101</f>
        <v>#REF!</v>
      </c>
      <c r="E5" s="1491"/>
    </row>
    <row r="6" spans="1:5" ht="15.75">
      <c r="A6" s="1491"/>
      <c r="B6" s="3477"/>
      <c r="C6" s="1494" t="s">
        <v>911</v>
      </c>
      <c r="D6" s="850" t="e">
        <f ca="1">NUMBERSTRING(INT(D5*10000),2)&amp;"元整"</f>
        <v>#REF!</v>
      </c>
      <c r="E6" s="1491"/>
    </row>
    <row r="7" spans="1:5" ht="15.75">
      <c r="A7" s="1491"/>
      <c r="B7" s="3482"/>
      <c r="C7" s="1495" t="s">
        <v>912</v>
      </c>
      <c r="D7" s="851" t="e">
        <f ca="1">结果表!H102</f>
        <v>#REF!</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t="e">
        <f ca="1">结果表!H107</f>
        <v>#REF!</v>
      </c>
      <c r="E13" s="1491"/>
    </row>
    <row r="14" spans="1:5" ht="15.75">
      <c r="A14" s="1491"/>
      <c r="B14" s="3477"/>
      <c r="C14" s="1494" t="s">
        <v>911</v>
      </c>
      <c r="D14" s="850" t="e">
        <f ca="1">NUMBERSTRING(INT(D13*10000),2)&amp;"元整"</f>
        <v>#REF!</v>
      </c>
      <c r="E14" s="1491"/>
    </row>
    <row r="15" spans="1:5" ht="15">
      <c r="A15" s="1491"/>
      <c r="B15" s="3482"/>
      <c r="C15" s="1495" t="s">
        <v>921</v>
      </c>
      <c r="D15" s="859" t="e">
        <f ca="1">结果表!H108</f>
        <v>#REF!</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4" sqref="U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9" style="725"/>
    <col min="21" max="21" width="12.125" style="725" bestFit="1" customWidth="1"/>
    <col min="22"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3434</v>
      </c>
      <c r="D17" s="1011" t="s">
        <v>3431</v>
      </c>
      <c r="E17" s="1011" t="s">
        <v>3432</v>
      </c>
      <c r="F17" s="1011" t="s">
        <v>3435</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40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93888</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51008</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18406.539999999997</v>
      </c>
      <c r="C22" s="3757" t="s">
        <v>27</v>
      </c>
      <c r="D22" s="3758"/>
      <c r="E22" s="3758"/>
      <c r="F22" s="3758"/>
      <c r="G22" s="3758"/>
      <c r="H22" s="3758"/>
      <c r="I22" s="3758"/>
      <c r="J22" s="3758"/>
      <c r="K22" s="3758"/>
      <c r="L22" s="3758"/>
      <c r="M22" s="3758"/>
      <c r="N22" s="3758"/>
      <c r="O22" s="3758"/>
      <c r="P22" s="3758"/>
      <c r="Q22" s="3759"/>
      <c r="R22" s="663">
        <f>ROUND(S22*10000/B22,0)</f>
        <v>51008</v>
      </c>
      <c r="S22" s="21">
        <f>SUM(S24:S10000)</f>
        <v>93888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f>51000/70000</f>
        <v>0.72857142857142854</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815" t="s">
        <v>3430</v>
      </c>
      <c r="B24" s="665">
        <f>'数据-取费表'!T19</f>
        <v>4691.97</v>
      </c>
      <c r="C24" s="2810">
        <v>1</v>
      </c>
      <c r="D24" s="2811"/>
      <c r="E24" s="2810">
        <v>1</v>
      </c>
      <c r="F24" s="2811"/>
      <c r="G24" s="2810">
        <v>1</v>
      </c>
      <c r="H24" s="2811"/>
      <c r="I24" s="2810">
        <v>1</v>
      </c>
      <c r="J24" s="2811"/>
      <c r="K24" s="2810">
        <v>1</v>
      </c>
      <c r="L24" s="2811"/>
      <c r="M24" s="2810">
        <v>1</v>
      </c>
      <c r="N24" s="2811"/>
      <c r="O24" s="2810">
        <v>1</v>
      </c>
      <c r="P24" s="2811" t="s">
        <v>3429</v>
      </c>
      <c r="Q24" s="2810">
        <v>1</v>
      </c>
      <c r="R24" s="668">
        <v>70000</v>
      </c>
      <c r="S24" s="666">
        <f t="shared" ref="S24:S54" si="11">ROUND(R24*B24/10000,0)</f>
        <v>32844</v>
      </c>
      <c r="T24" s="730"/>
      <c r="U24" s="730">
        <f ca="1">'结果表(商业)'!G20/0.72</f>
        <v>61862.5</v>
      </c>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3431</v>
      </c>
      <c r="B25" s="665">
        <f>'数据-取费表'!T20</f>
        <v>6439.65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3436</v>
      </c>
      <c r="Q25" s="21">
        <f>(SUMIF($17:$17,P25,$18:$18)-SUMIF($17:$17,$P$24,$18:$18)+100)/100</f>
        <v>0.7</v>
      </c>
      <c r="R25" s="663">
        <f>IF(B25="",0,ROUND($R$24*C25*E25*G25*I25*K25*M25*O25*Q25,0))</f>
        <v>49000</v>
      </c>
      <c r="S25" s="316">
        <f t="shared" si="11"/>
        <v>31554</v>
      </c>
    </row>
    <row r="26" spans="1:45">
      <c r="A26" s="150" t="s">
        <v>3432</v>
      </c>
      <c r="B26" s="665">
        <f>'数据-取费表'!T21</f>
        <v>6514.75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3437</v>
      </c>
      <c r="Q26" s="21">
        <f t="shared" ref="Q26:Q89" si="19">(SUMIF($17:$17,P26,$18:$18)-SUMIF($17:$17,$P$24,$18:$18)+100)/100</f>
        <v>0.6</v>
      </c>
      <c r="R26" s="663">
        <f t="shared" ref="R26:R89" si="20">IF(B26="",0,ROUND($R$24*C26*E26*G26*I26*K26*M26*O26*Q26,0))</f>
        <v>42000</v>
      </c>
      <c r="S26" s="316">
        <f t="shared" si="11"/>
        <v>27362</v>
      </c>
    </row>
    <row r="27" spans="1:45">
      <c r="A27" s="150" t="s">
        <v>3433</v>
      </c>
      <c r="B27" s="665">
        <f>'数据-取费表'!T22</f>
        <v>760.17</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t="s">
        <v>3438</v>
      </c>
      <c r="Q27" s="21">
        <f t="shared" si="19"/>
        <v>0.4</v>
      </c>
      <c r="R27" s="663">
        <f t="shared" si="20"/>
        <v>28000</v>
      </c>
      <c r="S27" s="316">
        <f t="shared" si="11"/>
        <v>2128</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45621</v>
      </c>
      <c r="C2" s="2145" t="s">
        <v>2074</v>
      </c>
      <c r="D2" s="2145" t="s">
        <v>2075</v>
      </c>
      <c r="E2" s="2612">
        <f ca="1">SUMIF(E6:E13,"&lt;&gt;#ref!",E6:E13)</f>
        <v>9245.02</v>
      </c>
      <c r="F2" s="2793"/>
      <c r="G2" s="2793"/>
      <c r="H2" s="2793"/>
      <c r="I2" s="2793"/>
      <c r="J2" s="2793"/>
      <c r="K2" s="2793"/>
      <c r="L2" s="2793"/>
      <c r="M2" s="2793"/>
      <c r="N2" s="2793"/>
      <c r="O2" s="2793"/>
      <c r="P2" s="2793"/>
    </row>
    <row r="3" spans="1:16" ht="15.75">
      <c r="A3" s="2145" t="s">
        <v>2076</v>
      </c>
      <c r="B3" s="2602">
        <f ca="1">ROUND(B2*10000/E2,0)</f>
        <v>49347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45621</v>
      </c>
      <c r="C6" s="2145" t="s">
        <v>2074</v>
      </c>
      <c r="D6" s="2793"/>
      <c r="E6" s="2612">
        <f ca="1">SUMIF(INDIRECT("'"&amp;A6&amp;"'"&amp;"!C:C"),"建筑面积",INDIRECT("'"&amp;A6&amp;"'"&amp;"!D:D"))</f>
        <v>9245.02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2" zoomScale="85" zoomScaleNormal="100" zoomScaleSheetLayoutView="85" zoomScalePageLayoutView="80" workbookViewId="0">
      <selection activeCell="D32" sqref="D32"/>
    </sheetView>
  </sheetViews>
  <sheetFormatPr defaultColWidth="12.625" defaultRowHeight="21.75" customHeight="1"/>
  <cols>
    <col min="1" max="2" width="12.625" style="1753"/>
    <col min="3" max="3" width="12.625" style="1753" customWidth="1"/>
    <col min="4" max="4" width="15.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3337</v>
      </c>
      <c r="D1" s="1747"/>
      <c r="E1" s="1747"/>
      <c r="F1" s="1749" t="s">
        <v>1263</v>
      </c>
      <c r="G1" s="1561"/>
      <c r="H1" s="1750" t="str">
        <f>IF(G1="现房","——","估价对象范围")</f>
        <v>估价对象范围</v>
      </c>
      <c r="I1" s="1751"/>
    </row>
    <row r="2" spans="1:12" ht="21.75" customHeight="1" thickBot="1">
      <c r="A2" s="3598" t="str">
        <f>项目基本情况!S2</f>
        <v>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4" t="s">
        <v>1265</v>
      </c>
      <c r="B4" s="1755" t="s">
        <v>1266</v>
      </c>
      <c r="C4" s="1756" t="s">
        <v>3440</v>
      </c>
      <c r="D4" s="1756" t="s">
        <v>3415</v>
      </c>
      <c r="E4" s="3604" t="s">
        <v>1267</v>
      </c>
      <c r="F4" s="3605"/>
      <c r="G4" s="3605"/>
      <c r="H4" s="3605"/>
      <c r="I4" s="3606"/>
      <c r="K4" s="146" t="str">
        <f>IF(ISNUMBER(FIND("比较法",'结果表(仓储)'!C4)),"比较法",IF(ISNUMBER(FIND("成本法",'结果表(仓储)'!C4)),"成本法",IF(ISNUMBER(FIND("假设开发法",'结果表(仓储)'!C4)),"假设开发法",IF(ISNUMBER(FIND("收益法",'结果表(仓储)'!C4)),"收益法","基准地价系数修正法"))))</f>
        <v>成本法</v>
      </c>
      <c r="L4" s="146"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578" t="s">
        <v>1268</v>
      </c>
      <c r="B5" s="3565">
        <v>25</v>
      </c>
      <c r="C5" s="3581"/>
      <c r="D5" s="3601"/>
      <c r="E5" s="131" t="s">
        <v>1269</v>
      </c>
      <c r="F5" s="1757"/>
      <c r="G5" s="1757"/>
      <c r="H5" s="1757"/>
      <c r="I5" s="1373"/>
    </row>
    <row r="6" spans="1:12" ht="12.75">
      <c r="A6" s="3578"/>
      <c r="B6" s="3565"/>
      <c r="C6" s="3582"/>
      <c r="D6" s="3601"/>
      <c r="E6" s="131" t="s">
        <v>1270</v>
      </c>
      <c r="F6" s="1757"/>
      <c r="G6" s="1757"/>
      <c r="H6" s="1757"/>
      <c r="I6" s="1373"/>
    </row>
    <row r="7" spans="1:12" ht="12.75">
      <c r="A7" s="3578"/>
      <c r="B7" s="3565"/>
      <c r="C7" s="3583"/>
      <c r="D7" s="3601"/>
      <c r="E7" s="131" t="s">
        <v>1271</v>
      </c>
      <c r="F7" s="1757"/>
      <c r="G7" s="1757"/>
      <c r="H7" s="1757"/>
      <c r="I7" s="1373"/>
    </row>
    <row r="8" spans="1:12" ht="12.75">
      <c r="A8" s="3578" t="s">
        <v>1272</v>
      </c>
      <c r="B8" s="3565">
        <v>15</v>
      </c>
      <c r="C8" s="3581"/>
      <c r="D8" s="3601"/>
      <c r="E8" s="131" t="s">
        <v>1273</v>
      </c>
      <c r="F8" s="1757"/>
      <c r="G8" s="1757"/>
      <c r="H8" s="1757"/>
      <c r="I8" s="1373"/>
    </row>
    <row r="9" spans="1:12" ht="12.75">
      <c r="A9" s="3578"/>
      <c r="B9" s="3565"/>
      <c r="C9" s="3583"/>
      <c r="D9" s="3601"/>
      <c r="E9" s="131" t="s">
        <v>1274</v>
      </c>
      <c r="F9" s="1757"/>
      <c r="G9" s="1757"/>
      <c r="H9" s="1757"/>
      <c r="I9" s="1373"/>
    </row>
    <row r="10" spans="1:12" ht="12.75">
      <c r="A10" s="3578" t="s">
        <v>1275</v>
      </c>
      <c r="B10" s="3565">
        <v>15</v>
      </c>
      <c r="C10" s="3581"/>
      <c r="D10" s="3601"/>
      <c r="E10" s="131" t="s">
        <v>1276</v>
      </c>
      <c r="F10" s="1757"/>
      <c r="G10" s="1757"/>
      <c r="H10" s="1757"/>
      <c r="I10" s="1373"/>
    </row>
    <row r="11" spans="1:12" ht="12.75">
      <c r="A11" s="3578"/>
      <c r="B11" s="3565"/>
      <c r="C11" s="3583"/>
      <c r="D11" s="3601"/>
      <c r="E11" s="131" t="s">
        <v>1277</v>
      </c>
      <c r="F11" s="1757"/>
      <c r="G11" s="1757"/>
      <c r="H11" s="1757"/>
      <c r="I11" s="1373"/>
    </row>
    <row r="12" spans="1:12" ht="12.75">
      <c r="A12" s="3578" t="s">
        <v>1278</v>
      </c>
      <c r="B12" s="3565">
        <v>15</v>
      </c>
      <c r="C12" s="3581"/>
      <c r="D12" s="3601"/>
      <c r="E12" s="131" t="s">
        <v>1279</v>
      </c>
      <c r="F12" s="1757"/>
      <c r="G12" s="1757"/>
      <c r="H12" s="1757"/>
      <c r="I12" s="1373"/>
    </row>
    <row r="13" spans="1:12" ht="12.75">
      <c r="A13" s="3578"/>
      <c r="B13" s="3565"/>
      <c r="C13" s="3583"/>
      <c r="D13" s="3601"/>
      <c r="E13" s="131" t="s">
        <v>1280</v>
      </c>
      <c r="F13" s="1757"/>
      <c r="G13" s="1757"/>
      <c r="H13" s="1757"/>
      <c r="I13" s="1373"/>
    </row>
    <row r="14" spans="1:12" ht="12.75">
      <c r="A14" s="3578" t="s">
        <v>1281</v>
      </c>
      <c r="B14" s="3565">
        <v>30</v>
      </c>
      <c r="C14" s="3581">
        <v>5</v>
      </c>
      <c r="D14" s="3601">
        <v>5</v>
      </c>
      <c r="E14" s="131" t="s">
        <v>1282</v>
      </c>
      <c r="F14" s="1757"/>
      <c r="G14" s="1757"/>
      <c r="H14" s="1757"/>
      <c r="I14" s="1373"/>
    </row>
    <row r="15" spans="1:12" ht="12.75">
      <c r="A15" s="3578"/>
      <c r="B15" s="3565"/>
      <c r="C15" s="3582"/>
      <c r="D15" s="3601"/>
      <c r="E15" s="131" t="s">
        <v>1283</v>
      </c>
      <c r="F15" s="1757"/>
      <c r="G15" s="1757"/>
      <c r="H15" s="1757"/>
      <c r="I15" s="1373"/>
    </row>
    <row r="16" spans="1:12" ht="12.75">
      <c r="A16" s="3578"/>
      <c r="B16" s="3565"/>
      <c r="C16" s="3583"/>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8" t="s">
        <v>2130</v>
      </c>
      <c r="F18" s="3589"/>
      <c r="G18" s="3589"/>
      <c r="H18" s="3589"/>
      <c r="I18" s="3589"/>
      <c r="K18" s="302" t="s">
        <v>1289</v>
      </c>
      <c r="L18" s="302">
        <f>IF(C1="",'数据-汇总表'!E3,SUMIF(项目类型,C1,'数据-汇总表'!E17:E26)+SUMIF(项目类型,C1,'数据-汇总表'!I17:I26))</f>
        <v>1207.6400000000001</v>
      </c>
      <c r="M18" s="302">
        <f>IF(C1="",'数据-汇总表'!E3,SUMIF(项目类型,C1,'数据-汇总表'!E17:E26))</f>
        <v>1207.6400000000001</v>
      </c>
    </row>
    <row r="19" spans="1:36" ht="15">
      <c r="A19" s="1761" t="s">
        <v>1290</v>
      </c>
      <c r="B19" s="1762" t="s">
        <v>1291</v>
      </c>
      <c r="C19" s="134">
        <f ca="1">SUMIF(INDIRECT("'"&amp;C4&amp;"'"&amp;"!A:A"),'结果表(仓储)'!B19,INDIRECT("'"&amp;C4&amp;"'"&amp;"!B:B"))</f>
        <v>1682</v>
      </c>
      <c r="D19" s="135">
        <f ca="1">SUMIF(INDIRECT("'"&amp;D4&amp;"'"&amp;"!A:A"),'结果表(仓储)'!B19,INDIRECT("'"&amp;D4&amp;"'"&amp;"!B:B"))</f>
        <v>1775</v>
      </c>
      <c r="E19" s="1761" t="s">
        <v>1292</v>
      </c>
      <c r="F19" s="1762" t="s">
        <v>1291</v>
      </c>
      <c r="G19" s="136">
        <f ca="1">ROUND(C19*$C$18+D19*$D$18,0)</f>
        <v>1729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SUMIF(INDIRECT("'"&amp;C4&amp;"'"&amp;"!A:A"),'结果表(仓储)'!B20,INDIRECT("'"&amp;C4&amp;"'"&amp;"!B:B"))</f>
        <v>13928</v>
      </c>
      <c r="D20" s="138">
        <f ca="1">SUMIF(INDIRECT("'"&amp;D4&amp;"'"&amp;"!A:A"),'结果表(仓储)'!B20,INDIRECT("'"&amp;D4&amp;"'"&amp;"!B:B"))</f>
        <v>14698</v>
      </c>
      <c r="E20" s="1764"/>
      <c r="F20" s="1026" t="s">
        <v>1295</v>
      </c>
      <c r="G20" s="139">
        <f ca="1">ROUND(C20*$C$18+D20*$D$18,0)</f>
        <v>14313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5.5291319857312615E-2</v>
      </c>
      <c r="E22" s="129"/>
      <c r="F22" s="129"/>
      <c r="G22" s="129"/>
      <c r="H22" s="129"/>
      <c r="I22" s="129"/>
    </row>
    <row r="23" spans="1:36" ht="13.5" thickBot="1">
      <c r="A23" s="1747"/>
      <c r="B23" s="1747"/>
      <c r="C23" s="1747"/>
      <c r="D23" s="1747"/>
      <c r="E23" s="129"/>
      <c r="F23" s="129"/>
      <c r="G23" s="129"/>
      <c r="H23" s="129"/>
      <c r="I23" s="129"/>
    </row>
    <row r="24" spans="1:36" ht="14.25">
      <c r="A24" s="3572" t="s">
        <v>1299</v>
      </c>
      <c r="B24" s="1762" t="s">
        <v>1291</v>
      </c>
      <c r="C24" s="136">
        <f>IF(B30=0,0,D30)</f>
        <v>0</v>
      </c>
      <c r="D24" s="1769"/>
      <c r="E24" s="129"/>
      <c r="F24" s="129"/>
      <c r="G24" s="129"/>
      <c r="H24" s="129"/>
      <c r="I24" s="129"/>
      <c r="J24" s="725" t="s">
        <v>3423</v>
      </c>
      <c r="K24" s="725">
        <f>'数据-取费表'!T19</f>
        <v>4691.97</v>
      </c>
      <c r="L24" s="725">
        <v>75000</v>
      </c>
      <c r="M24" s="725">
        <v>1</v>
      </c>
      <c r="N24" s="725">
        <f>L24*K24</f>
        <v>351897750</v>
      </c>
    </row>
    <row r="25" spans="1:36" ht="14.25">
      <c r="A25" s="3573"/>
      <c r="B25" s="1026" t="s">
        <v>1295</v>
      </c>
      <c r="C25" s="141">
        <f>IF(B30=0,0,C30)</f>
        <v>0</v>
      </c>
      <c r="D25" s="1770"/>
      <c r="E25" s="129"/>
      <c r="F25" s="129"/>
      <c r="G25" s="129"/>
      <c r="H25" s="129"/>
      <c r="I25" s="129"/>
      <c r="J25" s="725" t="s">
        <v>3424</v>
      </c>
      <c r="K25" s="725">
        <f>'数据-取费表'!T20</f>
        <v>6439.65</v>
      </c>
      <c r="L25" s="725">
        <f>L24*M25</f>
        <v>52500</v>
      </c>
      <c r="M25" s="725">
        <v>0.7</v>
      </c>
      <c r="N25" s="725">
        <f t="shared" ref="N25:N27" si="0">L25*K25</f>
        <v>338081625</v>
      </c>
    </row>
    <row r="26" spans="1:36" ht="13.5" customHeight="1">
      <c r="A26" s="1771" t="s">
        <v>1300</v>
      </c>
      <c r="B26" s="142" t="s">
        <v>1301</v>
      </c>
      <c r="C26" s="142" t="s">
        <v>1302</v>
      </c>
      <c r="D26" s="143" t="s">
        <v>1303</v>
      </c>
      <c r="E26" s="129"/>
      <c r="F26" s="129"/>
      <c r="G26" s="129"/>
      <c r="H26" s="129"/>
      <c r="I26" s="129"/>
      <c r="J26" s="725" t="s">
        <v>3425</v>
      </c>
      <c r="K26" s="725">
        <f>'数据-取费表'!T21</f>
        <v>6514.75</v>
      </c>
      <c r="L26" s="725">
        <f>L24*M26</f>
        <v>45000</v>
      </c>
      <c r="M26" s="725">
        <v>0.6</v>
      </c>
      <c r="N26" s="725">
        <f t="shared" si="0"/>
        <v>293163750</v>
      </c>
    </row>
    <row r="27" spans="1:36" ht="14.25">
      <c r="A27" s="1771"/>
      <c r="B27" s="142">
        <v>0</v>
      </c>
      <c r="C27" s="142">
        <v>0</v>
      </c>
      <c r="D27" s="143">
        <f>ROUND(C27*B27/10000,0)</f>
        <v>0</v>
      </c>
      <c r="E27" s="129"/>
      <c r="F27" s="129"/>
      <c r="G27" s="129"/>
      <c r="H27" s="129"/>
      <c r="I27" s="129"/>
      <c r="J27" s="725" t="s">
        <v>3426</v>
      </c>
      <c r="K27" s="725">
        <f>'数据-取费表'!T22</f>
        <v>760.17</v>
      </c>
      <c r="L27" s="725">
        <f>L24*M27</f>
        <v>22500</v>
      </c>
      <c r="M27" s="725">
        <v>0.3</v>
      </c>
      <c r="N27" s="725">
        <f t="shared" si="0"/>
        <v>17103825</v>
      </c>
    </row>
    <row r="28" spans="1:36" ht="14.25">
      <c r="A28" s="1771"/>
      <c r="B28" s="142"/>
      <c r="C28" s="142"/>
      <c r="D28" s="143">
        <f ca="1">G19/'数据-汇总表'!F31</f>
        <v>9.7980491171838741E-2</v>
      </c>
      <c r="E28" s="129"/>
      <c r="F28" s="129"/>
      <c r="G28" s="129"/>
      <c r="H28" s="129"/>
      <c r="I28" s="129"/>
      <c r="K28" s="725">
        <f>SUM(K24:K27)</f>
        <v>18406.539999999997</v>
      </c>
      <c r="L28" s="725">
        <f>N28/K28</f>
        <v>54341.932269725876</v>
      </c>
      <c r="N28" s="725">
        <f>SUM(N24:N27)</f>
        <v>1000246950</v>
      </c>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1729</v>
      </c>
      <c r="D32" s="1775" t="s">
        <v>3442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2" t="s">
        <v>1312</v>
      </c>
      <c r="B36" s="1787" t="s">
        <v>1313</v>
      </c>
      <c r="C36" s="145"/>
      <c r="D36" s="1788"/>
      <c r="E36" s="1789"/>
      <c r="F36" s="1790"/>
      <c r="G36" s="129"/>
      <c r="H36" s="129"/>
      <c r="I36" s="129"/>
    </row>
    <row r="37" spans="1:15" ht="15.75" thickBot="1">
      <c r="A37" s="3593"/>
      <c r="B37" s="1674" t="s">
        <v>1314</v>
      </c>
      <c r="C37" s="147"/>
      <c r="D37" s="1139"/>
      <c r="E37" s="1139"/>
      <c r="F37" s="1790"/>
      <c r="G37" s="129"/>
      <c r="H37" s="129"/>
      <c r="I37" s="129"/>
    </row>
    <row r="38" spans="1:15" ht="15.75" thickBot="1">
      <c r="A38" s="3594"/>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9" t="s">
        <v>1326</v>
      </c>
      <c r="B45" s="3570"/>
      <c r="C45" s="3571"/>
      <c r="D45" s="155">
        <f ca="1">ROUND(H101*F45,0)</f>
        <v>1729</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6"/>
      <c r="I46" s="159"/>
      <c r="J46" s="3460">
        <v>1</v>
      </c>
      <c r="K46" s="3628" t="s">
        <v>1331</v>
      </c>
      <c r="L46" s="3628"/>
      <c r="M46" s="3648"/>
      <c r="N46" s="3648"/>
      <c r="O46" s="3648"/>
    </row>
    <row r="47" spans="1:15" ht="12" customHeight="1">
      <c r="A47" s="160" t="s">
        <v>1332</v>
      </c>
      <c r="B47" s="161"/>
      <c r="C47" s="162"/>
      <c r="D47" s="1087" t="s">
        <v>1333</v>
      </c>
      <c r="E47" s="302" t="s">
        <v>1334</v>
      </c>
      <c r="F47" s="163" t="s">
        <v>1335</v>
      </c>
      <c r="G47" s="2546" t="s">
        <v>1336</v>
      </c>
      <c r="H47" s="2547"/>
      <c r="I47" s="159"/>
      <c r="J47" s="3460">
        <v>2</v>
      </c>
      <c r="K47" s="3628" t="s">
        <v>1337</v>
      </c>
      <c r="L47" s="3628"/>
      <c r="M47" s="3649">
        <f>'数据-取费表'!B2</f>
        <v>45243</v>
      </c>
      <c r="N47" s="3649"/>
      <c r="O47" s="3649"/>
    </row>
    <row r="48" spans="1:15" ht="25.5">
      <c r="A48" s="3597" t="s">
        <v>1338</v>
      </c>
      <c r="B48" s="3580"/>
      <c r="C48" s="3580"/>
      <c r="D48" s="3455" t="b">
        <f>IF(H48="情况1",0,IF(H48="情况2",D52,IF(H48="情况3",D53,IF(H48="情况4",D54))))</f>
        <v>0</v>
      </c>
      <c r="E48" s="3470" t="str">
        <f>IF(H48="情况4","(销售额-原购置价)×税（费）率","销售额×税（费）率")</f>
        <v>销售额×税（费）率</v>
      </c>
      <c r="F48" s="2548">
        <f>IF(H48="情况1","免征",'数据-取费表'!B41)</f>
        <v>5.6000000000000001E-2</v>
      </c>
      <c r="G48" s="2549" t="s">
        <v>1339</v>
      </c>
      <c r="H48" s="2550"/>
      <c r="I48" s="1806"/>
      <c r="J48" s="3460">
        <v>3</v>
      </c>
      <c r="K48" s="3628" t="s">
        <v>1340</v>
      </c>
      <c r="L48" s="3628"/>
      <c r="M48" s="3650">
        <f ca="1">H101</f>
        <v>1729</v>
      </c>
      <c r="N48" s="3650"/>
      <c r="O48" s="3650"/>
    </row>
    <row r="49" spans="1:35" ht="25.5" customHeight="1">
      <c r="A49" s="3469" t="s">
        <v>1341</v>
      </c>
      <c r="B49" s="3564" t="s">
        <v>1342</v>
      </c>
      <c r="C49" s="3564"/>
      <c r="D49" s="1590">
        <v>0</v>
      </c>
      <c r="E49" s="324" t="s">
        <v>1343</v>
      </c>
      <c r="F49" s="3452" t="s">
        <v>28</v>
      </c>
      <c r="G49" s="3634"/>
      <c r="H49" s="2310" t="s">
        <v>2133</v>
      </c>
      <c r="I49" s="2311"/>
      <c r="J49" s="3460">
        <v>4</v>
      </c>
      <c r="K49" s="3628" t="str">
        <f>IF(项目基本情况!E8="房地产抵押价值","房地产抵押价值","抵押担保权已注销时的房地产抵押价值")</f>
        <v>房地产抵押价值</v>
      </c>
      <c r="L49" s="3628"/>
      <c r="M49" s="3650">
        <f ca="1">IF(项目基本情况!E8="房地产抵押价值",H107,H109)</f>
        <v>1729</v>
      </c>
      <c r="N49" s="3650"/>
      <c r="O49" s="3650"/>
    </row>
    <row r="50" spans="1:35" ht="25.5" customHeight="1">
      <c r="A50" s="2551"/>
      <c r="B50" s="3564" t="s">
        <v>1344</v>
      </c>
      <c r="C50" s="3564"/>
      <c r="D50" s="2552"/>
      <c r="E50" s="332"/>
      <c r="F50" s="3452"/>
      <c r="G50" s="3635"/>
      <c r="H50" s="2312" t="s">
        <v>2134</v>
      </c>
      <c r="I50" s="2311"/>
      <c r="J50" s="3647" t="s">
        <v>1345</v>
      </c>
      <c r="K50" s="3647"/>
      <c r="L50" s="3647"/>
      <c r="M50" s="3647"/>
      <c r="N50" s="3647"/>
      <c r="O50" s="3647"/>
    </row>
    <row r="51" spans="1:35" ht="20.45" customHeight="1">
      <c r="A51" s="2553"/>
      <c r="B51" s="3564" t="s">
        <v>1346</v>
      </c>
      <c r="C51" s="3564"/>
      <c r="D51" s="1087"/>
      <c r="E51" s="327"/>
      <c r="F51" s="3452"/>
      <c r="G51" s="3636"/>
      <c r="H51" s="2312" t="s">
        <v>2135</v>
      </c>
      <c r="I51" s="2311"/>
      <c r="J51" s="3454" t="s">
        <v>1347</v>
      </c>
      <c r="K51" s="3628" t="s">
        <v>1348</v>
      </c>
      <c r="L51" s="3628"/>
      <c r="M51" s="3454" t="s">
        <v>1349</v>
      </c>
      <c r="N51" s="3454" t="s">
        <v>1350</v>
      </c>
      <c r="O51" s="3454" t="s">
        <v>1351</v>
      </c>
    </row>
    <row r="52" spans="1:35" ht="24" customHeight="1">
      <c r="A52" s="3472" t="s">
        <v>1352</v>
      </c>
      <c r="B52" s="3564" t="s">
        <v>1353</v>
      </c>
      <c r="C52" s="3564"/>
      <c r="D52" s="1087">
        <f ca="1">ROUND(D45*'数据-取费表'!B41/(1+'数据-取费表'!C42),0)</f>
        <v>92</v>
      </c>
      <c r="E52" s="3470" t="s">
        <v>1354</v>
      </c>
      <c r="F52" s="2554">
        <f>'数据-取费表'!B41</f>
        <v>5.6000000000000001E-2</v>
      </c>
      <c r="G52" s="2555"/>
      <c r="H52" s="2544"/>
      <c r="I52" s="1807"/>
      <c r="J52" s="3460">
        <v>1</v>
      </c>
      <c r="K52" s="3629" t="s">
        <v>1355</v>
      </c>
      <c r="L52" s="3629"/>
      <c r="M52" s="2525" t="b">
        <f>D48</f>
        <v>0</v>
      </c>
      <c r="N52" s="3460" t="str">
        <f>E48</f>
        <v>销售额×税（费）率</v>
      </c>
      <c r="O52" s="2526">
        <f>F48</f>
        <v>5.6000000000000001E-2</v>
      </c>
    </row>
    <row r="53" spans="1:35" ht="12" customHeight="1">
      <c r="A53" s="3472" t="s">
        <v>1356</v>
      </c>
      <c r="B53" s="3590" t="s">
        <v>2290</v>
      </c>
      <c r="C53" s="3591"/>
      <c r="D53" s="1087">
        <f ca="1">ROUND(D45*'数据-取费表'!B41/(1+'数据-取费表'!C42),0)</f>
        <v>92</v>
      </c>
      <c r="E53" s="3470" t="s">
        <v>1354</v>
      </c>
      <c r="F53" s="2554">
        <f>'数据-取费表'!B41</f>
        <v>5.6000000000000001E-2</v>
      </c>
      <c r="G53" s="2555"/>
      <c r="H53" s="2544"/>
      <c r="I53" s="1807"/>
      <c r="J53" s="3460">
        <v>2</v>
      </c>
      <c r="K53" s="3629" t="s">
        <v>1357</v>
      </c>
      <c r="L53" s="3629"/>
      <c r="M53" s="2525">
        <f t="shared" ref="M53:O54" ca="1" si="1">D55</f>
        <v>1</v>
      </c>
      <c r="N53" s="3460" t="str">
        <f t="shared" si="1"/>
        <v>销售额×税（费）率</v>
      </c>
      <c r="O53" s="2526" t="str">
        <f t="shared" si="1"/>
        <v>免征</v>
      </c>
    </row>
    <row r="54" spans="1:35" ht="12" customHeight="1">
      <c r="A54" s="3472" t="s">
        <v>1358</v>
      </c>
      <c r="B54" s="3590" t="s">
        <v>2291</v>
      </c>
      <c r="C54" s="3591"/>
      <c r="D54" s="1087">
        <f ca="1">C68</f>
        <v>92</v>
      </c>
      <c r="E54" s="327" t="s">
        <v>1359</v>
      </c>
      <c r="F54" s="2554">
        <f>'数据-取费表'!B41</f>
        <v>5.6000000000000001E-2</v>
      </c>
      <c r="G54" s="2555"/>
      <c r="H54" s="2556"/>
      <c r="I54" s="1807"/>
      <c r="J54" s="3460">
        <v>3</v>
      </c>
      <c r="K54" s="3629" t="s">
        <v>1360</v>
      </c>
      <c r="L54" s="3629"/>
      <c r="M54" s="2525">
        <f t="shared" ca="1" si="1"/>
        <v>979</v>
      </c>
      <c r="N54" s="3460" t="str">
        <f t="shared" si="1"/>
        <v>增值额×税（费）率</v>
      </c>
      <c r="O54" s="2527" t="str">
        <f t="shared" si="1"/>
        <v>免征</v>
      </c>
    </row>
    <row r="55" spans="1:35" ht="24" customHeight="1">
      <c r="A55" s="3579" t="s">
        <v>1361</v>
      </c>
      <c r="B55" s="3580"/>
      <c r="C55" s="3580"/>
      <c r="D55" s="3455">
        <f ca="1">IF(H55="个人住宅",0,ROUND(D45*I55,0))</f>
        <v>1</v>
      </c>
      <c r="E55" s="3470" t="s">
        <v>1362</v>
      </c>
      <c r="F55" s="2554" t="str">
        <f>IF(H55="正常",I55,"免征")</f>
        <v>免征</v>
      </c>
      <c r="G55" s="2555"/>
      <c r="H55" s="2550"/>
      <c r="I55" s="165">
        <f>'数据-取费表'!B49</f>
        <v>5.0000000000000001E-4</v>
      </c>
      <c r="J55" s="3460">
        <f>IF(H59="非个人房产","",4)</f>
        <v>4</v>
      </c>
      <c r="K55" s="3629" t="str">
        <f>IF(H59="非个人房产","——","个人所得税")</f>
        <v>个人所得税</v>
      </c>
      <c r="L55" s="3629"/>
      <c r="M55" s="2528">
        <f ca="1">D59</f>
        <v>16</v>
      </c>
      <c r="N55" s="3461" t="str">
        <f>E59</f>
        <v>差额计税</v>
      </c>
      <c r="O55" s="2529">
        <f>F59</f>
        <v>0.01</v>
      </c>
    </row>
    <row r="56" spans="1:35" ht="24.75">
      <c r="A56" s="3579" t="s">
        <v>1363</v>
      </c>
      <c r="B56" s="3580"/>
      <c r="C56" s="3580"/>
      <c r="D56" s="3455">
        <f ca="1">IF(H56="个人住宅",D57,D58)</f>
        <v>979</v>
      </c>
      <c r="E56" s="3470" t="s">
        <v>1364</v>
      </c>
      <c r="F56" s="2554" t="str">
        <f>IF(H56="正常",F58,"免征")</f>
        <v>免征</v>
      </c>
      <c r="G56" s="2557" t="s">
        <v>1365</v>
      </c>
      <c r="H56" s="2558"/>
      <c r="I56" s="1808"/>
      <c r="J56" s="3460" t="str">
        <f>IF(项目基本情况!K6="上海银行",IF(J55="",4,J55+1),"")</f>
        <v/>
      </c>
      <c r="K56" s="3652" t="str">
        <f>IF(项目基本情况!K6="上海银行","其他处置费用","")</f>
        <v/>
      </c>
      <c r="L56" s="3653"/>
      <c r="M56" s="2525" t="str">
        <f>IF(项目基本情况!K6="上海银行",M69,"")</f>
        <v/>
      </c>
      <c r="N56" s="3652" t="str">
        <f>IF(项目基本情况!K6="上海银行","包含处置中涉及的律师、诉讼、拍卖、评估等费用","")</f>
        <v/>
      </c>
      <c r="O56" s="3655"/>
    </row>
    <row r="57" spans="1:35" ht="12.75">
      <c r="A57" s="3472" t="s">
        <v>1341</v>
      </c>
      <c r="B57" s="3590" t="s">
        <v>1366</v>
      </c>
      <c r="C57" s="3591"/>
      <c r="D57" s="1590">
        <v>0</v>
      </c>
      <c r="E57" s="324" t="s">
        <v>1343</v>
      </c>
      <c r="F57" s="302"/>
      <c r="G57" s="2555"/>
      <c r="H57" s="2559"/>
      <c r="I57" s="1808"/>
      <c r="J57" s="3629">
        <f>IF(AND(J55="",J56=""),4,IF(项目基本情况!K6="上海银行",'结果表(仓储)'!J56+1,'结果表(仓储)'!J55+1))</f>
        <v>5</v>
      </c>
      <c r="K57" s="3629" t="s">
        <v>1367</v>
      </c>
      <c r="L57" s="2530" t="s">
        <v>1368</v>
      </c>
      <c r="M57" s="2531"/>
      <c r="N57" s="2532">
        <f ca="1">SUMIF(M52:M56,"&lt;9e307")</f>
        <v>996</v>
      </c>
      <c r="O57" s="2533"/>
      <c r="P57" s="2690">
        <f ca="1">N57/M49</f>
        <v>0.5760555234239445</v>
      </c>
    </row>
    <row r="58" spans="1:35" ht="24.75">
      <c r="A58" s="3472" t="s">
        <v>1352</v>
      </c>
      <c r="B58" s="3590" t="s">
        <v>1369</v>
      </c>
      <c r="C58" s="3564"/>
      <c r="D58" s="3455">
        <f ca="1">IF(H58="转让取得",C81,C97)</f>
        <v>979</v>
      </c>
      <c r="E58" s="3470" t="s">
        <v>1364</v>
      </c>
      <c r="F58" s="302" t="s">
        <v>28</v>
      </c>
      <c r="G58" s="2555"/>
      <c r="H58" s="2558"/>
      <c r="I58" s="1808"/>
      <c r="J58" s="3629"/>
      <c r="K58" s="3629"/>
      <c r="L58" s="2530" t="s">
        <v>1370</v>
      </c>
      <c r="M58" s="2534"/>
      <c r="N58" s="2535" t="str">
        <f ca="1">NUMBERSTRING(INT(N57*10000),2)&amp;"元整"</f>
        <v>玖佰玖拾陆万元整</v>
      </c>
      <c r="O58" s="2536"/>
    </row>
    <row r="59" spans="1:35" ht="24.75" thickBot="1">
      <c r="A59" s="3632" t="s">
        <v>1371</v>
      </c>
      <c r="B59" s="3633"/>
      <c r="C59" s="3633"/>
      <c r="D59" s="2560">
        <f ca="1">IF(H59="非个人房产","——",IF(H59="个人住宅（满五唯一有凭证）",0,IF(H59="个人其他（无凭证）",ROUND(D45*F59,0),ROUND(C67*F59,0))))</f>
        <v>16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0">
        <f>J57+1</f>
        <v>6</v>
      </c>
      <c r="K59" s="3629" t="s">
        <v>1372</v>
      </c>
      <c r="L59" s="3460" t="s">
        <v>1368</v>
      </c>
      <c r="M59" s="2537"/>
      <c r="N59" s="2538">
        <f ca="1">M49-N57</f>
        <v>733</v>
      </c>
      <c r="O59" s="2539"/>
    </row>
    <row r="60" spans="1:35" ht="12" customHeight="1">
      <c r="A60" s="1809"/>
      <c r="B60" s="1747"/>
      <c r="C60" s="1747"/>
      <c r="D60" s="1747"/>
      <c r="E60" s="1578"/>
      <c r="F60" s="1808"/>
      <c r="G60" s="1808"/>
      <c r="H60" s="1810"/>
      <c r="I60" s="129"/>
      <c r="J60" s="3631"/>
      <c r="K60" s="3629"/>
      <c r="L60" s="2530" t="s">
        <v>1370</v>
      </c>
      <c r="M60" s="2534"/>
      <c r="N60" s="2535" t="str">
        <f ca="1">NUMBERSTRING(INT(N59*10000),2)&amp;"元整"</f>
        <v>柒佰叁拾叁万元整</v>
      </c>
      <c r="O60" s="2536"/>
    </row>
    <row r="61" spans="1:35" ht="13.5" thickBot="1">
      <c r="A61" s="3577" t="s">
        <v>1373</v>
      </c>
      <c r="B61" s="3577"/>
      <c r="C61" s="3577"/>
      <c r="D61" s="3577"/>
      <c r="E61" s="3577"/>
      <c r="F61" s="1808"/>
      <c r="G61" s="1808"/>
      <c r="H61" s="1810"/>
      <c r="I61" s="129"/>
      <c r="J61" s="3460">
        <f>J59+1</f>
        <v>7</v>
      </c>
      <c r="K61" s="3629" t="s">
        <v>1374</v>
      </c>
      <c r="L61" s="3629"/>
      <c r="M61" s="2540"/>
      <c r="N61" s="2541">
        <f ca="1">ROUND(N59*10000/'数据-汇总表'!E3,0)</f>
        <v>273</v>
      </c>
      <c r="O61" s="2542"/>
    </row>
    <row r="62" spans="1:35" ht="12.75">
      <c r="A62" s="3595" t="s">
        <v>1375</v>
      </c>
      <c r="B62" s="3596"/>
      <c r="C62" s="3465"/>
      <c r="D62" s="3465" t="s">
        <v>1376</v>
      </c>
      <c r="E62" s="166" t="s">
        <v>1377</v>
      </c>
      <c r="F62" s="1808"/>
      <c r="G62" s="1808"/>
      <c r="H62" s="1810"/>
      <c r="I62" s="129"/>
    </row>
    <row r="63" spans="1:35" ht="12.75">
      <c r="A63" s="173" t="s">
        <v>330</v>
      </c>
      <c r="B63" s="167" t="s">
        <v>1378</v>
      </c>
      <c r="C63" s="2564">
        <f ca="1">ROUND((C64+C65)/(1+'数据-取费表'!C42),0)</f>
        <v>1647</v>
      </c>
      <c r="D63" s="167"/>
      <c r="E63" s="168"/>
      <c r="F63" s="1808"/>
      <c r="G63" s="1808"/>
      <c r="H63" s="1810"/>
      <c r="I63" s="129"/>
      <c r="J63" s="3654" t="s">
        <v>1379</v>
      </c>
      <c r="K63" s="3456" t="s">
        <v>1380</v>
      </c>
      <c r="L63" s="3456">
        <f ca="1">IF(M49&gt;10000,M49*0.5%,IF(AND(M49&gt;1000,M49&lt;=10000),M49*1%,IF(AND(M49&gt;100,M49&lt;=1000),M49*3%,IF(AND(M49&gt;10,M49&lt;=100),M49*5%,M49*8%))))</f>
        <v>17.29</v>
      </c>
      <c r="M63" s="302">
        <f ca="1">ROUND(L63,1)</f>
        <v>17.3</v>
      </c>
      <c r="N63" s="2543"/>
      <c r="Z63" s="1752"/>
      <c r="AI63" s="1753"/>
    </row>
    <row r="64" spans="1:35" ht="14.25" customHeight="1">
      <c r="A64" s="169" t="s">
        <v>325</v>
      </c>
      <c r="B64" s="170" t="s">
        <v>1381</v>
      </c>
      <c r="C64" s="2565">
        <f ca="1">D45</f>
        <v>1729</v>
      </c>
      <c r="D64" s="170" t="s">
        <v>26</v>
      </c>
      <c r="E64" s="172"/>
      <c r="F64" s="1808"/>
      <c r="G64" s="1808"/>
      <c r="H64" s="1810"/>
      <c r="I64" s="129"/>
      <c r="J64" s="3654"/>
      <c r="K64" s="3456" t="s">
        <v>1382</v>
      </c>
      <c r="L64" s="3456">
        <f ca="1">IF(M49&gt;2000,M49*0.5%,IF(AND(M49&gt;1000,M49&lt;=2000),M49*0.6%,IF(AND(M49&gt;500,M49&lt;=1000),M49*0.7%,IF(AND(M49&gt;200,M49&lt;=500),M49*0.8%,IF(AND(M49&gt;100,M49&lt;=200),M49*0.9%,IF(AND(M49&gt;50,M49&lt;=100),M49*1%,IF(AND(M49&gt;20,M49&lt;=50),M49*1.5%,IF(AND(M49&gt;10,M49&lt;=20),M49*2%,IF(AND(M49&gt;1,M49&lt;=10),M49*2.5%)))))))))</f>
        <v>10.374000000000001</v>
      </c>
      <c r="M64" s="302">
        <f t="shared" ref="M64:M65" ca="1" si="2">ROUND(L64,1)</f>
        <v>10.4</v>
      </c>
      <c r="N64" s="2544" t="s">
        <v>1383</v>
      </c>
      <c r="Z64" s="1752"/>
      <c r="AI64" s="1753"/>
    </row>
    <row r="65" spans="1:35" ht="14.25" customHeight="1">
      <c r="A65" s="169" t="s">
        <v>326</v>
      </c>
      <c r="B65" s="170" t="s">
        <v>1384</v>
      </c>
      <c r="C65" s="2566"/>
      <c r="D65" s="170"/>
      <c r="E65" s="172"/>
      <c r="F65" s="1808"/>
      <c r="G65" s="1808"/>
      <c r="H65" s="1810"/>
      <c r="I65" s="129"/>
      <c r="J65" s="3654"/>
      <c r="K65" s="3456" t="s">
        <v>1385</v>
      </c>
      <c r="L65" s="3456">
        <f ca="1">IF(M49&gt;1000,M49*0.1%,IF(AND(M49&gt;500,M49&lt;=1000),M49*0.5%,IF(AND(M49&gt;50,M49&lt;=500),M49*1%,IF(AND(M49&gt;1,M49&lt;=50),M49*1.5%))))</f>
        <v>1.7290000000000001</v>
      </c>
      <c r="M65" s="302">
        <f t="shared" ca="1" si="2"/>
        <v>1.7</v>
      </c>
      <c r="N65" s="2544" t="s">
        <v>1383</v>
      </c>
      <c r="Z65" s="1752"/>
      <c r="AI65" s="1753"/>
    </row>
    <row r="66" spans="1:35" ht="14.25" customHeight="1">
      <c r="A66" s="173" t="s">
        <v>327</v>
      </c>
      <c r="B66" s="174" t="s">
        <v>1386</v>
      </c>
      <c r="C66" s="2567"/>
      <c r="D66" s="174" t="s">
        <v>26</v>
      </c>
      <c r="E66" s="1338" t="s">
        <v>671</v>
      </c>
      <c r="F66" s="1808"/>
      <c r="G66" s="1808"/>
      <c r="H66" s="1810"/>
      <c r="I66" s="129"/>
      <c r="J66" s="3654"/>
      <c r="K66" s="3456" t="s">
        <v>1387</v>
      </c>
      <c r="L66" s="3456">
        <f ca="1">M49*0.5%</f>
        <v>8.6449999999999996</v>
      </c>
      <c r="M66" s="302">
        <f ca="1">IF(L66&gt;0.5,0.5,ROUND(L66,0))</f>
        <v>0.5</v>
      </c>
      <c r="N66" s="2544" t="s">
        <v>1388</v>
      </c>
      <c r="Z66" s="1752"/>
      <c r="AI66" s="1753"/>
    </row>
    <row r="67" spans="1:35" ht="14.25" customHeight="1">
      <c r="A67" s="173" t="s">
        <v>328</v>
      </c>
      <c r="B67" s="174" t="s">
        <v>1389</v>
      </c>
      <c r="C67" s="2568">
        <f ca="1">C63-C66</f>
        <v>1647</v>
      </c>
      <c r="D67" s="170" t="s">
        <v>26</v>
      </c>
      <c r="E67" s="172"/>
      <c r="F67" s="1808"/>
      <c r="G67" s="1808"/>
      <c r="H67" s="1810"/>
      <c r="I67" s="129"/>
      <c r="J67" s="3654"/>
      <c r="K67" s="3456" t="s">
        <v>1390</v>
      </c>
      <c r="L67" s="3456">
        <f ca="1">IF(M49&gt;=10000,(8.25+(M49-10000)*0.01%),IF(AND(M49&gt;=8000,M49&lt;10000),(7.85+(M49-8000)*0.02%),IF(AND(M49&gt;=5000,M49&lt;8000),(6.65+(M49-5000)*0.04%),IF(AND(M49&gt;=2000,M49&lt;5000),(4.25+(PM49-2000)*0.08%),IF(AND(M49&gt;=1000,M49&lt;2000),(2.75+(M49-1000)*0.15%),IF(AND(M49&gt;=100,M49&lt;1000),(0.5+(M49-100)*0.25%),IF(AND(M49&gt;0,M49&lt;100),M49*0.5%)))))))</f>
        <v>3.8434999999999997</v>
      </c>
      <c r="M67" s="302">
        <f ca="1">ROUND(L67*0.9,1)</f>
        <v>3.5</v>
      </c>
      <c r="N67" s="2543"/>
      <c r="Z67" s="1752"/>
      <c r="AI67" s="1753"/>
    </row>
    <row r="68" spans="1:35" ht="14.25" customHeight="1" thickBot="1">
      <c r="A68" s="176" t="s">
        <v>329</v>
      </c>
      <c r="B68" s="177" t="s">
        <v>1391</v>
      </c>
      <c r="C68" s="2569">
        <f ca="1">IF(C67&lt;=0,0,ROUND(C67*D68,0))</f>
        <v>92</v>
      </c>
      <c r="D68" s="2570">
        <f>'数据-取费表'!B41</f>
        <v>5.6000000000000001E-2</v>
      </c>
      <c r="E68" s="178"/>
      <c r="F68" s="1808"/>
      <c r="G68" s="1808"/>
      <c r="H68" s="1810"/>
      <c r="I68" s="129"/>
      <c r="J68" s="3654"/>
      <c r="K68" s="3456" t="s">
        <v>1392</v>
      </c>
      <c r="L68" s="3456">
        <f ca="1">IF(M49&gt;10000,M49*0.5%,IF(AND(M49&gt;5000,M49&lt;=10000),M49*1%,IF(AND(M49&gt;1000,M49&lt;=5000),M49*2%,IF(AND(M49&gt;200,M49&lt;=1000),M49*3%,M49*5%))))</f>
        <v>34.58</v>
      </c>
      <c r="M68" s="302">
        <f ca="1">ROUND(L68,1)</f>
        <v>34.6</v>
      </c>
      <c r="N68" s="2543"/>
      <c r="Z68" s="1752"/>
      <c r="AI68" s="1753"/>
    </row>
    <row r="69" spans="1:35" s="1772" customFormat="1" ht="16.5" customHeight="1">
      <c r="A69" s="1811"/>
      <c r="B69" s="1812"/>
      <c r="C69" s="1813"/>
      <c r="D69" s="1814"/>
      <c r="E69" s="1815"/>
      <c r="F69" s="1578"/>
      <c r="G69" s="1578"/>
      <c r="H69" s="1577"/>
      <c r="I69" s="1747"/>
      <c r="J69" s="3654"/>
      <c r="K69" s="3456" t="s">
        <v>1393</v>
      </c>
      <c r="L69" s="3456"/>
      <c r="M69" s="302">
        <f ca="1">ROUND(SUM(M63:M68),0)</f>
        <v>68</v>
      </c>
      <c r="N69" s="2545">
        <f ca="1">M69/M49</f>
        <v>3.9329091960670907E-2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3465"/>
      <c r="D71" s="3465"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1647</v>
      </c>
      <c r="D72" s="170" t="s">
        <v>26</v>
      </c>
      <c r="E72" s="3467"/>
      <c r="F72" s="3466"/>
      <c r="G72" s="3466"/>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v>
      </c>
      <c r="D73" s="170" t="s">
        <v>26</v>
      </c>
      <c r="E73" s="3467"/>
      <c r="F73" s="3466"/>
      <c r="G73" s="3466"/>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7"/>
      <c r="F74" s="3466"/>
      <c r="G74" s="3466"/>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64"/>
      <c r="G76" s="3564"/>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5" t="s">
        <v>1404</v>
      </c>
      <c r="F77" s="186"/>
      <c r="G77" s="1822"/>
      <c r="H77" s="346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v>
      </c>
      <c r="D78" s="2577">
        <f>'数据-取费表'!B43</f>
        <v>6.000000000000001E-3</v>
      </c>
      <c r="E78" s="3574" t="s">
        <v>1406</v>
      </c>
      <c r="F78" s="3575"/>
      <c r="G78" s="3575"/>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1637</v>
      </c>
      <c r="D79" s="170" t="s">
        <v>26</v>
      </c>
      <c r="E79" s="3467"/>
      <c r="F79" s="3466"/>
      <c r="G79" s="3466"/>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163.69999999999999</v>
      </c>
      <c r="D80" s="170" t="s">
        <v>26</v>
      </c>
      <c r="E80" s="3455" t="str">
        <f ca="1">IF(C80&gt;=200%,"增值额超过扣除项目金额200%",IF(C80&gt;=100%,"增值额超过扣除项目金额100%，未超过200%",IF(C80&gt;=50%,"增值额超过扣除项目金额50%，未超过100%",IF(C80&lt;50%,"增值额未超过扣除项目金额50%"))))</f>
        <v>增值额超过扣除项目金额200%</v>
      </c>
      <c r="F80" s="3466"/>
      <c r="G80" s="3466"/>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979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3465"/>
      <c r="D84" s="3465"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1647</v>
      </c>
      <c r="D85" s="170" t="s">
        <v>26</v>
      </c>
      <c r="E85" s="3467"/>
      <c r="F85" s="3466"/>
      <c r="G85" s="3466"/>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v>
      </c>
      <c r="D86" s="2581"/>
      <c r="E86" s="3467"/>
      <c r="F86" s="3466"/>
      <c r="G86" s="3466"/>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2"/>
      <c r="F87" s="3463"/>
      <c r="G87" s="3463"/>
      <c r="H87" s="3464"/>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3"/>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3"/>
      <c r="G89" s="3463"/>
      <c r="H89" s="3464"/>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3"/>
      <c r="G90" s="3656" t="s">
        <v>2128</v>
      </c>
      <c r="H90" s="365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4" t="s">
        <v>1419</v>
      </c>
      <c r="F91" s="3575"/>
      <c r="G91" s="357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4" t="s">
        <v>1422</v>
      </c>
      <c r="F92" s="3575"/>
      <c r="G92" s="3575"/>
      <c r="H92" s="358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v>
      </c>
      <c r="D93" s="2577">
        <f>'数据-取费表'!B43</f>
        <v>6.000000000000001E-3</v>
      </c>
      <c r="E93" s="3574" t="s">
        <v>1406</v>
      </c>
      <c r="F93" s="3575"/>
      <c r="G93" s="3575"/>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5" t="s">
        <v>1426</v>
      </c>
      <c r="F94" s="3586"/>
      <c r="G94" s="3586"/>
      <c r="H94" s="358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1637</v>
      </c>
      <c r="D95" s="170" t="s">
        <v>26</v>
      </c>
      <c r="E95" s="3467"/>
      <c r="F95" s="3466"/>
      <c r="G95" s="3466"/>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163.69999999999999</v>
      </c>
      <c r="D96" s="170" t="s">
        <v>26</v>
      </c>
      <c r="E96" s="3455" t="str">
        <f ca="1">IF(C96&gt;=200%,"增值额超过扣除项目金额200%",IF(C96&gt;=100%,"增值额超过扣除项目金额100%，未超过200%",IF(C96&gt;=50%,"增值额超过扣除项目金额50%，未超过100%",IF(C96&lt;50%,"增值额未超过扣除项目金额50%"))))</f>
        <v>增值额超过扣除项目金额200%</v>
      </c>
      <c r="F96" s="3466"/>
      <c r="G96" s="3466"/>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979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85" t="str">
        <f>C4</f>
        <v>成本法(仓储)</v>
      </c>
      <c r="D101" s="2586" t="str">
        <f>D4</f>
        <v>收益法(仓储)</v>
      </c>
      <c r="E101" s="3651" t="s">
        <v>1431</v>
      </c>
      <c r="F101" s="3608"/>
      <c r="G101" s="1827" t="s">
        <v>1432</v>
      </c>
      <c r="H101" s="2595">
        <f ca="1">H118</f>
        <v>1729</v>
      </c>
      <c r="I101" s="129"/>
    </row>
    <row r="102" spans="1:35" ht="18.75" customHeight="1">
      <c r="A102" s="3610" t="s">
        <v>1433</v>
      </c>
      <c r="B102" s="2584" t="s">
        <v>1432</v>
      </c>
      <c r="C102" s="2585">
        <f ca="1">IF(D32="楼面单价",ROUND(C19,0),C19)</f>
        <v>1682</v>
      </c>
      <c r="D102" s="2586">
        <f ca="1">IF(D32="楼面单价",ROUND(D19,0),D19)</f>
        <v>1775</v>
      </c>
      <c r="E102" s="3651"/>
      <c r="F102" s="3608"/>
      <c r="G102" s="1827" t="s">
        <v>1434</v>
      </c>
      <c r="H102" s="2555">
        <f ca="1">I118</f>
        <v>14317</v>
      </c>
      <c r="I102" s="129"/>
    </row>
    <row r="103" spans="1:35" ht="42.75" customHeight="1">
      <c r="A103" s="3610"/>
      <c r="B103" s="2584" t="s">
        <v>1434</v>
      </c>
      <c r="C103" s="2587">
        <f ca="1">C20</f>
        <v>13928</v>
      </c>
      <c r="D103" s="2588">
        <f ca="1">D20</f>
        <v>14698</v>
      </c>
      <c r="E103" s="3645" t="s">
        <v>1435</v>
      </c>
      <c r="F103" s="3646"/>
      <c r="G103" s="1828" t="s">
        <v>1436</v>
      </c>
      <c r="H103" s="2595">
        <f>IF(D36="正常操作",H104+H105+H106,H105+H106)</f>
        <v>0</v>
      </c>
      <c r="I103" s="129"/>
    </row>
    <row r="104" spans="1:35" ht="18.75" customHeight="1">
      <c r="A104" s="3610" t="s">
        <v>1437</v>
      </c>
      <c r="B104" s="2589" t="s">
        <v>1432</v>
      </c>
      <c r="C104" s="2590">
        <f ca="1">H118</f>
        <v>1729</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f ca="1">I118</f>
        <v>14317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608"/>
      <c r="G107" s="1827" t="s">
        <v>1432</v>
      </c>
      <c r="H107" s="2595">
        <f ca="1">IF(E107="——","——",H101-H103)</f>
        <v>1729</v>
      </c>
      <c r="I107" s="129"/>
    </row>
    <row r="108" spans="1:35" ht="18.75" customHeight="1">
      <c r="A108" s="129"/>
      <c r="B108" s="129"/>
      <c r="C108" s="129"/>
      <c r="D108" s="129"/>
      <c r="E108" s="3607"/>
      <c r="F108" s="3608"/>
      <c r="G108" s="1827" t="s">
        <v>1434</v>
      </c>
      <c r="H108" s="2555">
        <f ca="1">IF(H107=H101,H102,ROUND(H107*10000/'数据-汇总表'!E3,0))</f>
        <v>14317</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7" t="s">
        <v>1432</v>
      </c>
      <c r="H109" s="2598" t="str">
        <f>IF(E109="——","——",H101-H105-H106)</f>
        <v>——</v>
      </c>
      <c r="I109" s="129"/>
    </row>
    <row r="110" spans="1:35" ht="18.75" customHeight="1">
      <c r="A110" s="129"/>
      <c r="B110" s="129"/>
      <c r="C110" s="129"/>
      <c r="D110" s="129"/>
      <c r="E110" s="3607"/>
      <c r="F110" s="3608"/>
      <c r="G110" s="1827" t="s">
        <v>1434</v>
      </c>
      <c r="H110" s="2555"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7" t="s">
        <v>1432</v>
      </c>
      <c r="H111" s="2595" t="str">
        <f>IF(E111="——","——",N59)</f>
        <v>——</v>
      </c>
      <c r="I111" s="129"/>
    </row>
    <row r="112" spans="1:35" ht="18.75" customHeight="1" thickBot="1">
      <c r="A112" s="129"/>
      <c r="B112" s="129"/>
      <c r="C112" s="129"/>
      <c r="D112" s="129"/>
      <c r="E112" s="3640"/>
      <c r="F112" s="3641"/>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3458" t="s">
        <v>1449</v>
      </c>
      <c r="E117" s="3458" t="s">
        <v>1450</v>
      </c>
      <c r="F117" s="3458" t="s">
        <v>1449</v>
      </c>
      <c r="G117" s="3458" t="s">
        <v>1451</v>
      </c>
      <c r="H117" s="3458" t="s">
        <v>1449</v>
      </c>
      <c r="I117" s="3458" t="s">
        <v>1451</v>
      </c>
    </row>
    <row r="118" spans="1:27" ht="24.75" customHeight="1">
      <c r="A118" s="2600" t="str">
        <f>项目基本情况!S2</f>
        <v>房地产</v>
      </c>
      <c r="B118" s="3458">
        <f>M18</f>
        <v>1207.6400000000001</v>
      </c>
      <c r="C118" s="3458">
        <f>M19</f>
        <v>0</v>
      </c>
      <c r="D118" s="3458" t="e">
        <f ca="1">ROUND(IF(D32="总价",C34,E118*B118/10000),0)</f>
        <v>#REF!</v>
      </c>
      <c r="E118" s="3458" t="e">
        <f ca="1">ROUND(IF(C33="自定义",IF(D32="楼面单价",C34,D118*10000/B118),I118-G118),0)</f>
        <v>#REF!</v>
      </c>
      <c r="F118" s="3458" t="e">
        <f ca="1">ROUND(IF(D32="总价",C35,G118*B118/10000),0)</f>
        <v>#REF!</v>
      </c>
      <c r="G118" s="3458" t="e">
        <f ca="1">ROUND(IF(D32="楼面单价",C35,F118*10000/B118),0)</f>
        <v>#REF!</v>
      </c>
      <c r="H118" s="3458">
        <f ca="1">ROUND(IF(D32="总价",C32,I118*B118/10000),0)</f>
        <v>1729</v>
      </c>
      <c r="I118" s="3458">
        <f ca="1">ROUND(IF(D32="楼面单价",C32,H118*10000/B118),0)</f>
        <v>14317</v>
      </c>
    </row>
    <row r="119" spans="1:27" ht="18.75" customHeight="1">
      <c r="A119" s="3578" t="s">
        <v>1452</v>
      </c>
      <c r="B119" s="3578"/>
      <c r="C119" s="3578"/>
      <c r="D119" s="3618" t="e">
        <f ca="1">NUMBERSTRING(INT(D118*10000),2)&amp;"元整"</f>
        <v>#REF!</v>
      </c>
      <c r="E119" s="3620"/>
      <c r="F119" s="3618" t="e">
        <f ca="1">NUMBERSTRING(INT(F118*10000),2)&amp;"元整"</f>
        <v>#REF!</v>
      </c>
      <c r="G119" s="3620"/>
      <c r="H119" s="3618" t="str">
        <f ca="1">NUMBERSTRING(INT(H118*10000),2)&amp;"元整"</f>
        <v>壹仟柒佰贰拾玖万元整</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房地产抵押价值</v>
      </c>
      <c r="B122" s="3609"/>
      <c r="C122" s="3609"/>
      <c r="D122" s="3642">
        <f ca="1">H107</f>
        <v>1729</v>
      </c>
      <c r="E122" s="3643"/>
      <c r="F122" s="3643"/>
      <c r="G122" s="3643"/>
      <c r="H122" s="3643"/>
      <c r="I122" s="3644"/>
      <c r="AA122" s="725"/>
    </row>
    <row r="123" spans="1:27" ht="18.75" customHeight="1">
      <c r="A123" s="3578" t="s">
        <v>1452</v>
      </c>
      <c r="B123" s="3578"/>
      <c r="C123" s="3578"/>
      <c r="D123" s="3618" t="str">
        <f ca="1">NUMBERSTRING(INT(D122*10000),2)&amp;"元整"</f>
        <v>壹仟柒佰贰拾玖万元整</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1" sqref="I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3337</v>
      </c>
      <c r="C1" s="198"/>
      <c r="D1" s="198"/>
      <c r="E1" s="198"/>
      <c r="F1" s="198"/>
      <c r="G1" s="1126">
        <f>MATCH(B1,'数据-取费表'!A6:A16,0)+5</f>
        <v>8</v>
      </c>
    </row>
    <row r="2" spans="1:9" s="200" customFormat="1" ht="18" customHeight="1">
      <c r="A2" s="201" t="s">
        <v>685</v>
      </c>
      <c r="B2" s="202">
        <f ca="1">IF(D2="——",C52,C52-E2)</f>
        <v>1682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13928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898</v>
      </c>
      <c r="D5" s="211" t="s">
        <v>1469</v>
      </c>
      <c r="E5" s="212" t="s">
        <v>1470</v>
      </c>
      <c r="F5" s="212" t="s">
        <v>1471</v>
      </c>
      <c r="G5" s="213"/>
    </row>
    <row r="6" spans="1:9" s="214" customFormat="1" ht="13.5" customHeight="1">
      <c r="A6" s="778" t="s">
        <v>1472</v>
      </c>
      <c r="B6" s="215" t="s">
        <v>1473</v>
      </c>
      <c r="C6" s="216">
        <f>基准地价修正!E41</f>
        <v>848</v>
      </c>
      <c r="D6" s="217"/>
      <c r="E6" s="218"/>
      <c r="F6" s="218"/>
      <c r="G6" s="219"/>
    </row>
    <row r="7" spans="1:9" s="214" customFormat="1" ht="13.5" customHeight="1">
      <c r="A7" s="778" t="s">
        <v>1474</v>
      </c>
      <c r="B7" s="215" t="s">
        <v>1475</v>
      </c>
      <c r="C7" s="220">
        <f>ROUND(C6*F7,0)</f>
        <v>26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24</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3405</v>
      </c>
      <c r="H9" s="1137"/>
      <c r="I9" s="1858" t="s">
        <v>1479</v>
      </c>
    </row>
    <row r="10" spans="1:9" s="214" customFormat="1" ht="13.5" customHeight="1">
      <c r="A10" s="779" t="s">
        <v>356</v>
      </c>
      <c r="B10" s="224" t="s">
        <v>1480</v>
      </c>
      <c r="C10" s="225">
        <f ca="1">ROUND(D10*E10/10000,0)</f>
        <v>24</v>
      </c>
      <c r="D10" s="845">
        <f ca="1">IF(B1="",'数据-汇总表'!E6,IF(INDIRECT("'数据-取费表'!c"&amp;$G$1)="住宅",INDIRECT("'数据-取费表'!s"&amp;$G$1),INDIRECT("'数据-取费表'!k"&amp;$G$1)+INDIRECT("'数据-取费表'!s"&amp;$G$1)))</f>
        <v>1207.6400000000001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1207.6400000000001</v>
      </c>
      <c r="E19" s="211">
        <f>'数据-取费表'!B31</f>
        <v>200</v>
      </c>
      <c r="F19" s="231"/>
      <c r="G19" s="1856" t="s">
        <v>3406</v>
      </c>
    </row>
    <row r="20" spans="1:7" s="214" customFormat="1" ht="13.5" customHeight="1">
      <c r="A20" s="255" t="s">
        <v>1493</v>
      </c>
      <c r="B20" s="210" t="s">
        <v>1494</v>
      </c>
      <c r="C20" s="232">
        <f ca="1">ROUND((C5+C19)*F20,0)</f>
        <v>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1472</v>
      </c>
      <c r="B23" s="215" t="s">
        <v>1503</v>
      </c>
      <c r="C23" s="1105">
        <f ca="1">ROUND(IF('数据-取费表'!B22&lt;=1,C5*F22*'数据-取费表'!B23,C5*(POWER((1+F22),'数据-取费表'!B23)-1)),0)</f>
        <v>63</v>
      </c>
      <c r="D23" s="238"/>
      <c r="E23" s="238"/>
      <c r="F23" s="239"/>
      <c r="G23" s="240" t="s">
        <v>1504</v>
      </c>
    </row>
    <row r="24" spans="1:7" s="214" customFormat="1" ht="13.5" customHeight="1">
      <c r="A24" s="780" t="s">
        <v>1474</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92</v>
      </c>
      <c r="D27" s="235">
        <f ca="1">C29</f>
        <v>2E-3</v>
      </c>
      <c r="E27" s="236" t="s">
        <v>1498</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92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1498</v>
      </c>
      <c r="E30" s="241"/>
      <c r="F30" s="237">
        <f>'数据-取费表'!B41</f>
        <v>5.6000000000000001E-2</v>
      </c>
      <c r="G30" s="234" t="s">
        <v>1520</v>
      </c>
    </row>
    <row r="31" spans="1:7" ht="16.5" customHeight="1">
      <c r="A31" s="209">
        <v>1</v>
      </c>
      <c r="B31" s="210" t="s">
        <v>1521</v>
      </c>
      <c r="C31" s="211">
        <f ca="1">ROUND((C5+C19+C20+C22+C27)/(1-C21-D22-D27-C30),0)</f>
        <v>1160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483</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24</v>
      </c>
      <c r="D37" s="217">
        <f ca="1">D19</f>
        <v>1207.6400000000001</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1491</v>
      </c>
      <c r="B39" s="210" t="s">
        <v>1494</v>
      </c>
      <c r="C39" s="232">
        <f ca="1">ROUND(C33*F20,0)</f>
        <v>11</v>
      </c>
      <c r="D39" s="232"/>
      <c r="E39" s="232"/>
      <c r="F39" s="233">
        <f>F20</f>
        <v>0.02</v>
      </c>
      <c r="G39" s="234" t="s">
        <v>1536</v>
      </c>
    </row>
    <row r="40" spans="1:7" s="214" customFormat="1" ht="13.5" customHeight="1">
      <c r="A40" s="255" t="s">
        <v>1493</v>
      </c>
      <c r="B40" s="210" t="s">
        <v>1497</v>
      </c>
      <c r="C40" s="1327">
        <f>F21</f>
        <v>0.02</v>
      </c>
      <c r="D40" s="236" t="s">
        <v>1539</v>
      </c>
      <c r="E40" s="232"/>
      <c r="F40" s="233">
        <f>F21</f>
        <v>0.02</v>
      </c>
      <c r="G40" s="234" t="s">
        <v>1540</v>
      </c>
    </row>
    <row r="41" spans="1:7" s="214" customFormat="1" ht="13.5" customHeight="1">
      <c r="A41" s="255" t="s">
        <v>1496</v>
      </c>
      <c r="B41" s="210" t="s">
        <v>1501</v>
      </c>
      <c r="C41" s="232">
        <f ca="1">ROUND(SUM(C42:C43),0)</f>
        <v>18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1503</v>
      </c>
      <c r="C42" s="238">
        <f ca="1">ROUND(IF('数据-取费表'!B22&lt;=1,C33*F22*'数据-取费表'!B21/2,C33*(POWER((1+F22),'数据-取费表'!B21/2)-1)),0)</f>
        <v>18</v>
      </c>
      <c r="D42" s="238"/>
      <c r="E42" s="238"/>
      <c r="F42" s="239"/>
      <c r="G42" s="3658" t="s">
        <v>1544</v>
      </c>
    </row>
    <row r="43" spans="1:7" ht="13.5" customHeight="1">
      <c r="A43" s="780" t="s">
        <v>347</v>
      </c>
      <c r="B43" s="215" t="s">
        <v>1506</v>
      </c>
      <c r="C43" s="238">
        <f ca="1">ROUND(IF('数据-取费表'!B22&lt;=1,C39*F22*'数据-取费表'!B21/2,C39*(POWER((1+F22),'数据-取费表'!B21/2)-1)),0)</f>
        <v>0</v>
      </c>
      <c r="D43" s="238"/>
      <c r="E43" s="238"/>
      <c r="F43" s="239"/>
      <c r="G43" s="3659"/>
    </row>
    <row r="44" spans="1:7" ht="13.5" customHeight="1">
      <c r="A44" s="780" t="s">
        <v>348</v>
      </c>
      <c r="B44" s="215" t="s">
        <v>1509</v>
      </c>
      <c r="C44" s="238">
        <f ca="1">ROUND(IF('数据-取费表'!B22&lt;=1,C40*F22*'数据-取费表'!B21/2,C40*(POWER((1+F22),'数据-取费表'!B21/2)-1)),4)</f>
        <v>6.9999999999999999E-4</v>
      </c>
      <c r="D44" s="238"/>
      <c r="E44" s="238"/>
      <c r="F44" s="239"/>
      <c r="G44" s="3660"/>
    </row>
    <row r="45" spans="1:7" s="214" customFormat="1" ht="13.5" customHeight="1">
      <c r="A45" s="255" t="s">
        <v>1500</v>
      </c>
      <c r="B45" s="244" t="s">
        <v>1513</v>
      </c>
      <c r="C45" s="245">
        <f ca="1">C46</f>
        <v>54</v>
      </c>
      <c r="D45" s="235">
        <f ca="1">C47</f>
        <v>2E-3</v>
      </c>
      <c r="E45" s="236" t="s">
        <v>1539</v>
      </c>
      <c r="F45" s="246">
        <f ca="1">F27</f>
        <v>0.1</v>
      </c>
      <c r="G45" s="247" t="s">
        <v>1548</v>
      </c>
    </row>
    <row r="46" spans="1:7" s="214" customFormat="1" ht="13.5" customHeight="1">
      <c r="A46" s="780" t="s">
        <v>346</v>
      </c>
      <c r="B46" s="248" t="s">
        <v>1549</v>
      </c>
      <c r="C46" s="249">
        <f ca="1">ROUND((C33+C39)*F27,0)</f>
        <v>54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661</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522</v>
      </c>
      <c r="D51" s="232"/>
      <c r="E51" s="232"/>
      <c r="F51" s="264"/>
      <c r="G51" s="234" t="s">
        <v>1560</v>
      </c>
    </row>
    <row r="52" spans="1:7" s="208" customFormat="1" ht="16.5" thickBot="1">
      <c r="A52" s="265" t="s">
        <v>1561</v>
      </c>
      <c r="B52" s="266"/>
      <c r="C52" s="267">
        <f ca="1">C31+C51</f>
        <v>1682</v>
      </c>
      <c r="D52" s="266"/>
      <c r="E52" s="266"/>
      <c r="F52" s="266"/>
      <c r="G52" s="268"/>
    </row>
    <row r="55" spans="1:7" ht="15">
      <c r="B55" s="270" t="s">
        <v>1562</v>
      </c>
      <c r="C55" s="271"/>
    </row>
    <row r="56" spans="1:7">
      <c r="B56" s="273" t="s">
        <v>802</v>
      </c>
      <c r="C56" s="275">
        <f ca="1">1-C57</f>
        <v>0.69</v>
      </c>
    </row>
    <row r="57" spans="1:7">
      <c r="B57" s="273" t="s">
        <v>803</v>
      </c>
      <c r="C57" s="274">
        <f ca="1">ROUND(C51/C52,3)</f>
        <v>0.31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5" zoomScaleNormal="80" zoomScaleSheetLayoutView="85" workbookViewId="0">
      <selection activeCell="E42" activeCellId="3" sqref="V2:V4 E37 E41 E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9245.02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45621</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Ⅱ—07</v>
      </c>
      <c r="J2" s="2002"/>
      <c r="K2" s="1119"/>
      <c r="L2" s="2003" t="s">
        <v>1939</v>
      </c>
      <c r="M2" s="864">
        <f>SUMPRODUCT((区片价!B10:B29=I2)*(区片价!C3:G3=E2)*(区片价!C10:G29))</f>
        <v>26790</v>
      </c>
      <c r="N2" s="866">
        <f>SUMPRODUCT((因素修正幅度!B10:B29=I2)*(因素修正幅度!C3:G3=E2)*(因素修正幅度!C10:G29))</f>
        <v>9.8000000000000004E-2</v>
      </c>
      <c r="O2" s="1119"/>
      <c r="P2" s="1119"/>
      <c r="Q2" s="1119"/>
      <c r="R2" s="1212">
        <v>1</v>
      </c>
      <c r="S2" s="3361">
        <f>ROUND(SUMPRODUCT((B106:B110=R2)*(C105:N105=G2)*(C106:N110)),4)</f>
        <v>1.5206</v>
      </c>
      <c r="T2" s="3361">
        <f t="shared" ref="T2:T16" si="0">ROUND($C$5*$C$22*$C$23*$C$24*S2*$C$28,0)</f>
        <v>28286</v>
      </c>
      <c r="U2" s="1213">
        <f>'数据-取费表'!T19</f>
        <v>4691.97</v>
      </c>
      <c r="V2" s="3361">
        <f>ROUND(T2*U2/10000,0)</f>
        <v>13272</v>
      </c>
      <c r="W2" s="1216"/>
      <c r="X2" s="1216"/>
      <c r="Y2" s="1216"/>
      <c r="Z2" s="1216"/>
      <c r="AA2" s="1216"/>
      <c r="AB2" s="1216"/>
      <c r="AC2" s="1217"/>
      <c r="AD2" s="1218"/>
      <c r="AE2" s="1218"/>
      <c r="AF2" s="1218"/>
      <c r="AG2" s="1218"/>
      <c r="AH2" s="1218"/>
      <c r="AI2" s="1218"/>
      <c r="AJ2" s="1219"/>
    </row>
    <row r="3" spans="1:36" ht="15.75">
      <c r="A3" s="203" t="s">
        <v>1940</v>
      </c>
      <c r="B3" s="204">
        <f>ROUND(B2*10000/D1,0)</f>
        <v>49347</v>
      </c>
      <c r="C3" s="1999" t="s">
        <v>1941</v>
      </c>
      <c r="D3" s="2000" t="s">
        <v>1942</v>
      </c>
      <c r="E3" s="3420" t="s">
        <v>2442</v>
      </c>
      <c r="F3" s="2004" t="s">
        <v>3393</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22456</v>
      </c>
      <c r="U3" s="1213">
        <f>'数据-取费表'!T20</f>
        <v>6439.65</v>
      </c>
      <c r="V3" s="3361">
        <f t="shared" ref="V3:V16" si="1">ROUND(T3*U3/10000,0)</f>
        <v>14461</v>
      </c>
      <c r="W3" s="1216"/>
      <c r="X3" s="1216"/>
      <c r="Y3" s="1216"/>
      <c r="Z3" s="1216"/>
      <c r="AA3" s="1216"/>
      <c r="AB3" s="1216"/>
      <c r="AC3" s="1217"/>
      <c r="AD3" s="1218"/>
      <c r="AE3" s="1218"/>
      <c r="AF3" s="1218"/>
      <c r="AG3" s="1218"/>
      <c r="AH3" s="1218"/>
      <c r="AI3" s="1218"/>
      <c r="AJ3" s="1219"/>
    </row>
    <row r="4" spans="1:36" ht="15.75">
      <c r="A4" s="3770"/>
      <c r="B4" s="3771"/>
      <c r="C4" s="3771"/>
      <c r="D4" s="3772"/>
      <c r="E4" s="3772"/>
      <c r="F4" s="3772"/>
      <c r="G4" s="3772"/>
      <c r="H4" s="3772"/>
      <c r="I4" s="3772"/>
      <c r="J4" s="377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19404</v>
      </c>
      <c r="U4" s="1213">
        <f>'数据-取费表'!T21</f>
        <v>6514.75</v>
      </c>
      <c r="V4" s="3361">
        <f t="shared" si="1"/>
        <v>12641</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26756</v>
      </c>
      <c r="D5" s="1339">
        <f>ROUND(C6*C17+C20,0)</f>
        <v>26756</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17558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26790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16734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0</v>
      </c>
      <c r="AA7" s="1216"/>
      <c r="AB7" s="1216"/>
      <c r="AC7" s="1217"/>
      <c r="AD7" s="1218"/>
      <c r="AE7" s="1218"/>
      <c r="AF7" s="1218"/>
      <c r="AG7" s="1218"/>
      <c r="AH7" s="1218"/>
      <c r="AI7" s="1218"/>
      <c r="AJ7" s="1219"/>
    </row>
    <row r="8" spans="1:36" ht="25.5">
      <c r="A8" s="3299"/>
      <c r="B8" s="170" t="s">
        <v>1957</v>
      </c>
      <c r="C8" s="2026" t="s">
        <v>3394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7" t="s">
        <v>1960</v>
      </c>
      <c r="X8" s="376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9"/>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4" t="s">
        <v>3257</v>
      </c>
      <c r="B20" s="167" t="s">
        <v>1994</v>
      </c>
      <c r="C20" s="3325">
        <f>ROUND(IF(F21="与级别开发程度一致",0,(G21-E21)/C21),0)</f>
        <v>-34</v>
      </c>
      <c r="D20" s="3341" t="s">
        <v>1998</v>
      </c>
      <c r="E20" s="3342"/>
      <c r="F20" s="3780" t="s">
        <v>1995</v>
      </c>
      <c r="G20" s="3781"/>
      <c r="H20" s="3326" t="s">
        <v>3395</v>
      </c>
      <c r="I20" s="3326" t="s">
        <v>3396</v>
      </c>
      <c r="J20" s="3327" t="s">
        <v>3397</v>
      </c>
      <c r="K20" s="2047" t="s">
        <v>3397</v>
      </c>
      <c r="L20" s="2047" t="s">
        <v>3398</v>
      </c>
      <c r="M20" s="2047" t="s">
        <v>3399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5"/>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3400</v>
      </c>
      <c r="G21" s="2157">
        <f>SUM(H21:O21)</f>
        <v>255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20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45243</v>
      </c>
      <c r="H23" s="3343" t="s">
        <v>3259</v>
      </c>
      <c r="I23" s="3344" t="str">
        <f>IF(H23="季度增幅（自定义）",SUMIF(N25:N28,E2,O25:O28),"")</f>
        <v/>
      </c>
      <c r="J23" s="3446" t="s">
        <v>3258</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0.63229999999999997</v>
      </c>
      <c r="D24" s="2060" t="s">
        <v>2007</v>
      </c>
      <c r="E24" s="1335">
        <f>存贷款利率!E24/100</f>
        <v>4.3499999999999997E-2</v>
      </c>
      <c r="F24" s="2060" t="s">
        <v>1999</v>
      </c>
      <c r="G24" s="768">
        <f>SUMIF(M30:Q30,E2,M33:Q33)</f>
        <v>5.5E-2</v>
      </c>
      <c r="H24" s="2060" t="s">
        <v>2008</v>
      </c>
      <c r="I24" s="769">
        <f>SUMIF('数据-取费表'!C6:C15,E2,'数据-取费表'!F6:F15)/COUNTIF('数据-取费表'!C6:C15,E2)</f>
        <v>15.25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45621</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1311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8"/>
      <c r="B37" s="2113" t="s">
        <v>2036</v>
      </c>
      <c r="C37" s="175">
        <f>ROUND(D5*C22*C23*C24*C28*F37,0)</f>
        <v>13021</v>
      </c>
      <c r="D37" s="2098">
        <f>'数据-汇总表'!G19</f>
        <v>760.17</v>
      </c>
      <c r="E37" s="171">
        <f>ROUND(C37*D37/10000,0)</f>
        <v>990</v>
      </c>
      <c r="F37" s="171">
        <f>SUMIF(修正!A57:A68,G2,修正!B57:B68)</f>
        <v>0.7</v>
      </c>
      <c r="G37" s="171">
        <f>ROUND(IF(E2="工业",C37*$M$42,C37*$M$41),0)</f>
        <v>3255</v>
      </c>
      <c r="H37" s="171">
        <f>D37</f>
        <v>760.17</v>
      </c>
      <c r="I37" s="171">
        <f>ROUND(G37*H37/10000,0)</f>
        <v>247</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9"/>
      <c r="B38" s="2041" t="s">
        <v>2037</v>
      </c>
      <c r="C38" s="175">
        <f>ROUND(D5*C22*C23*C24*C28*F38,0)</f>
        <v>7441</v>
      </c>
      <c r="D38" s="2098"/>
      <c r="E38" s="171">
        <f t="shared" ref="E38:E42" si="4">ROUND(C38*D38/10000,0)</f>
        <v>0</v>
      </c>
      <c r="F38" s="171">
        <f>SUMIF(修正!A57:A68,G2,修正!C57:C68)</f>
        <v>0.4</v>
      </c>
      <c r="G38" s="171">
        <f>ROUND(IF(E2="工业",C38*$M$42,C38*$M$41),0)</f>
        <v>1860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9"/>
      <c r="B39" s="2041" t="s">
        <v>3262</v>
      </c>
      <c r="C39" s="175">
        <f>ROUND(D5*C22*C23*C24*C28*F39,0)</f>
        <v>5581</v>
      </c>
      <c r="D39" s="2098"/>
      <c r="E39" s="171">
        <f t="shared" si="4"/>
        <v>0</v>
      </c>
      <c r="F39" s="171">
        <f>SUMIF(修正!A57:A68,G2,修正!D57:D68)</f>
        <v>0.3</v>
      </c>
      <c r="G39" s="171">
        <f>ROUND(IF(E2="工业",C39*$M$42,C39*$M$41),0)</f>
        <v>1395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5581</v>
      </c>
      <c r="D40" s="2098"/>
      <c r="E40" s="171">
        <f t="shared" si="4"/>
        <v>0</v>
      </c>
      <c r="F40" s="175">
        <f>SUMIF(修正!A57:A68,G2,修正!E57:E68)</f>
        <v>0.3</v>
      </c>
      <c r="G40" s="171">
        <f>ROUND(IF(E2="工业",C40*$M$42,C40*$M$41),0)</f>
        <v>1395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7026</v>
      </c>
      <c r="D41" s="2098">
        <f>'数据-汇总表'!G21</f>
        <v>1207.6400000000001</v>
      </c>
      <c r="E41" s="171">
        <f t="shared" si="4"/>
        <v>848</v>
      </c>
      <c r="F41" s="175">
        <f>SUMIF(修正!A57:A68,G2,修正!F57:F68)</f>
        <v>0.3</v>
      </c>
      <c r="G41" s="171">
        <f>ROUND(IF(E2="工业",C41*$M$42,C41*$M$41),0)</f>
        <v>1757</v>
      </c>
      <c r="H41" s="171">
        <f t="shared" si="5"/>
        <v>1207.6400000000001</v>
      </c>
      <c r="I41" s="171">
        <f t="shared" si="6"/>
        <v>212</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4684</v>
      </c>
      <c r="D42" s="2103">
        <f>'数据-汇总表'!G20</f>
        <v>7277.21</v>
      </c>
      <c r="E42" s="187">
        <f t="shared" si="4"/>
        <v>3409</v>
      </c>
      <c r="F42" s="767">
        <f>SUMIF(修正!A57:A68,G2,修正!G57:G68)</f>
        <v>0.2</v>
      </c>
      <c r="G42" s="187">
        <f>ROUND(IF(E2="工业",C42*$M$42,C42*$M$41),0)</f>
        <v>1171</v>
      </c>
      <c r="H42" s="187">
        <f t="shared" si="5"/>
        <v>7277.21</v>
      </c>
      <c r="I42" s="187">
        <f t="shared" si="6"/>
        <v>852</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0.79610000000000003</v>
      </c>
      <c r="D44" s="171" t="s">
        <v>1999</v>
      </c>
      <c r="E44" s="2153">
        <f>G24</f>
        <v>5.5E-2</v>
      </c>
      <c r="F44" s="171" t="s">
        <v>2008</v>
      </c>
      <c r="G44" s="183">
        <f>项目基本情况!F15</f>
        <v>25.26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1.47E-2</v>
      </c>
      <c r="E50" s="744">
        <f>ROUND(SUM(D50:D58),4)</f>
        <v>5.2499999999999998E-2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3402</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6" t="s">
        <v>3297</v>
      </c>
      <c r="B103" s="3776"/>
      <c r="C103" s="3776"/>
      <c r="D103" s="3776"/>
      <c r="E103" s="3776"/>
      <c r="F103" s="3776"/>
      <c r="G103" s="3776"/>
      <c r="H103" s="3776"/>
      <c r="I103" s="3776"/>
      <c r="J103" s="3776"/>
      <c r="K103" s="3390"/>
      <c r="L103" s="3390"/>
      <c r="M103" s="3390"/>
      <c r="N103" s="3390"/>
    </row>
    <row r="104" spans="1:14">
      <c r="A104" s="3777" t="s">
        <v>3298</v>
      </c>
      <c r="B104" s="3777" t="s">
        <v>3299</v>
      </c>
      <c r="C104" s="3391" t="s">
        <v>3300</v>
      </c>
      <c r="D104" s="3392"/>
      <c r="E104" s="3392"/>
      <c r="F104" s="3392"/>
      <c r="G104" s="3392"/>
      <c r="H104" s="3392"/>
      <c r="I104" s="3392"/>
      <c r="J104" s="3393"/>
      <c r="K104" s="3394"/>
      <c r="L104" s="3394"/>
      <c r="M104" s="3394"/>
      <c r="N104" s="3394"/>
    </row>
    <row r="105" spans="1:14">
      <c r="A105" s="3777"/>
      <c r="B105" s="3777"/>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63"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4"/>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6" t="s">
        <v>3314</v>
      </c>
      <c r="B113" s="3766"/>
      <c r="C113" s="3766"/>
      <c r="D113" s="3766"/>
      <c r="E113" s="3766"/>
      <c r="F113" s="3766"/>
      <c r="G113" s="3766"/>
      <c r="H113" s="3766"/>
      <c r="I113" s="3766"/>
      <c r="J113" s="376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0.99680000000000002</v>
      </c>
      <c r="E116" s="2000" t="s">
        <v>3317</v>
      </c>
      <c r="F116" s="3402" t="str">
        <f>E2</f>
        <v>商业</v>
      </c>
      <c r="G116" s="2000" t="s">
        <v>3318</v>
      </c>
      <c r="H116" s="3402" t="str">
        <f>G2</f>
        <v>二级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3332</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3333</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6" priority="6" stopIfTrue="1" operator="notEqual">
      <formula>"——"</formula>
    </cfRule>
  </conditionalFormatting>
  <conditionalFormatting sqref="F61">
    <cfRule type="cellIs" dxfId="45" priority="5" stopIfTrue="1" operator="notEqual">
      <formula>"——"</formula>
    </cfRule>
  </conditionalFormatting>
  <conditionalFormatting sqref="F72">
    <cfRule type="cellIs" dxfId="44" priority="4" stopIfTrue="1" operator="notEqual">
      <formula>"——"</formula>
    </cfRule>
  </conditionalFormatting>
  <conditionalFormatting sqref="F83">
    <cfRule type="cellIs" dxfId="43" priority="3" stopIfTrue="1" operator="notEqual">
      <formula>"——"</formula>
    </cfRule>
  </conditionalFormatting>
  <conditionalFormatting sqref="H50:H58 H61:H69 H72:H80 H83:H91">
    <cfRule type="cellIs" dxfId="42" priority="2" operator="notEqual">
      <formula>"——"</formula>
    </cfRule>
  </conditionalFormatting>
  <conditionalFormatting sqref="H93:H101">
    <cfRule type="cellIs" dxfId="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1" t="s">
        <v>2610</v>
      </c>
      <c r="B20" s="3786" t="s">
        <v>2631</v>
      </c>
      <c r="C20" s="3103" t="s">
        <v>2442</v>
      </c>
      <c r="D20" s="3104"/>
      <c r="E20" s="3105">
        <v>1</v>
      </c>
      <c r="F20" s="3106" t="s">
        <v>2443</v>
      </c>
      <c r="G20" s="3106"/>
    </row>
    <row r="21" spans="1:13" ht="19.5" customHeight="1">
      <c r="A21" s="3792"/>
      <c r="B21" s="3785"/>
      <c r="C21" s="3107" t="s">
        <v>2444</v>
      </c>
      <c r="D21" s="3108"/>
      <c r="E21" s="3109">
        <v>1</v>
      </c>
      <c r="F21" s="3106" t="s">
        <v>2445</v>
      </c>
      <c r="G21" s="3106"/>
    </row>
    <row r="22" spans="1:13" ht="19.5" customHeight="1">
      <c r="A22" s="3792"/>
      <c r="B22" s="3785"/>
      <c r="C22" s="3107" t="s">
        <v>2446</v>
      </c>
      <c r="D22" s="3108"/>
      <c r="E22" s="3109">
        <v>0.9</v>
      </c>
      <c r="F22" s="3106" t="s">
        <v>2447</v>
      </c>
      <c r="G22" s="3106"/>
    </row>
    <row r="23" spans="1:13" ht="19.5" customHeight="1">
      <c r="A23" s="3792"/>
      <c r="B23" s="3785"/>
      <c r="C23" s="3107" t="s">
        <v>2448</v>
      </c>
      <c r="D23" s="3108"/>
      <c r="E23" s="3109">
        <v>0.9</v>
      </c>
      <c r="F23" s="3106" t="s">
        <v>2449</v>
      </c>
      <c r="G23" s="3106"/>
    </row>
    <row r="24" spans="1:13" ht="19.5" customHeight="1">
      <c r="A24" s="3792"/>
      <c r="B24" s="3785"/>
      <c r="C24" s="3107" t="s">
        <v>2450</v>
      </c>
      <c r="D24" s="3108"/>
      <c r="E24" s="3109">
        <v>0.8</v>
      </c>
      <c r="F24" s="3106" t="s">
        <v>2451</v>
      </c>
      <c r="G24" s="3106"/>
    </row>
    <row r="25" spans="1:13" ht="19.5" customHeight="1" thickBot="1">
      <c r="A25" s="3793"/>
      <c r="B25" s="378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8" t="s">
        <v>2634</v>
      </c>
      <c r="B27" s="3786" t="s">
        <v>2615</v>
      </c>
      <c r="C27" s="3103" t="s">
        <v>2455</v>
      </c>
      <c r="D27" s="3104"/>
      <c r="E27" s="3105">
        <v>1</v>
      </c>
      <c r="F27" s="3106" t="s">
        <v>2456</v>
      </c>
      <c r="G27" s="3106"/>
    </row>
    <row r="28" spans="1:13" ht="19.5" customHeight="1">
      <c r="A28" s="3789"/>
      <c r="B28" s="3785"/>
      <c r="C28" s="3107" t="s">
        <v>2457</v>
      </c>
      <c r="D28" s="3108"/>
      <c r="E28" s="3109">
        <v>1</v>
      </c>
      <c r="F28" s="3106" t="s">
        <v>2458</v>
      </c>
      <c r="G28" s="3106"/>
    </row>
    <row r="29" spans="1:13" ht="19.5" customHeight="1">
      <c r="A29" s="3789"/>
      <c r="B29" s="3785"/>
      <c r="C29" s="3107" t="s">
        <v>2459</v>
      </c>
      <c r="D29" s="3108"/>
      <c r="E29" s="3109">
        <v>0.8</v>
      </c>
      <c r="F29" s="3106" t="s">
        <v>2460</v>
      </c>
      <c r="G29" s="3106"/>
    </row>
    <row r="30" spans="1:13" ht="19.5" customHeight="1">
      <c r="A30" s="3789"/>
      <c r="B30" s="3785"/>
      <c r="C30" s="3107" t="s">
        <v>2461</v>
      </c>
      <c r="D30" s="3108"/>
      <c r="E30" s="3109">
        <v>0.8</v>
      </c>
      <c r="F30" s="3106" t="s">
        <v>2462</v>
      </c>
      <c r="G30" s="3106"/>
    </row>
    <row r="31" spans="1:13" ht="19.5" customHeight="1">
      <c r="A31" s="3789"/>
      <c r="B31" s="3785"/>
      <c r="C31" s="3107" t="s">
        <v>2463</v>
      </c>
      <c r="D31" s="3108"/>
      <c r="E31" s="3109">
        <v>0.8</v>
      </c>
      <c r="F31" s="3106" t="s">
        <v>2464</v>
      </c>
      <c r="G31" s="3106"/>
    </row>
    <row r="32" spans="1:13" ht="19.5" customHeight="1">
      <c r="A32" s="3789"/>
      <c r="B32" s="3785"/>
      <c r="C32" s="3107" t="s">
        <v>2465</v>
      </c>
      <c r="D32" s="3108"/>
      <c r="E32" s="3109">
        <v>0.7</v>
      </c>
      <c r="F32" s="3106" t="s">
        <v>2466</v>
      </c>
      <c r="G32" s="3106"/>
    </row>
    <row r="33" spans="1:7" ht="19.5" customHeight="1">
      <c r="A33" s="3789"/>
      <c r="B33" s="3785"/>
      <c r="C33" s="3107" t="s">
        <v>2467</v>
      </c>
      <c r="D33" s="3108"/>
      <c r="E33" s="3109">
        <v>0.8</v>
      </c>
      <c r="F33" s="3106" t="s">
        <v>2468</v>
      </c>
      <c r="G33" s="3106"/>
    </row>
    <row r="34" spans="1:7" ht="19.5" customHeight="1">
      <c r="A34" s="3789"/>
      <c r="B34" s="3785"/>
      <c r="C34" s="3107" t="s">
        <v>2469</v>
      </c>
      <c r="D34" s="3108"/>
      <c r="E34" s="3109">
        <v>0.6</v>
      </c>
      <c r="F34" s="3106" t="s">
        <v>2470</v>
      </c>
      <c r="G34" s="3106"/>
    </row>
    <row r="35" spans="1:7" ht="19.5" customHeight="1">
      <c r="A35" s="3789"/>
      <c r="B35" s="3785"/>
      <c r="C35" s="3107" t="s">
        <v>2471</v>
      </c>
      <c r="D35" s="3108"/>
      <c r="E35" s="3109">
        <v>0.2</v>
      </c>
      <c r="F35" s="3106" t="s">
        <v>2472</v>
      </c>
      <c r="G35" s="3106"/>
    </row>
    <row r="36" spans="1:7" ht="19.5" customHeight="1">
      <c r="A36" s="3789"/>
      <c r="B36" s="3785"/>
      <c r="C36" s="3107" t="s">
        <v>2473</v>
      </c>
      <c r="D36" s="3108"/>
      <c r="E36" s="3109">
        <v>0.2</v>
      </c>
      <c r="F36" s="3106" t="s">
        <v>2474</v>
      </c>
      <c r="G36" s="3106"/>
    </row>
    <row r="37" spans="1:7" ht="19.5" customHeight="1">
      <c r="A37" s="3789"/>
      <c r="B37" s="3783" t="s">
        <v>2635</v>
      </c>
      <c r="C37" s="3107" t="s">
        <v>2475</v>
      </c>
      <c r="D37" s="3108"/>
      <c r="E37" s="3109">
        <v>0.6</v>
      </c>
      <c r="F37" s="3106" t="s">
        <v>2476</v>
      </c>
      <c r="G37" s="3106"/>
    </row>
    <row r="38" spans="1:7" ht="19.5" customHeight="1">
      <c r="A38" s="3789"/>
      <c r="B38" s="3785"/>
      <c r="C38" s="3107" t="s">
        <v>2477</v>
      </c>
      <c r="D38" s="3108"/>
      <c r="E38" s="3109">
        <v>0.6</v>
      </c>
      <c r="F38" s="3106" t="s">
        <v>2478</v>
      </c>
      <c r="G38" s="3106"/>
    </row>
    <row r="39" spans="1:7" ht="19.5" customHeight="1" thickBot="1">
      <c r="A39" s="3790"/>
      <c r="B39" s="378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1" t="s">
        <v>2613</v>
      </c>
      <c r="B41" s="3786" t="s">
        <v>2637</v>
      </c>
      <c r="C41" s="3103" t="s">
        <v>2482</v>
      </c>
      <c r="D41" s="3104"/>
      <c r="E41" s="3105">
        <v>1</v>
      </c>
      <c r="F41" s="3106" t="s">
        <v>2483</v>
      </c>
      <c r="G41" s="3106"/>
    </row>
    <row r="42" spans="1:7" ht="19.5" customHeight="1">
      <c r="A42" s="3792"/>
      <c r="B42" s="3785"/>
      <c r="C42" s="3107" t="s">
        <v>2484</v>
      </c>
      <c r="D42" s="3108"/>
      <c r="E42" s="3109">
        <v>1</v>
      </c>
      <c r="F42" s="3106" t="s">
        <v>2485</v>
      </c>
      <c r="G42" s="3106"/>
    </row>
    <row r="43" spans="1:7" ht="19.5" customHeight="1">
      <c r="A43" s="3792"/>
      <c r="B43" s="3784"/>
      <c r="C43" s="3107" t="s">
        <v>2486</v>
      </c>
      <c r="D43" s="3108"/>
      <c r="E43" s="3109">
        <v>1.5</v>
      </c>
      <c r="F43" s="3106" t="s">
        <v>2487</v>
      </c>
      <c r="G43" s="3106"/>
    </row>
    <row r="44" spans="1:7" ht="19.5" customHeight="1">
      <c r="A44" s="3792"/>
      <c r="B44" s="3118" t="s">
        <v>2638</v>
      </c>
      <c r="C44" s="3107" t="s">
        <v>2639</v>
      </c>
      <c r="D44" s="3108"/>
      <c r="E44" s="3109">
        <v>2</v>
      </c>
      <c r="F44" s="3106" t="s">
        <v>2488</v>
      </c>
      <c r="G44" s="3106"/>
    </row>
    <row r="45" spans="1:7" ht="19.5" customHeight="1">
      <c r="A45" s="3792"/>
      <c r="B45" s="3783" t="s">
        <v>2640</v>
      </c>
      <c r="C45" s="3107" t="s">
        <v>2489</v>
      </c>
      <c r="D45" s="3108"/>
      <c r="E45" s="3109">
        <v>1</v>
      </c>
      <c r="F45" s="3106" t="s">
        <v>2490</v>
      </c>
      <c r="G45" s="3106"/>
    </row>
    <row r="46" spans="1:7" ht="19.5" customHeight="1">
      <c r="A46" s="3792"/>
      <c r="B46" s="3785"/>
      <c r="C46" s="3107" t="s">
        <v>2491</v>
      </c>
      <c r="D46" s="3108"/>
      <c r="E46" s="3109">
        <v>1</v>
      </c>
      <c r="F46" s="3106" t="s">
        <v>2492</v>
      </c>
      <c r="G46" s="3106"/>
    </row>
    <row r="47" spans="1:7" ht="19.5" customHeight="1">
      <c r="A47" s="3792"/>
      <c r="B47" s="3785"/>
      <c r="C47" s="3107" t="s">
        <v>2493</v>
      </c>
      <c r="D47" s="3108"/>
      <c r="E47" s="3109">
        <v>1</v>
      </c>
      <c r="F47" s="3106" t="s">
        <v>2494</v>
      </c>
      <c r="G47" s="3106"/>
    </row>
    <row r="48" spans="1:7" ht="19.5" customHeight="1">
      <c r="A48" s="3792"/>
      <c r="B48" s="3785"/>
      <c r="C48" s="3107" t="s">
        <v>2495</v>
      </c>
      <c r="D48" s="3108"/>
      <c r="E48" s="3109">
        <v>1</v>
      </c>
      <c r="F48" s="3106" t="s">
        <v>2496</v>
      </c>
      <c r="G48" s="3106"/>
    </row>
    <row r="49" spans="1:7" ht="19.5" customHeight="1">
      <c r="A49" s="3792"/>
      <c r="B49" s="3785"/>
      <c r="C49" s="3107" t="s">
        <v>2497</v>
      </c>
      <c r="D49" s="3108"/>
      <c r="E49" s="3109">
        <v>1</v>
      </c>
      <c r="F49" s="3106" t="s">
        <v>2498</v>
      </c>
      <c r="G49" s="3106"/>
    </row>
    <row r="50" spans="1:7" ht="19.5" customHeight="1">
      <c r="A50" s="3792"/>
      <c r="B50" s="3785"/>
      <c r="C50" s="3107" t="s">
        <v>2499</v>
      </c>
      <c r="D50" s="3108"/>
      <c r="E50" s="3109">
        <v>1</v>
      </c>
      <c r="F50" s="3106" t="s">
        <v>2500</v>
      </c>
      <c r="G50" s="3106"/>
    </row>
    <row r="51" spans="1:7" ht="19.5" customHeight="1" thickBot="1">
      <c r="A51" s="3793"/>
      <c r="B51" s="378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3" t="s">
        <v>2654</v>
      </c>
      <c r="C73" s="3092" t="s">
        <v>2655</v>
      </c>
      <c r="D73" s="3092" t="s">
        <v>2656</v>
      </c>
      <c r="E73" s="3118">
        <v>0.2</v>
      </c>
      <c r="F73" s="3118">
        <v>25</v>
      </c>
    </row>
    <row r="74" spans="1:7" ht="24">
      <c r="A74" s="3118">
        <v>2</v>
      </c>
      <c r="B74" s="3785"/>
      <c r="C74" s="3092" t="s">
        <v>2657</v>
      </c>
      <c r="D74" s="3092" t="s">
        <v>2658</v>
      </c>
      <c r="E74" s="3118">
        <v>0.2</v>
      </c>
      <c r="F74" s="3118">
        <v>25</v>
      </c>
    </row>
    <row r="75" spans="1:7" ht="24">
      <c r="A75" s="3118">
        <v>3</v>
      </c>
      <c r="B75" s="3785"/>
      <c r="C75" s="3092" t="s">
        <v>2659</v>
      </c>
      <c r="D75" s="3092" t="s">
        <v>2660</v>
      </c>
      <c r="E75" s="3118">
        <v>0.2</v>
      </c>
      <c r="F75" s="3118">
        <v>25</v>
      </c>
    </row>
    <row r="76" spans="1:7" ht="13.5">
      <c r="A76" s="3118">
        <v>4</v>
      </c>
      <c r="B76" s="3785"/>
      <c r="C76" s="3092" t="s">
        <v>2661</v>
      </c>
      <c r="D76" s="3092" t="s">
        <v>2662</v>
      </c>
      <c r="E76" s="3118">
        <v>0.15</v>
      </c>
      <c r="F76" s="3118">
        <v>20</v>
      </c>
    </row>
    <row r="77" spans="1:7" ht="24">
      <c r="A77" s="3118">
        <v>5</v>
      </c>
      <c r="B77" s="3785"/>
      <c r="C77" s="3092" t="s">
        <v>2663</v>
      </c>
      <c r="D77" s="3092" t="s">
        <v>2664</v>
      </c>
      <c r="E77" s="3118">
        <v>0.15</v>
      </c>
      <c r="F77" s="3118">
        <v>20</v>
      </c>
    </row>
    <row r="78" spans="1:7" ht="24">
      <c r="A78" s="3118">
        <v>6</v>
      </c>
      <c r="B78" s="3785"/>
      <c r="C78" s="3092" t="s">
        <v>2665</v>
      </c>
      <c r="D78" s="3092" t="s">
        <v>2666</v>
      </c>
      <c r="E78" s="3118">
        <v>0.15</v>
      </c>
      <c r="F78" s="3118">
        <v>20</v>
      </c>
    </row>
    <row r="79" spans="1:7" ht="24">
      <c r="A79" s="3118">
        <v>7</v>
      </c>
      <c r="B79" s="3785"/>
      <c r="C79" s="3092" t="s">
        <v>2667</v>
      </c>
      <c r="D79" s="3092" t="s">
        <v>2668</v>
      </c>
      <c r="E79" s="3118">
        <v>0.15</v>
      </c>
      <c r="F79" s="3118">
        <v>20</v>
      </c>
    </row>
    <row r="80" spans="1:7" ht="24">
      <c r="A80" s="3118">
        <v>8</v>
      </c>
      <c r="B80" s="3785"/>
      <c r="C80" s="3092" t="s">
        <v>2669</v>
      </c>
      <c r="D80" s="3092" t="s">
        <v>2670</v>
      </c>
      <c r="E80" s="3118">
        <v>0.1</v>
      </c>
      <c r="F80" s="3118">
        <v>15</v>
      </c>
    </row>
    <row r="81" spans="1:6" ht="24">
      <c r="A81" s="3118">
        <v>9</v>
      </c>
      <c r="B81" s="3785"/>
      <c r="C81" s="3092" t="s">
        <v>2671</v>
      </c>
      <c r="D81" s="3092" t="s">
        <v>2672</v>
      </c>
      <c r="E81" s="3118">
        <v>0.1</v>
      </c>
      <c r="F81" s="3118">
        <v>15</v>
      </c>
    </row>
    <row r="82" spans="1:6" ht="24">
      <c r="A82" s="3118">
        <v>10</v>
      </c>
      <c r="B82" s="3785"/>
      <c r="C82" s="3092" t="s">
        <v>2673</v>
      </c>
      <c r="D82" s="3092" t="s">
        <v>2674</v>
      </c>
      <c r="E82" s="3118">
        <v>0.1</v>
      </c>
      <c r="F82" s="3118">
        <v>15</v>
      </c>
    </row>
    <row r="83" spans="1:6" ht="24">
      <c r="A83" s="3118">
        <v>11</v>
      </c>
      <c r="B83" s="3785"/>
      <c r="C83" s="3092" t="s">
        <v>2675</v>
      </c>
      <c r="D83" s="3092" t="s">
        <v>2676</v>
      </c>
      <c r="E83" s="3118">
        <v>0.1</v>
      </c>
      <c r="F83" s="3118">
        <v>15</v>
      </c>
    </row>
    <row r="84" spans="1:6" ht="24">
      <c r="A84" s="3118">
        <v>12</v>
      </c>
      <c r="B84" s="3785"/>
      <c r="C84" s="3092" t="s">
        <v>2677</v>
      </c>
      <c r="D84" s="3092" t="s">
        <v>2678</v>
      </c>
      <c r="E84" s="3118">
        <v>0.1</v>
      </c>
      <c r="F84" s="3118">
        <v>15</v>
      </c>
    </row>
    <row r="85" spans="1:6" ht="13.5">
      <c r="A85" s="3118">
        <v>13</v>
      </c>
      <c r="B85" s="3785"/>
      <c r="C85" s="3092" t="s">
        <v>2679</v>
      </c>
      <c r="D85" s="3092" t="s">
        <v>2680</v>
      </c>
      <c r="E85" s="3118">
        <v>0.1</v>
      </c>
      <c r="F85" s="3118">
        <v>15</v>
      </c>
    </row>
    <row r="86" spans="1:6" ht="13.5">
      <c r="A86" s="3118">
        <v>14</v>
      </c>
      <c r="B86" s="3785"/>
      <c r="C86" s="3092" t="s">
        <v>2681</v>
      </c>
      <c r="D86" s="3092" t="s">
        <v>2682</v>
      </c>
      <c r="E86" s="3118">
        <v>0.1</v>
      </c>
      <c r="F86" s="3118">
        <v>15</v>
      </c>
    </row>
    <row r="87" spans="1:6" ht="13.5">
      <c r="A87" s="3118">
        <v>15</v>
      </c>
      <c r="B87" s="3785"/>
      <c r="C87" s="3092" t="s">
        <v>2683</v>
      </c>
      <c r="D87" s="3092" t="s">
        <v>2684</v>
      </c>
      <c r="E87" s="3118">
        <v>0.1</v>
      </c>
      <c r="F87" s="3118">
        <v>15</v>
      </c>
    </row>
    <row r="88" spans="1:6" ht="24">
      <c r="A88" s="3118">
        <v>16</v>
      </c>
      <c r="B88" s="3785"/>
      <c r="C88" s="3092" t="s">
        <v>2685</v>
      </c>
      <c r="D88" s="3092" t="s">
        <v>2686</v>
      </c>
      <c r="E88" s="3118">
        <v>0.1</v>
      </c>
      <c r="F88" s="3118">
        <v>15</v>
      </c>
    </row>
    <row r="89" spans="1:6" ht="24">
      <c r="A89" s="3118">
        <v>17</v>
      </c>
      <c r="B89" s="3784"/>
      <c r="C89" s="3092" t="s">
        <v>2687</v>
      </c>
      <c r="D89" s="3092" t="s">
        <v>2688</v>
      </c>
      <c r="E89" s="3118">
        <v>0.1</v>
      </c>
      <c r="F89" s="3118">
        <v>15</v>
      </c>
    </row>
    <row r="90" spans="1:6" ht="13.5">
      <c r="A90" s="3118">
        <v>18</v>
      </c>
      <c r="B90" s="3783" t="s">
        <v>2689</v>
      </c>
      <c r="C90" s="3092" t="s">
        <v>2690</v>
      </c>
      <c r="D90" s="3092" t="s">
        <v>2691</v>
      </c>
      <c r="E90" s="3118">
        <v>0.2</v>
      </c>
      <c r="F90" s="3118">
        <v>25</v>
      </c>
    </row>
    <row r="91" spans="1:6" ht="24">
      <c r="A91" s="3118">
        <v>19</v>
      </c>
      <c r="B91" s="3785"/>
      <c r="C91" s="3092" t="s">
        <v>2692</v>
      </c>
      <c r="D91" s="3092" t="s">
        <v>2693</v>
      </c>
      <c r="E91" s="3118">
        <v>0.2</v>
      </c>
      <c r="F91" s="3118">
        <v>25</v>
      </c>
    </row>
    <row r="92" spans="1:6" ht="13.5">
      <c r="A92" s="3118">
        <v>20</v>
      </c>
      <c r="B92" s="3785"/>
      <c r="C92" s="3092" t="s">
        <v>2694</v>
      </c>
      <c r="D92" s="3092" t="s">
        <v>2695</v>
      </c>
      <c r="E92" s="3118">
        <v>0.15</v>
      </c>
      <c r="F92" s="3118">
        <v>20</v>
      </c>
    </row>
    <row r="93" spans="1:6" ht="13.5">
      <c r="A93" s="3118">
        <v>21</v>
      </c>
      <c r="B93" s="3785"/>
      <c r="C93" s="3092" t="s">
        <v>2696</v>
      </c>
      <c r="D93" s="3092" t="s">
        <v>2697</v>
      </c>
      <c r="E93" s="3118">
        <v>0.15</v>
      </c>
      <c r="F93" s="3118">
        <v>20</v>
      </c>
    </row>
    <row r="94" spans="1:6" ht="13.5">
      <c r="A94" s="3118">
        <v>22</v>
      </c>
      <c r="B94" s="3785"/>
      <c r="C94" s="3092" t="s">
        <v>2698</v>
      </c>
      <c r="D94" s="3092" t="s">
        <v>2699</v>
      </c>
      <c r="E94" s="3118">
        <v>0.15</v>
      </c>
      <c r="F94" s="3118">
        <v>20</v>
      </c>
    </row>
    <row r="95" spans="1:6" ht="36">
      <c r="A95" s="3118">
        <v>23</v>
      </c>
      <c r="B95" s="3785"/>
      <c r="C95" s="3092" t="s">
        <v>2700</v>
      </c>
      <c r="D95" s="3092" t="s">
        <v>2701</v>
      </c>
      <c r="E95" s="3118">
        <v>0.15</v>
      </c>
      <c r="F95" s="3118">
        <v>20</v>
      </c>
    </row>
    <row r="96" spans="1:6" ht="13.5">
      <c r="A96" s="3118">
        <v>24</v>
      </c>
      <c r="B96" s="3785"/>
      <c r="C96" s="3092" t="s">
        <v>2702</v>
      </c>
      <c r="D96" s="3092" t="s">
        <v>2703</v>
      </c>
      <c r="E96" s="3118">
        <v>0.1</v>
      </c>
      <c r="F96" s="3118">
        <v>15</v>
      </c>
    </row>
    <row r="97" spans="1:6" ht="13.5">
      <c r="A97" s="3118">
        <v>25</v>
      </c>
      <c r="B97" s="3785"/>
      <c r="C97" s="3092" t="s">
        <v>2704</v>
      </c>
      <c r="D97" s="3092" t="s">
        <v>2705</v>
      </c>
      <c r="E97" s="3118">
        <v>0.1</v>
      </c>
      <c r="F97" s="3118">
        <v>15</v>
      </c>
    </row>
    <row r="98" spans="1:6" ht="24">
      <c r="A98" s="3118">
        <v>26</v>
      </c>
      <c r="B98" s="3785"/>
      <c r="C98" s="3092" t="s">
        <v>2706</v>
      </c>
      <c r="D98" s="3092" t="s">
        <v>2707</v>
      </c>
      <c r="E98" s="3118">
        <v>0.1</v>
      </c>
      <c r="F98" s="3118">
        <v>15</v>
      </c>
    </row>
    <row r="99" spans="1:6" ht="24">
      <c r="A99" s="3118">
        <v>27</v>
      </c>
      <c r="B99" s="3785"/>
      <c r="C99" s="3092" t="s">
        <v>2708</v>
      </c>
      <c r="D99" s="3092" t="s">
        <v>2709</v>
      </c>
      <c r="E99" s="3118">
        <v>0.1</v>
      </c>
      <c r="F99" s="3118">
        <v>15</v>
      </c>
    </row>
    <row r="100" spans="1:6" ht="13.5">
      <c r="A100" s="3118">
        <v>28</v>
      </c>
      <c r="B100" s="3785"/>
      <c r="C100" s="3092" t="s">
        <v>2710</v>
      </c>
      <c r="D100" s="3092" t="s">
        <v>2711</v>
      </c>
      <c r="E100" s="3118">
        <v>0.1</v>
      </c>
      <c r="F100" s="3118">
        <v>15</v>
      </c>
    </row>
    <row r="101" spans="1:6" ht="13.5">
      <c r="A101" s="3118">
        <v>29</v>
      </c>
      <c r="B101" s="3785"/>
      <c r="C101" s="3092" t="s">
        <v>2712</v>
      </c>
      <c r="D101" s="3092" t="s">
        <v>2713</v>
      </c>
      <c r="E101" s="3118">
        <v>0.1</v>
      </c>
      <c r="F101" s="3118">
        <v>15</v>
      </c>
    </row>
    <row r="102" spans="1:6" ht="13.5">
      <c r="A102" s="3118">
        <v>30</v>
      </c>
      <c r="B102" s="3785"/>
      <c r="C102" s="3092" t="s">
        <v>2714</v>
      </c>
      <c r="D102" s="3092" t="s">
        <v>2715</v>
      </c>
      <c r="E102" s="3118">
        <v>0.1</v>
      </c>
      <c r="F102" s="3118">
        <v>15</v>
      </c>
    </row>
    <row r="103" spans="1:6" ht="24">
      <c r="A103" s="3118">
        <v>31</v>
      </c>
      <c r="B103" s="3785"/>
      <c r="C103" s="3092" t="s">
        <v>2716</v>
      </c>
      <c r="D103" s="3092" t="s">
        <v>2717</v>
      </c>
      <c r="E103" s="3118">
        <v>0.1</v>
      </c>
      <c r="F103" s="3118">
        <v>15</v>
      </c>
    </row>
    <row r="104" spans="1:6" ht="24">
      <c r="A104" s="3118">
        <v>32</v>
      </c>
      <c r="B104" s="3785"/>
      <c r="C104" s="3092" t="s">
        <v>2718</v>
      </c>
      <c r="D104" s="3092" t="s">
        <v>2719</v>
      </c>
      <c r="E104" s="3118">
        <v>0.1</v>
      </c>
      <c r="F104" s="3118">
        <v>15</v>
      </c>
    </row>
    <row r="105" spans="1:6" ht="24">
      <c r="A105" s="3118">
        <v>33</v>
      </c>
      <c r="B105" s="3785"/>
      <c r="C105" s="3092" t="s">
        <v>2720</v>
      </c>
      <c r="D105" s="3092" t="s">
        <v>2721</v>
      </c>
      <c r="E105" s="3118">
        <v>0.1</v>
      </c>
      <c r="F105" s="3118">
        <v>15</v>
      </c>
    </row>
    <row r="106" spans="1:6" ht="24">
      <c r="A106" s="3118">
        <v>34</v>
      </c>
      <c r="B106" s="3784"/>
      <c r="C106" s="3092" t="s">
        <v>2722</v>
      </c>
      <c r="D106" s="3092" t="s">
        <v>2723</v>
      </c>
      <c r="E106" s="3118">
        <v>0.1</v>
      </c>
      <c r="F106" s="3118">
        <v>15</v>
      </c>
    </row>
    <row r="107" spans="1:6" ht="24">
      <c r="A107" s="3118">
        <v>35</v>
      </c>
      <c r="B107" s="3783" t="s">
        <v>2724</v>
      </c>
      <c r="C107" s="3118" t="s">
        <v>2725</v>
      </c>
      <c r="D107" s="3092" t="s">
        <v>2726</v>
      </c>
      <c r="E107" s="3118">
        <v>0.15</v>
      </c>
      <c r="F107" s="3118">
        <v>20</v>
      </c>
    </row>
    <row r="108" spans="1:6" ht="13.5">
      <c r="A108" s="3118">
        <v>36</v>
      </c>
      <c r="B108" s="3785"/>
      <c r="C108" s="3118" t="s">
        <v>2727</v>
      </c>
      <c r="D108" s="3092" t="s">
        <v>2728</v>
      </c>
      <c r="E108" s="3118">
        <v>0.15</v>
      </c>
      <c r="F108" s="3118">
        <v>20</v>
      </c>
    </row>
    <row r="109" spans="1:6" ht="13.5">
      <c r="A109" s="3118">
        <v>37</v>
      </c>
      <c r="B109" s="3785"/>
      <c r="C109" s="3118" t="s">
        <v>2729</v>
      </c>
      <c r="D109" s="3092" t="s">
        <v>2730</v>
      </c>
      <c r="E109" s="3118">
        <v>0.15</v>
      </c>
      <c r="F109" s="3118">
        <v>20</v>
      </c>
    </row>
    <row r="110" spans="1:6" ht="13.5">
      <c r="A110" s="3118">
        <v>38</v>
      </c>
      <c r="B110" s="3785"/>
      <c r="C110" s="3118" t="s">
        <v>2731</v>
      </c>
      <c r="D110" s="3092" t="s">
        <v>2732</v>
      </c>
      <c r="E110" s="3118">
        <v>0.1</v>
      </c>
      <c r="F110" s="3118">
        <v>15</v>
      </c>
    </row>
    <row r="111" spans="1:6" ht="24">
      <c r="A111" s="3118">
        <v>39</v>
      </c>
      <c r="B111" s="3785"/>
      <c r="C111" s="3118" t="s">
        <v>2733</v>
      </c>
      <c r="D111" s="3092" t="s">
        <v>2734</v>
      </c>
      <c r="E111" s="3118">
        <v>0.1</v>
      </c>
      <c r="F111" s="3118">
        <v>15</v>
      </c>
    </row>
    <row r="112" spans="1:6" ht="24">
      <c r="A112" s="3118">
        <v>40</v>
      </c>
      <c r="B112" s="3784"/>
      <c r="C112" s="3118" t="s">
        <v>2735</v>
      </c>
      <c r="D112" s="3092" t="s">
        <v>2736</v>
      </c>
      <c r="E112" s="3118">
        <v>0.1</v>
      </c>
      <c r="F112" s="3118">
        <v>15</v>
      </c>
    </row>
    <row r="113" spans="1:6" ht="13.5">
      <c r="A113" s="3118">
        <v>41</v>
      </c>
      <c r="B113" s="3782" t="s">
        <v>2737</v>
      </c>
      <c r="C113" s="3118" t="s">
        <v>2738</v>
      </c>
      <c r="D113" s="3092" t="s">
        <v>2739</v>
      </c>
      <c r="E113" s="3118">
        <v>0.1</v>
      </c>
      <c r="F113" s="3118">
        <v>15</v>
      </c>
    </row>
    <row r="114" spans="1:6" ht="13.5">
      <c r="A114" s="3118">
        <v>42</v>
      </c>
      <c r="B114" s="3782"/>
      <c r="C114" s="3118" t="s">
        <v>2740</v>
      </c>
      <c r="D114" s="3092" t="s">
        <v>2741</v>
      </c>
      <c r="E114" s="3118">
        <v>0.1</v>
      </c>
      <c r="F114" s="3118">
        <v>15</v>
      </c>
    </row>
    <row r="115" spans="1:6" ht="24">
      <c r="A115" s="3118">
        <v>43</v>
      </c>
      <c r="B115" s="3782"/>
      <c r="C115" s="3118" t="s">
        <v>2742</v>
      </c>
      <c r="D115" s="3092" t="s">
        <v>2743</v>
      </c>
      <c r="E115" s="3118">
        <v>0.1</v>
      </c>
      <c r="F115" s="3118">
        <v>15</v>
      </c>
    </row>
    <row r="116" spans="1:6" ht="13.5">
      <c r="A116" s="3118">
        <v>44</v>
      </c>
      <c r="B116" s="3783" t="s">
        <v>2744</v>
      </c>
      <c r="C116" s="3118" t="s">
        <v>2745</v>
      </c>
      <c r="D116" s="3092" t="s">
        <v>2746</v>
      </c>
      <c r="E116" s="3118">
        <v>0.1</v>
      </c>
      <c r="F116" s="3118">
        <v>15</v>
      </c>
    </row>
    <row r="117" spans="1:6" ht="24">
      <c r="A117" s="3118">
        <v>45</v>
      </c>
      <c r="B117" s="3784"/>
      <c r="C117" s="3092" t="s">
        <v>2747</v>
      </c>
      <c r="D117" s="3092" t="s">
        <v>2748</v>
      </c>
      <c r="E117" s="3118">
        <v>0.1</v>
      </c>
      <c r="F117" s="3118">
        <v>15</v>
      </c>
    </row>
    <row r="118" spans="1:6" ht="24">
      <c r="A118" s="3118">
        <v>46</v>
      </c>
      <c r="B118" s="3783" t="s">
        <v>2749</v>
      </c>
      <c r="C118" s="3118" t="s">
        <v>2750</v>
      </c>
      <c r="D118" s="3092" t="s">
        <v>2751</v>
      </c>
      <c r="E118" s="3118">
        <v>0.1</v>
      </c>
      <c r="F118" s="3118">
        <v>15</v>
      </c>
    </row>
    <row r="119" spans="1:6" ht="24">
      <c r="A119" s="3118">
        <v>47</v>
      </c>
      <c r="B119" s="3784"/>
      <c r="C119" s="3118" t="s">
        <v>2752</v>
      </c>
      <c r="D119" s="3092" t="s">
        <v>2753</v>
      </c>
      <c r="E119" s="3118">
        <v>0.1</v>
      </c>
      <c r="F119" s="3118">
        <v>15</v>
      </c>
    </row>
    <row r="120" spans="1:6" ht="13.5">
      <c r="A120" s="3118">
        <v>48</v>
      </c>
      <c r="B120" s="3783" t="s">
        <v>2754</v>
      </c>
      <c r="C120" s="3118" t="s">
        <v>2755</v>
      </c>
      <c r="D120" s="3092" t="s">
        <v>2756</v>
      </c>
      <c r="E120" s="3118">
        <v>0.1</v>
      </c>
      <c r="F120" s="3118">
        <v>15</v>
      </c>
    </row>
    <row r="121" spans="1:6" ht="13.5">
      <c r="A121" s="3118">
        <v>49</v>
      </c>
      <c r="B121" s="3784"/>
      <c r="C121" s="3118" t="s">
        <v>2757</v>
      </c>
      <c r="D121" s="3092" t="s">
        <v>2758</v>
      </c>
      <c r="E121" s="3118">
        <v>0.1</v>
      </c>
      <c r="F121" s="3118">
        <v>15</v>
      </c>
    </row>
    <row r="122" spans="1:6" ht="24">
      <c r="A122" s="3118">
        <v>50</v>
      </c>
      <c r="B122" s="3782" t="s">
        <v>2759</v>
      </c>
      <c r="C122" s="3118" t="s">
        <v>2760</v>
      </c>
      <c r="D122" s="3092" t="s">
        <v>2761</v>
      </c>
      <c r="E122" s="3118">
        <v>0.1</v>
      </c>
      <c r="F122" s="3118">
        <v>15</v>
      </c>
    </row>
    <row r="123" spans="1:6" ht="24">
      <c r="A123" s="3118">
        <v>51</v>
      </c>
      <c r="B123" s="3782"/>
      <c r="C123" s="3118" t="s">
        <v>2762</v>
      </c>
      <c r="D123" s="3092" t="s">
        <v>2763</v>
      </c>
      <c r="E123" s="3118">
        <v>0.1</v>
      </c>
      <c r="F123" s="3118">
        <v>15</v>
      </c>
    </row>
    <row r="124" spans="1:6" ht="24">
      <c r="A124" s="3118">
        <v>52</v>
      </c>
      <c r="B124" s="3782" t="s">
        <v>2764</v>
      </c>
      <c r="C124" s="3118" t="s">
        <v>2765</v>
      </c>
      <c r="D124" s="3092" t="s">
        <v>2766</v>
      </c>
      <c r="E124" s="3118">
        <v>0.1</v>
      </c>
      <c r="F124" s="3118">
        <v>15</v>
      </c>
    </row>
    <row r="125" spans="1:6" ht="24">
      <c r="A125" s="3118">
        <v>53</v>
      </c>
      <c r="B125" s="378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2" t="s">
        <v>2772</v>
      </c>
      <c r="C127" s="3118" t="s">
        <v>2773</v>
      </c>
      <c r="D127" s="3092" t="s">
        <v>2774</v>
      </c>
      <c r="E127" s="3118">
        <v>0.1</v>
      </c>
      <c r="F127" s="3118">
        <v>15</v>
      </c>
    </row>
    <row r="128" spans="1:6" ht="13.5">
      <c r="A128" s="3118">
        <v>56</v>
      </c>
      <c r="B128" s="3782"/>
      <c r="C128" s="3118" t="s">
        <v>2775</v>
      </c>
      <c r="D128" s="3092" t="s">
        <v>2776</v>
      </c>
      <c r="E128" s="3118">
        <v>0.1</v>
      </c>
      <c r="F128" s="3118">
        <v>15</v>
      </c>
    </row>
    <row r="129" spans="1:6" ht="24">
      <c r="A129" s="3118">
        <v>57</v>
      </c>
      <c r="B129" s="3782"/>
      <c r="C129" s="3118" t="s">
        <v>2777</v>
      </c>
      <c r="D129" s="3092" t="s">
        <v>2778</v>
      </c>
      <c r="E129" s="3118">
        <v>0.1</v>
      </c>
      <c r="F129" s="3118">
        <v>15</v>
      </c>
    </row>
    <row r="130" spans="1:6" ht="24">
      <c r="A130" s="3118">
        <v>58</v>
      </c>
      <c r="B130" s="3782" t="s">
        <v>2779</v>
      </c>
      <c r="C130" s="3118" t="s">
        <v>2780</v>
      </c>
      <c r="D130" s="3092" t="s">
        <v>2781</v>
      </c>
      <c r="E130" s="3118">
        <v>0.1</v>
      </c>
      <c r="F130" s="3118">
        <v>15</v>
      </c>
    </row>
    <row r="131" spans="1:6" ht="13.5">
      <c r="A131" s="3118">
        <v>59</v>
      </c>
      <c r="B131" s="3782"/>
      <c r="C131" s="3118" t="s">
        <v>2782</v>
      </c>
      <c r="D131" s="3092" t="s">
        <v>2783</v>
      </c>
      <c r="E131" s="3118">
        <v>0.1</v>
      </c>
      <c r="F131" s="3118">
        <v>15</v>
      </c>
    </row>
    <row r="132" spans="1:6" ht="13.5">
      <c r="A132" s="3118">
        <v>60</v>
      </c>
      <c r="B132" s="3783" t="s">
        <v>2784</v>
      </c>
      <c r="C132" s="3118" t="s">
        <v>2785</v>
      </c>
      <c r="D132" s="3092" t="s">
        <v>2786</v>
      </c>
      <c r="E132" s="3118">
        <v>0.1</v>
      </c>
      <c r="F132" s="3118">
        <v>15</v>
      </c>
    </row>
    <row r="133" spans="1:6" ht="13.5">
      <c r="A133" s="3118">
        <v>61</v>
      </c>
      <c r="B133" s="378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2" t="s">
        <v>2792</v>
      </c>
      <c r="C135" s="3118" t="s">
        <v>2793</v>
      </c>
      <c r="D135" s="3092" t="s">
        <v>2794</v>
      </c>
      <c r="E135" s="3118">
        <v>0.1</v>
      </c>
      <c r="F135" s="3118">
        <v>15</v>
      </c>
    </row>
    <row r="136" spans="1:6" ht="13.5">
      <c r="A136" s="3118">
        <v>64</v>
      </c>
      <c r="B136" s="378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39992</v>
      </c>
      <c r="C2" s="2" t="s">
        <v>106</v>
      </c>
      <c r="D2" s="199"/>
      <c r="E2" s="199"/>
      <c r="F2" s="199"/>
      <c r="G2" s="199"/>
    </row>
    <row r="3" spans="1:7" s="200" customFormat="1" ht="18" customHeight="1" thickBot="1">
      <c r="A3" s="203" t="s">
        <v>58</v>
      </c>
      <c r="B3" s="204">
        <f ca="1">ROUND(B2*10000/'数据-汇总表'!E3,0)</f>
        <v>14872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538</v>
      </c>
      <c r="D10" s="845">
        <f>'数据-汇总表'!E6</f>
        <v>26891.389999999996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538</v>
      </c>
      <c r="D19" s="849">
        <f>'数据-汇总表'!E3</f>
        <v>26891.389999999996</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1500</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2804</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2804</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11779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10757</v>
      </c>
      <c r="D34" s="217"/>
      <c r="E34" s="220"/>
      <c r="F34" s="257">
        <f>IF('数据-取费表'!B24=0,1,'数据-取费表'!N16)</f>
        <v>1</v>
      </c>
      <c r="G34" s="219" t="s">
        <v>89</v>
      </c>
    </row>
    <row r="35" spans="1:7" ht="13.5" customHeight="1">
      <c r="A35" s="780" t="s">
        <v>351</v>
      </c>
      <c r="B35" s="215" t="s">
        <v>33</v>
      </c>
      <c r="C35" s="220">
        <f>ROUND(C34*F35,0)</f>
        <v>323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538</v>
      </c>
      <c r="D37" s="217">
        <f>'数据-汇总表'!E3</f>
        <v>26891.389999999996</v>
      </c>
      <c r="E37" s="249">
        <f>'数据-取费表'!B35</f>
        <v>200</v>
      </c>
      <c r="F37" s="259"/>
      <c r="G37" s="261" t="s">
        <v>92</v>
      </c>
    </row>
    <row r="38" spans="1:7" ht="13.5" customHeight="1">
      <c r="A38" s="780" t="s">
        <v>354</v>
      </c>
      <c r="B38" s="215" t="s">
        <v>36</v>
      </c>
      <c r="C38" s="220">
        <f>ROUND(C34*F38,0)</f>
        <v>161</v>
      </c>
      <c r="D38" s="220"/>
      <c r="E38" s="220"/>
      <c r="F38" s="259">
        <f>'数据-取费表'!B36</f>
        <v>1.4999999999999999E-2</v>
      </c>
      <c r="G38" s="219" t="s">
        <v>90</v>
      </c>
    </row>
    <row r="39" spans="1:7" s="214" customFormat="1" ht="13.5" customHeight="1">
      <c r="A39" s="777" t="s">
        <v>338</v>
      </c>
      <c r="B39" s="210" t="s">
        <v>77</v>
      </c>
      <c r="C39" s="232">
        <f>ROUND(C33*F20,0)</f>
        <v>236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414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406</v>
      </c>
      <c r="D42" s="238"/>
      <c r="E42" s="238"/>
      <c r="F42" s="239"/>
      <c r="G42" s="3658" t="s">
        <v>94</v>
      </c>
    </row>
    <row r="43" spans="1:7" ht="13.5" customHeight="1">
      <c r="A43" s="780" t="s">
        <v>347</v>
      </c>
      <c r="B43" s="215" t="s">
        <v>426</v>
      </c>
      <c r="C43" s="238">
        <f ca="1">ROUND(IF('数据-取费表'!B22&lt;=1,C39*F22*'数据-取费表'!B21/2,C39*(POWER((1+F22),'数据-取费表'!B21/2)-1)),0)</f>
        <v>8</v>
      </c>
      <c r="D43" s="238"/>
      <c r="E43" s="238"/>
      <c r="F43" s="239"/>
      <c r="G43" s="3659"/>
    </row>
    <row r="44" spans="1:7" ht="13.5" customHeight="1">
      <c r="A44" s="780" t="s">
        <v>348</v>
      </c>
      <c r="B44" s="215" t="s">
        <v>428</v>
      </c>
      <c r="C44" s="238">
        <f ca="1">ROUND(IF('数据-取费表'!B22&lt;=1,C40*F22*'数据-取费表'!B21/2,C40*(POWER((1+F22),'数据-取费表'!B21/2)-1)),4)</f>
        <v>6.9999999999999999E-4</v>
      </c>
      <c r="D44" s="238"/>
      <c r="E44" s="238"/>
      <c r="F44" s="239"/>
      <c r="G44" s="3660"/>
    </row>
    <row r="45" spans="1:7" s="214" customFormat="1" ht="13.5" customHeight="1">
      <c r="A45" s="777" t="s">
        <v>341</v>
      </c>
      <c r="B45" s="244" t="s">
        <v>85</v>
      </c>
      <c r="C45" s="245">
        <f>C46</f>
        <v>1562</v>
      </c>
      <c r="D45" s="235">
        <f>C47</f>
        <v>2.5999999999999999E-3</v>
      </c>
      <c r="E45" s="236" t="s">
        <v>102</v>
      </c>
      <c r="F45" s="246"/>
      <c r="G45" s="247" t="s">
        <v>434</v>
      </c>
    </row>
    <row r="46" spans="1:7" s="214" customFormat="1" ht="13.5" customHeight="1">
      <c r="A46" s="780" t="s">
        <v>349</v>
      </c>
      <c r="B46" s="248" t="s">
        <v>427</v>
      </c>
      <c r="C46" s="249">
        <f>ROUND((C33+C39)*F27,0)</f>
        <v>1562</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15152</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11970</v>
      </c>
      <c r="D51" s="232"/>
      <c r="E51" s="232"/>
      <c r="F51" s="264"/>
      <c r="G51" s="234" t="s">
        <v>37</v>
      </c>
    </row>
    <row r="52" spans="1:7" s="208" customFormat="1" ht="16.5" thickBot="1">
      <c r="A52" s="265" t="s">
        <v>38</v>
      </c>
      <c r="B52" s="266"/>
      <c r="C52" s="267">
        <f ca="1">C31+C51</f>
        <v>39992</v>
      </c>
      <c r="D52" s="266"/>
      <c r="E52" s="266"/>
      <c r="F52" s="266"/>
      <c r="G52" s="268"/>
    </row>
    <row r="55" spans="1:7" ht="15">
      <c r="B55" s="270" t="s">
        <v>39</v>
      </c>
      <c r="C55" s="271"/>
    </row>
    <row r="56" spans="1:7">
      <c r="B56" s="273" t="s">
        <v>40</v>
      </c>
      <c r="C56" s="274">
        <f ca="1">ROUND(C51/C52,3)</f>
        <v>0.29899999999999999</v>
      </c>
    </row>
    <row r="57" spans="1:7">
      <c r="B57" s="273" t="s">
        <v>41</v>
      </c>
      <c r="C57" s="275">
        <f ca="1">1-C56</f>
        <v>0.70100000000000007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6" t="s">
        <v>2842</v>
      </c>
      <c r="B1" s="3796"/>
      <c r="C1" s="3796"/>
      <c r="D1" s="3796"/>
      <c r="E1" s="3796"/>
      <c r="F1" s="3796"/>
      <c r="G1" s="3797"/>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94"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95"/>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8" t="s">
        <v>3184</v>
      </c>
      <c r="B1" s="3798"/>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4" t="s">
        <v>925</v>
      </c>
      <c r="E3" s="854" t="s">
        <v>931</v>
      </c>
      <c r="F3" s="854" t="s">
        <v>925</v>
      </c>
      <c r="G3" s="854" t="s">
        <v>926</v>
      </c>
      <c r="H3" s="854" t="s">
        <v>925</v>
      </c>
      <c r="I3" s="854" t="s">
        <v>926</v>
      </c>
    </row>
    <row r="4" spans="1:9" ht="15">
      <c r="A4" s="1505" t="str">
        <f>项目基本情况!S2</f>
        <v>房地产</v>
      </c>
      <c r="B4" s="854">
        <f>项目基本情况!C17</f>
        <v>26891.389999999996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9" t="s">
        <v>927</v>
      </c>
      <c r="B5" s="3489"/>
      <c r="C5" s="3489"/>
      <c r="D5" s="3489" t="e">
        <f ca="1">结果表!D119</f>
        <v>#REF!</v>
      </c>
      <c r="E5" s="3489"/>
      <c r="F5" s="3489" t="e">
        <f ca="1">结果表!F119</f>
        <v>#REF!</v>
      </c>
      <c r="G5" s="3489"/>
      <c r="H5" s="3489" t="e">
        <f ca="1">结果表!H119</f>
        <v>#REF!</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t="e">
        <f ca="1">结果表!D122</f>
        <v>#REF!</v>
      </c>
      <c r="E8" s="3488"/>
      <c r="F8" s="3488"/>
      <c r="G8" s="3488"/>
      <c r="H8" s="3488"/>
      <c r="I8" s="3488"/>
    </row>
    <row r="9" spans="1:9" ht="15">
      <c r="A9" s="3489" t="s">
        <v>927</v>
      </c>
      <c r="B9" s="3489"/>
      <c r="C9" s="3489"/>
      <c r="D9" s="3489" t="e">
        <f ca="1">结果表!D123</f>
        <v>#REF!</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9" t="s">
        <v>3235</v>
      </c>
      <c r="B1" s="3799"/>
      <c r="C1" s="3799"/>
      <c r="D1" s="3799"/>
      <c r="E1" s="3799"/>
      <c r="F1" s="3800"/>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45243</v>
      </c>
      <c r="B1" s="3210" t="s">
        <v>3374</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801" t="s">
        <v>2830</v>
      </c>
      <c r="S23" s="3802"/>
      <c r="T23" s="3802"/>
      <c r="U23" s="3802"/>
      <c r="V23" s="3802"/>
      <c r="W23" s="3802"/>
      <c r="X23" s="3165"/>
      <c r="Y23" s="3801" t="s">
        <v>2831</v>
      </c>
      <c r="Z23" s="3802"/>
      <c r="AA23" s="3802"/>
      <c r="AB23" s="3802"/>
      <c r="AC23" s="3802"/>
      <c r="AD23" s="3802"/>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1" t="s">
        <v>949</v>
      </c>
      <c r="B1" s="3501"/>
      <c r="C1" s="3501"/>
      <c r="D1" s="3501"/>
    </row>
    <row r="2" spans="1:4" ht="18">
      <c r="A2" s="3502" t="s">
        <v>933</v>
      </c>
      <c r="B2" s="3502"/>
      <c r="C2" s="3502"/>
      <c r="D2" s="350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2" t="s">
        <v>939</v>
      </c>
      <c r="B6" s="3502"/>
      <c r="C6" s="3502"/>
      <c r="D6" s="350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45243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2159</v>
      </c>
      <c r="B17" s="3512"/>
      <c r="C17" s="3512"/>
      <c r="D17" s="3512"/>
      <c r="E17" s="3512"/>
      <c r="F17" s="3512"/>
      <c r="G17" s="3512"/>
      <c r="H17" s="3512"/>
    </row>
    <row r="18" spans="1:8" ht="24" customHeight="1">
      <c r="A18" s="3513" t="s">
        <v>2160</v>
      </c>
      <c r="B18" s="3513"/>
      <c r="C18" s="3513"/>
      <c r="D18" s="2343"/>
      <c r="E18" s="3514" t="s">
        <v>2161</v>
      </c>
      <c r="F18" s="3513"/>
      <c r="G18" s="351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166</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 (2)</vt:lpstr>
      <vt:lpstr>结果表</vt:lpstr>
      <vt:lpstr>成本法</vt:lpstr>
      <vt:lpstr>成本法 (元)</vt:lpstr>
      <vt:lpstr>假设开发法</vt:lpstr>
      <vt:lpstr>收益法（汇总）</vt:lpstr>
      <vt:lpstr>收益法</vt:lpstr>
      <vt:lpstr>收益法(车库)</vt:lpstr>
      <vt:lpstr>收益法(仓储)</vt:lpstr>
      <vt:lpstr>结果表(车库)</vt:lpstr>
      <vt:lpstr>成本法(车库)</vt:lpstr>
      <vt:lpstr>收益法 (元)</vt:lpstr>
      <vt:lpstr>收益法-酒店模型</vt:lpstr>
      <vt:lpstr>比较法-住宅</vt:lpstr>
      <vt:lpstr>结果表(商业)</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结果表(仓储)</vt:lpstr>
      <vt:lpstr>成本法(仓储)</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'成本法(仓储)'!Print_Area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'结果表(仓储)'!Print_Area</vt:lpstr>
      <vt:lpstr>'结果表(车库)'!Print_Area</vt:lpstr>
      <vt:lpstr>'结果表(商业)'!Print_Area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2023-11-13T03:27:34Z</dcterms:modified>
</cp:coreProperties>
</file>