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法院\2025-1-0491北京市朝阳区将台西路10号院3号楼2层202、204、205、206\"/>
    </mc:Choice>
  </mc:AlternateContent>
  <bookViews>
    <workbookView xWindow="0" yWindow="0" windowWidth="15132" windowHeight="13284"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案例" sheetId="80" r:id="rId27"/>
    <sheet name="租金" sheetId="8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 r:id="rId49"/>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F135" i="80" l="1"/>
  <c r="F137" i="80" l="1"/>
  <c r="B14" i="74" l="1"/>
  <c r="K59" i="21"/>
  <c r="J59" i="21"/>
  <c r="H59" i="21"/>
  <c r="G59" i="21"/>
  <c r="I37" i="21"/>
  <c r="G37" i="21"/>
  <c r="E37" i="21"/>
  <c r="I44" i="21" l="1"/>
  <c r="E44" i="21"/>
  <c r="C33" i="21"/>
  <c r="F90" i="21"/>
  <c r="E90" i="21"/>
  <c r="D90" i="21"/>
  <c r="C90" i="21"/>
  <c r="D5" i="9"/>
  <c r="AH6" i="1"/>
  <c r="Y6" i="1"/>
  <c r="F16" i="81"/>
  <c r="F17" i="81"/>
  <c r="F18" i="81"/>
  <c r="F19" i="81"/>
  <c r="F20" i="81"/>
  <c r="F21" i="81"/>
  <c r="F22" i="81"/>
  <c r="F23" i="81"/>
  <c r="F24" i="81"/>
  <c r="F25" i="81"/>
  <c r="F26" i="81"/>
  <c r="F15" i="81"/>
  <c r="F19" i="6"/>
  <c r="B4" i="81" l="1"/>
  <c r="B5" i="81"/>
  <c r="B6" i="81"/>
  <c r="B7" i="81"/>
  <c r="B8" i="81"/>
  <c r="B9" i="81"/>
  <c r="B10" i="81"/>
  <c r="B11" i="81"/>
  <c r="B3" i="81"/>
  <c r="H11" i="80" l="1"/>
  <c r="F11" i="80"/>
  <c r="K6" i="80"/>
  <c r="K4" i="80"/>
  <c r="K3" i="80"/>
  <c r="H3" i="80"/>
  <c r="H4" i="80"/>
  <c r="H5" i="80"/>
  <c r="H6" i="80"/>
  <c r="H7" i="80"/>
  <c r="H8" i="80"/>
  <c r="H9" i="80"/>
  <c r="H10" i="80"/>
  <c r="F3" i="80"/>
  <c r="F4" i="80"/>
  <c r="F5" i="80"/>
  <c r="F6" i="80"/>
  <c r="F7" i="80"/>
  <c r="F8" i="80"/>
  <c r="F9" i="80"/>
  <c r="F10" i="80"/>
  <c r="H2" i="80"/>
  <c r="F2" i="80"/>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7" i="79" l="1"/>
  <c r="AD36" i="79"/>
  <c r="AD38" i="79"/>
  <c r="AR40" i="79"/>
  <c r="AR41" i="79" s="1"/>
  <c r="AR42" i="79" s="1"/>
  <c r="AR43" i="79" s="1"/>
  <c r="AR44" i="79" s="1"/>
  <c r="AR45" i="79" s="1"/>
  <c r="AR46" i="79" s="1"/>
  <c r="AR47" i="79" s="1"/>
  <c r="AR48" i="79" s="1"/>
  <c r="AR49" i="79" s="1"/>
  <c r="AR50" i="79" s="1"/>
  <c r="AR51" i="79" s="1"/>
  <c r="AR52" i="79" s="1"/>
  <c r="Z3" i="79"/>
  <c r="S35" i="79"/>
  <c r="AG35" i="79" s="1"/>
  <c r="S34" i="79"/>
  <c r="AG34" i="79" s="1"/>
  <c r="S33" i="79"/>
  <c r="AG33" i="79" s="1"/>
  <c r="AA31" i="79"/>
  <c r="AD31" i="79" s="1"/>
  <c r="T40" i="79"/>
  <c r="U46" i="79"/>
  <c r="AI46" i="79" s="1"/>
  <c r="AD47" i="79"/>
  <c r="S48" i="79"/>
  <c r="AG48" i="79" s="1"/>
  <c r="U50" i="79"/>
  <c r="AI50" i="79" s="1"/>
  <c r="AD51" i="79"/>
  <c r="AR18" i="79"/>
  <c r="AR19" i="79" s="1"/>
  <c r="AR20" i="79" s="1"/>
  <c r="AR21" i="79" s="1"/>
  <c r="AR22" i="79" s="1"/>
  <c r="AR23" i="79" s="1"/>
  <c r="AR24" i="79" s="1"/>
  <c r="T33" i="79"/>
  <c r="T34" i="79"/>
  <c r="T35" i="79"/>
  <c r="W22" i="79"/>
  <c r="AK22" i="79" s="1"/>
  <c r="AH22"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9" i="79" l="1"/>
  <c r="AK19" i="79" s="1"/>
  <c r="AH19" i="79"/>
  <c r="W16" i="79"/>
  <c r="AK16" i="79" s="1"/>
  <c r="AH16" i="79"/>
  <c r="W50" i="79"/>
  <c r="AK50" i="79" s="1"/>
  <c r="AH50" i="79"/>
  <c r="W51" i="79"/>
  <c r="AK51" i="79" s="1"/>
  <c r="AH51" i="79"/>
  <c r="W44" i="79"/>
  <c r="AK44" i="79" s="1"/>
  <c r="AH44" i="79"/>
  <c r="W46" i="79"/>
  <c r="AK46" i="79" s="1"/>
  <c r="AH46" i="79"/>
  <c r="W23" i="79"/>
  <c r="AK23" i="79" s="1"/>
  <c r="AH23" i="79"/>
  <c r="W12" i="79"/>
  <c r="AK12" i="79" s="1"/>
  <c r="AH12" i="79"/>
  <c r="W21" i="79"/>
  <c r="AK21" i="79" s="1"/>
  <c r="AH21" i="79"/>
  <c r="W47" i="79"/>
  <c r="AK47" i="79" s="1"/>
  <c r="AH47" i="79"/>
  <c r="W45" i="79"/>
  <c r="AK45" i="79" s="1"/>
  <c r="AH45" i="79"/>
  <c r="AH34" i="79"/>
  <c r="W34" i="79"/>
  <c r="AK34" i="79" s="1"/>
  <c r="W40" i="79"/>
  <c r="AK40" i="79" s="1"/>
  <c r="AH40" i="79"/>
  <c r="W14" i="79"/>
  <c r="AK14" i="79" s="1"/>
  <c r="AH14" i="79"/>
  <c r="W41" i="79"/>
  <c r="AK41" i="79" s="1"/>
  <c r="AH41" i="79"/>
  <c r="W15" i="79"/>
  <c r="AK15" i="79" s="1"/>
  <c r="AH15" i="79"/>
  <c r="W13" i="79"/>
  <c r="AK13" i="79" s="1"/>
  <c r="AH13" i="79"/>
  <c r="W48" i="79"/>
  <c r="AK48" i="79" s="1"/>
  <c r="AH48" i="79"/>
  <c r="W49" i="79"/>
  <c r="AK49" i="79" s="1"/>
  <c r="AH49" i="79"/>
  <c r="W43" i="79"/>
  <c r="AK43" i="79" s="1"/>
  <c r="AH43" i="79"/>
  <c r="W38" i="79"/>
  <c r="AK38" i="79" s="1"/>
  <c r="AH38" i="79"/>
  <c r="W35" i="79"/>
  <c r="AK35" i="79" s="1"/>
  <c r="AH35" i="79"/>
  <c r="W11" i="79"/>
  <c r="AK11" i="79" s="1"/>
  <c r="AH11" i="79"/>
  <c r="W17" i="79"/>
  <c r="AK17" i="79" s="1"/>
  <c r="AH17" i="79"/>
  <c r="W10" i="79"/>
  <c r="AK10" i="79" s="1"/>
  <c r="AH10" i="79"/>
  <c r="W18" i="79"/>
  <c r="AK18" i="79" s="1"/>
  <c r="AH18" i="79"/>
  <c r="W20" i="79"/>
  <c r="AK20" i="79" s="1"/>
  <c r="AH20"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N33" i="71"/>
  <c r="D33" i="71"/>
  <c r="Q32" i="71"/>
  <c r="AB32" i="71"/>
  <c r="P32" i="71"/>
  <c r="O32" i="71"/>
  <c r="N32" i="71"/>
  <c r="Q31" i="71"/>
  <c r="P31" i="71"/>
  <c r="O31" i="71"/>
  <c r="N31" i="71"/>
  <c r="Q30" i="71"/>
  <c r="P30" i="71"/>
  <c r="O30" i="71"/>
  <c r="N30" i="71"/>
  <c r="Q29" i="71"/>
  <c r="F30" i="71" s="1"/>
  <c r="P29" i="71"/>
  <c r="O29" i="71"/>
  <c r="Y29" i="71" s="1"/>
  <c r="Z29" i="71" s="1"/>
  <c r="N29" i="71"/>
  <c r="D29" i="71"/>
  <c r="O28" i="71"/>
  <c r="N28" i="71"/>
  <c r="B28" i="71" s="1"/>
  <c r="B27" i="71" s="1"/>
  <c r="B26" i="71" s="1"/>
  <c r="B30" i="71"/>
  <c r="B31" i="71" s="1"/>
  <c r="B32" i="71" s="1"/>
  <c r="S32" i="71" s="1"/>
  <c r="E30" i="71"/>
  <c r="E31" i="71"/>
  <c r="E32" i="71" s="1"/>
  <c r="U32" i="71" s="1"/>
  <c r="B34" i="71"/>
  <c r="B35" i="71" s="1"/>
  <c r="B36" i="71" s="1"/>
  <c r="S36" i="71" s="1"/>
  <c r="B40" i="71"/>
  <c r="S40" i="71" s="1"/>
  <c r="E38" i="71"/>
  <c r="E39" i="71" s="1"/>
  <c r="E40" i="71" s="1"/>
  <c r="U40" i="71" s="1"/>
  <c r="AA37" i="71"/>
  <c r="N68" i="71"/>
  <c r="C30" i="71"/>
  <c r="X35" i="71"/>
  <c r="C38" i="71"/>
  <c r="D38" i="71" s="1"/>
  <c r="Y37" i="71"/>
  <c r="Z37" i="71" s="1"/>
  <c r="X38" i="71"/>
  <c r="C28" i="71"/>
  <c r="C39" i="71"/>
  <c r="C43" i="71"/>
  <c r="C51" i="71"/>
  <c r="P28" i="71"/>
  <c r="E28" i="71" s="1"/>
  <c r="E55" i="71"/>
  <c r="E56" i="71" s="1"/>
  <c r="U56" i="71" s="1"/>
  <c r="E63" i="71"/>
  <c r="E64" i="71"/>
  <c r="U64" i="71" s="1"/>
  <c r="E67" i="71"/>
  <c r="P67" i="71" s="1"/>
  <c r="Q28" i="71"/>
  <c r="C59" i="71"/>
  <c r="C60" i="71" s="1"/>
  <c r="D58" i="71"/>
  <c r="N67"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C78" i="71"/>
  <c r="D78" i="71" s="1"/>
  <c r="D71" i="71"/>
  <c r="D59"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77" i="43"/>
  <c r="S25" i="40"/>
  <c r="S18" i="36"/>
  <c r="H25" i="40"/>
  <c r="J25" i="40"/>
  <c r="W25" i="40" s="1"/>
  <c r="H29" i="39"/>
  <c r="AB29" i="39" s="1"/>
  <c r="J29" i="39"/>
  <c r="AC29" i="39" s="1"/>
  <c r="J18" i="36"/>
  <c r="F68" i="35"/>
  <c r="G68" i="35" s="1"/>
  <c r="H18" i="35"/>
  <c r="AB18" i="35" s="1"/>
  <c r="J18" i="35"/>
  <c r="H21" i="37"/>
  <c r="F21" i="37"/>
  <c r="AA21" i="37" s="1"/>
  <c r="H21" i="34"/>
  <c r="H21" i="33"/>
  <c r="F21" i="33"/>
  <c r="E83" i="21"/>
  <c r="F83" i="21" s="1"/>
  <c r="H1" i="69"/>
  <c r="AC25" i="40"/>
  <c r="U29" i="39"/>
  <c r="W29" i="39"/>
  <c r="S21" i="37"/>
  <c r="AA21" i="33"/>
  <c r="S21" i="33"/>
  <c r="J21" i="37"/>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5" i="3" s="1"/>
  <c r="BT14" i="3"/>
  <c r="BT15" i="3"/>
  <c r="BT16" i="3"/>
  <c r="BT17" i="3"/>
  <c r="BM14" i="3"/>
  <c r="BM15" i="3"/>
  <c r="BM16" i="3"/>
  <c r="BM17" i="3"/>
  <c r="BO13" i="3"/>
  <c r="BO5" i="3" s="1"/>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A16" i="3" s="1"/>
  <c r="AZ16" i="3" s="1"/>
  <c r="BD16" i="3"/>
  <c r="BE16" i="3"/>
  <c r="BF16" i="3"/>
  <c r="BG16" i="3"/>
  <c r="BG5" i="3" s="1"/>
  <c r="BH16" i="3"/>
  <c r="BI16" i="3"/>
  <c r="BJ16" i="3"/>
  <c r="BK16" i="3"/>
  <c r="BK5" i="3" s="1"/>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A583" i="3" s="1"/>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AB31" i="35" s="1"/>
  <c r="F31" i="35"/>
  <c r="D87" i="35"/>
  <c r="E87" i="35" s="1"/>
  <c r="F87" i="35" s="1"/>
  <c r="G87" i="35"/>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B79" i="40"/>
  <c r="B77" i="40"/>
  <c r="H12" i="40" s="1"/>
  <c r="AB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D107" i="37"/>
  <c r="E107" i="37" s="1"/>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H25" i="36" s="1"/>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F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s="1"/>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H27" i="35"/>
  <c r="U27" i="35" s="1"/>
  <c r="F27" i="35"/>
  <c r="AA27" i="35" s="1"/>
  <c r="J22" i="35"/>
  <c r="B101" i="35"/>
  <c r="H36" i="35" s="1"/>
  <c r="AB36" i="35" s="1"/>
  <c r="B99" i="35"/>
  <c r="B97" i="35"/>
  <c r="B77" i="35"/>
  <c r="J25" i="35" s="1"/>
  <c r="B75" i="35"/>
  <c r="J24" i="35" s="1"/>
  <c r="AC24" i="35"/>
  <c r="B73" i="35"/>
  <c r="J23" i="35" s="1"/>
  <c r="AC23" i="35" s="1"/>
  <c r="H23" i="35"/>
  <c r="U23" i="35" s="1"/>
  <c r="B57" i="35"/>
  <c r="B61" i="35"/>
  <c r="B59" i="35"/>
  <c r="B131" i="34"/>
  <c r="B129" i="34"/>
  <c r="B127" i="34"/>
  <c r="B99" i="34"/>
  <c r="J32" i="34" s="1"/>
  <c r="W32" i="34" s="1"/>
  <c r="B97" i="34"/>
  <c r="H31" i="34" s="1"/>
  <c r="B95" i="34"/>
  <c r="B93" i="34"/>
  <c r="B75" i="34"/>
  <c r="B73" i="34"/>
  <c r="B71" i="34"/>
  <c r="J12" i="34" s="1"/>
  <c r="W12" i="34" s="1"/>
  <c r="B130" i="33"/>
  <c r="B128" i="33"/>
  <c r="F45" i="33" s="1"/>
  <c r="B126" i="33"/>
  <c r="F44" i="33" s="1"/>
  <c r="B98" i="33"/>
  <c r="B96" i="33"/>
  <c r="B94" i="33"/>
  <c r="F29" i="33" s="1"/>
  <c r="S29" i="33" s="1"/>
  <c r="B74" i="33"/>
  <c r="J14" i="33" s="1"/>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c r="Q33" i="35"/>
  <c r="Z33" i="35"/>
  <c r="Q32" i="35"/>
  <c r="Z32" i="35"/>
  <c r="H32" i="35"/>
  <c r="AB32" i="35" s="1"/>
  <c r="F32" i="35"/>
  <c r="AA32" i="35" s="1"/>
  <c r="Q31" i="35"/>
  <c r="Z31" i="35"/>
  <c r="AC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H9" i="34"/>
  <c r="J8" i="34"/>
  <c r="AC8" i="34" s="1"/>
  <c r="H8" i="34"/>
  <c r="U8" i="34" s="1"/>
  <c r="F8" i="34"/>
  <c r="D121" i="33"/>
  <c r="E121" i="33" s="1"/>
  <c r="F109" i="33"/>
  <c r="E109" i="33"/>
  <c r="D109" i="33"/>
  <c r="C109" i="33"/>
  <c r="D91" i="33"/>
  <c r="E91" i="33"/>
  <c r="B88"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S9" i="21" s="1"/>
  <c r="G18" i="20"/>
  <c r="B90" i="43"/>
  <c r="G19" i="20"/>
  <c r="B87" i="43" s="1"/>
  <c r="G16" i="20"/>
  <c r="B84" i="43"/>
  <c r="G15" i="20"/>
  <c r="B83" i="43" s="1"/>
  <c r="C24" i="20"/>
  <c r="C21" i="20"/>
  <c r="B99" i="43" s="1"/>
  <c r="C20" i="20"/>
  <c r="B101" i="43" s="1"/>
  <c r="C18" i="20"/>
  <c r="B94" i="43" s="1"/>
  <c r="C17" i="20"/>
  <c r="B61" i="43"/>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s="1"/>
  <c r="D117" i="21"/>
  <c r="E117" i="21"/>
  <c r="F117" i="21" s="1"/>
  <c r="G117" i="21" s="1"/>
  <c r="D115" i="21"/>
  <c r="E115" i="2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AC30" i="21" s="1"/>
  <c r="B94" i="21"/>
  <c r="J29" i="21"/>
  <c r="AC29" i="21" s="1"/>
  <c r="B92" i="21"/>
  <c r="J28" i="21" s="1"/>
  <c r="W28" i="21" s="1"/>
  <c r="B90" i="21"/>
  <c r="J27" i="21" s="1"/>
  <c r="B74" i="21"/>
  <c r="J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s="1"/>
  <c r="Q29" i="21"/>
  <c r="Z29" i="21" s="1"/>
  <c r="Q30" i="21"/>
  <c r="Z30" i="21" s="1"/>
  <c r="Q31" i="21"/>
  <c r="Z31" i="21" s="1"/>
  <c r="Q32" i="21"/>
  <c r="Z32" i="21"/>
  <c r="Q33" i="21"/>
  <c r="Z33" i="21"/>
  <c r="Q34" i="21"/>
  <c r="Z34" i="21"/>
  <c r="J35" i="21"/>
  <c r="W35" i="21" s="1"/>
  <c r="Q35" i="21"/>
  <c r="Z35" i="21" s="1"/>
  <c r="Q36" i="21"/>
  <c r="Z36" i="21"/>
  <c r="Q37" i="21"/>
  <c r="Z37" i="21" s="1"/>
  <c r="J38" i="21"/>
  <c r="W38" i="21" s="1"/>
  <c r="Q38" i="21"/>
  <c r="Z38" i="21"/>
  <c r="J39" i="21"/>
  <c r="AC39" i="21" s="1"/>
  <c r="Q39" i="21"/>
  <c r="Z39" i="21"/>
  <c r="H40" i="21"/>
  <c r="AB40" i="21" s="1"/>
  <c r="Q40" i="21"/>
  <c r="Z40" i="21" s="1"/>
  <c r="Q41" i="21"/>
  <c r="Z41" i="21" s="1"/>
  <c r="Q42" i="21"/>
  <c r="Z42" i="2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U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c r="AB41" i="21"/>
  <c r="S41" i="21"/>
  <c r="AA41" i="21"/>
  <c r="F45" i="39"/>
  <c r="S45" i="39"/>
  <c r="F36" i="39"/>
  <c r="S36" i="39" s="1"/>
  <c r="H36" i="39"/>
  <c r="AB36" i="39"/>
  <c r="J36" i="39"/>
  <c r="AC36" i="39" s="1"/>
  <c r="U9" i="39"/>
  <c r="W40" i="39"/>
  <c r="W25" i="37"/>
  <c r="W31" i="37"/>
  <c r="E103" i="37"/>
  <c r="F103" i="37" s="1"/>
  <c r="G103" i="37" s="1"/>
  <c r="H103" i="37" s="1"/>
  <c r="I103" i="37" s="1"/>
  <c r="J103" i="37" s="1"/>
  <c r="K103" i="37" s="1"/>
  <c r="L103" i="37" s="1"/>
  <c r="M103" i="37" s="1"/>
  <c r="F29" i="36"/>
  <c r="AA29" i="36" s="1"/>
  <c r="F16" i="36"/>
  <c r="AA16" i="36" s="1"/>
  <c r="U31" i="36"/>
  <c r="J33" i="36"/>
  <c r="AC33" i="36" s="1"/>
  <c r="H22" i="35"/>
  <c r="AB22" i="35" s="1"/>
  <c r="U31" i="35"/>
  <c r="U34" i="35"/>
  <c r="F36" i="34"/>
  <c r="J35" i="34"/>
  <c r="U34" i="34"/>
  <c r="H39" i="33"/>
  <c r="U33" i="33"/>
  <c r="S40" i="33"/>
  <c r="W33" i="33"/>
  <c r="W39" i="33"/>
  <c r="S27" i="35"/>
  <c r="F11" i="40"/>
  <c r="AA11" i="40" s="1"/>
  <c r="H11" i="40"/>
  <c r="AB11" i="40"/>
  <c r="AA9" i="40"/>
  <c r="U9" i="40"/>
  <c r="S34" i="40"/>
  <c r="U34" i="40"/>
  <c r="F42" i="39"/>
  <c r="AA42" i="39" s="1"/>
  <c r="F41" i="39"/>
  <c r="S41" i="39" s="1"/>
  <c r="H40" i="39"/>
  <c r="AB40" i="39" s="1"/>
  <c r="H39" i="39"/>
  <c r="U39" i="39" s="1"/>
  <c r="S38" i="39"/>
  <c r="H34" i="39"/>
  <c r="U34" i="39" s="1"/>
  <c r="E108" i="39"/>
  <c r="F31" i="39"/>
  <c r="AA31" i="39" s="1"/>
  <c r="H19" i="39"/>
  <c r="F19" i="39"/>
  <c r="AA19" i="39" s="1"/>
  <c r="H17" i="39"/>
  <c r="AB17" i="39" s="1"/>
  <c r="F17" i="39"/>
  <c r="AA17" i="39" s="1"/>
  <c r="J23" i="40"/>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W17" i="39" s="1"/>
  <c r="J27" i="39"/>
  <c r="AC27" i="39"/>
  <c r="F27" i="39"/>
  <c r="F11" i="21"/>
  <c r="S11" i="21" s="1"/>
  <c r="S40" i="21"/>
  <c r="C25" i="39"/>
  <c r="H11" i="39"/>
  <c r="AB11" i="39" s="1"/>
  <c r="S40" i="39"/>
  <c r="C15" i="39"/>
  <c r="H32" i="33"/>
  <c r="AB32" i="33"/>
  <c r="H11" i="21"/>
  <c r="U11" i="21" s="1"/>
  <c r="J11" i="21"/>
  <c r="W11" i="21" s="1"/>
  <c r="H37" i="40"/>
  <c r="U37" i="40"/>
  <c r="H36" i="40"/>
  <c r="AB36" i="40" s="1"/>
  <c r="F35" i="40"/>
  <c r="AA35" i="40"/>
  <c r="H23" i="40"/>
  <c r="AB23" i="40" s="1"/>
  <c r="H17" i="40"/>
  <c r="U17" i="40"/>
  <c r="J15" i="40"/>
  <c r="W15" i="40" s="1"/>
  <c r="J11" i="40"/>
  <c r="AB8" i="39"/>
  <c r="AC12" i="34"/>
  <c r="AB12" i="35"/>
  <c r="W32" i="40"/>
  <c r="F37" i="39"/>
  <c r="AA37" i="39" s="1"/>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34" i="36"/>
  <c r="S34" i="36" s="1"/>
  <c r="F14" i="35"/>
  <c r="AA14" i="35" s="1"/>
  <c r="F23" i="35"/>
  <c r="AA23" i="35" s="1"/>
  <c r="J32" i="35"/>
  <c r="AC32" i="35" s="1"/>
  <c r="J16" i="35"/>
  <c r="AC16" i="35" s="1"/>
  <c r="H16" i="35"/>
  <c r="U16" i="35"/>
  <c r="F16" i="35"/>
  <c r="S16" i="35" s="1"/>
  <c r="H14" i="35"/>
  <c r="AB14" i="35" s="1"/>
  <c r="J29" i="35"/>
  <c r="H33" i="35"/>
  <c r="J20" i="35"/>
  <c r="W20" i="35" s="1"/>
  <c r="F35" i="37"/>
  <c r="S35" i="37" s="1"/>
  <c r="F101" i="37"/>
  <c r="G101" i="37" s="1"/>
  <c r="H101" i="37" s="1"/>
  <c r="I101" i="37" s="1"/>
  <c r="J101" i="37" s="1"/>
  <c r="K101" i="37" s="1"/>
  <c r="L101" i="37" s="1"/>
  <c r="M101" i="37" s="1"/>
  <c r="J34" i="37"/>
  <c r="W34" i="37"/>
  <c r="AB34" i="37"/>
  <c r="J33" i="37"/>
  <c r="AC33" i="37" s="1"/>
  <c r="H40" i="34"/>
  <c r="U40" i="34"/>
  <c r="E114" i="34"/>
  <c r="H36" i="34"/>
  <c r="U36" i="34" s="1"/>
  <c r="F37" i="34"/>
  <c r="AA37" i="34" s="1"/>
  <c r="S35" i="34"/>
  <c r="F28" i="34"/>
  <c r="AA28" i="34" s="1"/>
  <c r="F25" i="34"/>
  <c r="S25" i="34" s="1"/>
  <c r="H23" i="34"/>
  <c r="AB23" i="34" s="1"/>
  <c r="U23" i="34"/>
  <c r="J23" i="34"/>
  <c r="F19" i="34"/>
  <c r="H17" i="34"/>
  <c r="U17" i="34"/>
  <c r="F15" i="34"/>
  <c r="AA15" i="34" s="1"/>
  <c r="J15" i="34"/>
  <c r="H15" i="34"/>
  <c r="AB15" i="34" s="1"/>
  <c r="W8" i="34"/>
  <c r="J28" i="34"/>
  <c r="W28" i="34" s="1"/>
  <c r="F41" i="33"/>
  <c r="AA41" i="33" s="1"/>
  <c r="F32" i="33"/>
  <c r="AA32" i="33"/>
  <c r="J19" i="33"/>
  <c r="AC19" i="33" s="1"/>
  <c r="J15" i="33"/>
  <c r="AC15" i="33"/>
  <c r="F11" i="33"/>
  <c r="AA11" i="33" s="1"/>
  <c r="U40" i="33"/>
  <c r="W40" i="33"/>
  <c r="F37" i="40"/>
  <c r="AA37" i="40" s="1"/>
  <c r="F36" i="40"/>
  <c r="AA36" i="40" s="1"/>
  <c r="H28" i="40"/>
  <c r="U28" i="40" s="1"/>
  <c r="F23" i="40"/>
  <c r="S23" i="40" s="1"/>
  <c r="AA23" i="40"/>
  <c r="F17" i="40"/>
  <c r="AA17" i="40" s="1"/>
  <c r="J17" i="40"/>
  <c r="W17" i="40"/>
  <c r="F15" i="40"/>
  <c r="S15" i="40" s="1"/>
  <c r="H15" i="40"/>
  <c r="AB15" i="40" s="1"/>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AB17" i="34"/>
  <c r="S41"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s="1"/>
  <c r="H42" i="21"/>
  <c r="U42" i="21" s="1"/>
  <c r="J44" i="34"/>
  <c r="F44" i="34"/>
  <c r="S44" i="34" s="1"/>
  <c r="J10" i="35"/>
  <c r="AC10" i="35" s="1"/>
  <c r="W14" i="21"/>
  <c r="H28" i="21"/>
  <c r="AB28" i="21" s="1"/>
  <c r="F28" i="21"/>
  <c r="AA28" i="21" s="1"/>
  <c r="F30" i="21"/>
  <c r="S30" i="21" s="1"/>
  <c r="J44" i="21"/>
  <c r="AC44" i="21" s="1"/>
  <c r="H44" i="21"/>
  <c r="U44" i="21" s="1"/>
  <c r="F44" i="21"/>
  <c r="AA44" i="21" s="1"/>
  <c r="H46" i="21"/>
  <c r="U46" i="21" s="1"/>
  <c r="J46" i="21"/>
  <c r="F46" i="21"/>
  <c r="AA46" i="21" s="1"/>
  <c r="H28" i="33"/>
  <c r="U28" i="33" s="1"/>
  <c r="F28" i="33"/>
  <c r="AA28" i="33"/>
  <c r="J28" i="33"/>
  <c r="W28" i="33" s="1"/>
  <c r="F33" i="35"/>
  <c r="S33" i="35"/>
  <c r="J33" i="35"/>
  <c r="AC33" i="35" s="1"/>
  <c r="F30" i="35"/>
  <c r="S30" i="35" s="1"/>
  <c r="F89" i="35"/>
  <c r="G89" i="35"/>
  <c r="H89" i="35"/>
  <c r="I89" i="35" s="1"/>
  <c r="J89" i="35" s="1"/>
  <c r="K89" i="35" s="1"/>
  <c r="L89" i="35" s="1"/>
  <c r="M89" i="35" s="1"/>
  <c r="H10" i="36"/>
  <c r="AB10" i="36" s="1"/>
  <c r="J14" i="36"/>
  <c r="AC14" i="36"/>
  <c r="H14" i="36"/>
  <c r="U14" i="36" s="1"/>
  <c r="F28" i="36"/>
  <c r="AA28" i="36" s="1"/>
  <c r="J13" i="21"/>
  <c r="AC13" i="21" s="1"/>
  <c r="F27" i="21"/>
  <c r="AA27" i="21" s="1"/>
  <c r="H29" i="21"/>
  <c r="U29" i="21"/>
  <c r="J31" i="21"/>
  <c r="AC31" i="21" s="1"/>
  <c r="F31" i="21"/>
  <c r="S31" i="21" s="1"/>
  <c r="F45" i="21"/>
  <c r="AA45" i="21" s="1"/>
  <c r="F27" i="33"/>
  <c r="J13" i="33"/>
  <c r="H13" i="33"/>
  <c r="U13" i="33" s="1"/>
  <c r="F13" i="33"/>
  <c r="S13" i="33" s="1"/>
  <c r="J29" i="33"/>
  <c r="H29" i="33"/>
  <c r="U29" i="33" s="1"/>
  <c r="J31" i="33"/>
  <c r="AC31" i="33" s="1"/>
  <c r="W31" i="33"/>
  <c r="H31" i="33"/>
  <c r="F31" i="33"/>
  <c r="H45" i="33"/>
  <c r="AB45" i="33" s="1"/>
  <c r="U45" i="33"/>
  <c r="J45" i="33"/>
  <c r="W45" i="33" s="1"/>
  <c r="AA45" i="33"/>
  <c r="J14" i="34"/>
  <c r="W14" i="34" s="1"/>
  <c r="F14" i="34"/>
  <c r="H14" i="34"/>
  <c r="H30" i="34"/>
  <c r="F30" i="34"/>
  <c r="S30" i="34" s="1"/>
  <c r="J30" i="34"/>
  <c r="H32" i="34"/>
  <c r="F32" i="34"/>
  <c r="H46" i="34"/>
  <c r="U46" i="34"/>
  <c r="F46" i="34"/>
  <c r="J46" i="34"/>
  <c r="H11" i="35"/>
  <c r="AB11" i="35" s="1"/>
  <c r="J11" i="35"/>
  <c r="F11" i="35"/>
  <c r="S11" i="35" s="1"/>
  <c r="J26" i="36"/>
  <c r="W26" i="36"/>
  <c r="H28" i="36"/>
  <c r="U28" i="36" s="1"/>
  <c r="J32" i="36"/>
  <c r="W32" i="36" s="1"/>
  <c r="J11" i="36"/>
  <c r="AC11" i="36" s="1"/>
  <c r="H11" i="36"/>
  <c r="U11" i="36" s="1"/>
  <c r="F11" i="36"/>
  <c r="AA11" i="36" s="1"/>
  <c r="H13" i="36"/>
  <c r="AB13" i="36"/>
  <c r="J13" i="36"/>
  <c r="S13" i="36"/>
  <c r="E89" i="37"/>
  <c r="F89" i="37"/>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c r="F40" i="37"/>
  <c r="AA40" i="37" s="1"/>
  <c r="H14" i="33"/>
  <c r="U14" i="33" s="1"/>
  <c r="F14" i="33"/>
  <c r="S14" i="33" s="1"/>
  <c r="H30" i="33"/>
  <c r="AB30" i="33"/>
  <c r="F30" i="33"/>
  <c r="J30" i="33"/>
  <c r="H44" i="33"/>
  <c r="J44" i="33"/>
  <c r="AC44" i="33"/>
  <c r="J46" i="33"/>
  <c r="AC46" i="33" s="1"/>
  <c r="F46" i="33"/>
  <c r="AA46" i="33" s="1"/>
  <c r="H46" i="33"/>
  <c r="AB46" i="33"/>
  <c r="H13" i="34"/>
  <c r="U13" i="34" s="1"/>
  <c r="J13" i="34"/>
  <c r="W13" i="34" s="1"/>
  <c r="F13" i="34"/>
  <c r="AA13" i="34" s="1"/>
  <c r="J29" i="34"/>
  <c r="F29" i="34"/>
  <c r="S29" i="34" s="1"/>
  <c r="H29" i="34"/>
  <c r="AB29" i="34" s="1"/>
  <c r="J31" i="34"/>
  <c r="F31" i="34"/>
  <c r="S31" i="34"/>
  <c r="H45" i="34"/>
  <c r="J45" i="34"/>
  <c r="W45" i="34"/>
  <c r="F45" i="34"/>
  <c r="S45" i="34" s="1"/>
  <c r="H47" i="34"/>
  <c r="U47" i="34" s="1"/>
  <c r="F47" i="34"/>
  <c r="S47" i="34" s="1"/>
  <c r="J47" i="34"/>
  <c r="AC47" i="34"/>
  <c r="F13" i="35"/>
  <c r="J13" i="35"/>
  <c r="AC13" i="35" s="1"/>
  <c r="H13" i="35"/>
  <c r="U13" i="35" s="1"/>
  <c r="W25" i="35"/>
  <c r="F25" i="35"/>
  <c r="S25" i="35" s="1"/>
  <c r="H25" i="35"/>
  <c r="AB25" i="35" s="1"/>
  <c r="J35" i="35"/>
  <c r="AC35" i="35" s="1"/>
  <c r="F35" i="35"/>
  <c r="AA35" i="35" s="1"/>
  <c r="H35" i="35"/>
  <c r="J25" i="36"/>
  <c r="W25" i="36"/>
  <c r="F25" i="36"/>
  <c r="S25" i="36" s="1"/>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c r="H30" i="40"/>
  <c r="AB30" i="40"/>
  <c r="F33" i="40"/>
  <c r="AA33" i="40" s="1"/>
  <c r="H33" i="40"/>
  <c r="U33" i="40" s="1"/>
  <c r="J35" i="40"/>
  <c r="AC35" i="40" s="1"/>
  <c r="J37" i="40"/>
  <c r="AC37" i="40" s="1"/>
  <c r="H13" i="40"/>
  <c r="U13" i="40" s="1"/>
  <c r="J13" i="40"/>
  <c r="W13" i="40"/>
  <c r="F13" i="40"/>
  <c r="AA13" i="40" s="1"/>
  <c r="F14" i="37"/>
  <c r="AA14" i="37" s="1"/>
  <c r="S14" i="37"/>
  <c r="F27" i="37"/>
  <c r="AA27" i="37" s="1"/>
  <c r="F13" i="39"/>
  <c r="J13" i="39"/>
  <c r="W13" i="39" s="1"/>
  <c r="H13" i="39"/>
  <c r="H14" i="40"/>
  <c r="AB14" i="40"/>
  <c r="J14" i="40"/>
  <c r="W14" i="40" s="1"/>
  <c r="F14" i="40"/>
  <c r="AA14" i="40" s="1"/>
  <c r="J14" i="37"/>
  <c r="J27" i="37"/>
  <c r="AC27" i="37" s="1"/>
  <c r="U46" i="33"/>
  <c r="J36" i="37"/>
  <c r="AC36" i="37" s="1"/>
  <c r="J10" i="36"/>
  <c r="AC10" i="36" s="1"/>
  <c r="S11" i="36"/>
  <c r="AB46" i="34"/>
  <c r="S45" i="33"/>
  <c r="BA586" i="3"/>
  <c r="BA585" i="3"/>
  <c r="F17" i="21"/>
  <c r="AA17" i="21" s="1"/>
  <c r="F15" i="21"/>
  <c r="S15" i="21" s="1"/>
  <c r="J41" i="39"/>
  <c r="W41" i="39" s="1"/>
  <c r="U36" i="39"/>
  <c r="G544" i="3"/>
  <c r="G540" i="3"/>
  <c r="G535" i="3"/>
  <c r="G532" i="3"/>
  <c r="G531" i="3"/>
  <c r="G527" i="3"/>
  <c r="G523" i="3"/>
  <c r="G518" i="3"/>
  <c r="G510" i="3"/>
  <c r="G508" i="3"/>
  <c r="G504" i="3"/>
  <c r="G496" i="3"/>
  <c r="G584" i="3"/>
  <c r="G580" i="3"/>
  <c r="G572" i="3"/>
  <c r="G568" i="3"/>
  <c r="G564" i="3"/>
  <c r="G554" i="3"/>
  <c r="G550" i="3"/>
  <c r="BL584" i="3"/>
  <c r="BL576" i="3"/>
  <c r="BL572" i="3"/>
  <c r="BL568" i="3"/>
  <c r="BL560" i="3"/>
  <c r="BL554" i="3"/>
  <c r="BL546" i="3"/>
  <c r="BL538" i="3"/>
  <c r="BL534" i="3"/>
  <c r="BL530" i="3"/>
  <c r="BL522" i="3"/>
  <c r="BL516" i="3"/>
  <c r="BL512" i="3"/>
  <c r="BL502" i="3"/>
  <c r="BL498" i="3"/>
  <c r="BL494" i="3"/>
  <c r="BL578" i="3"/>
  <c r="BL574" i="3"/>
  <c r="BL570" i="3"/>
  <c r="BL562" i="3"/>
  <c r="BL556" i="3"/>
  <c r="BL552" i="3"/>
  <c r="BL540" i="3"/>
  <c r="BL536" i="3"/>
  <c r="G533" i="3"/>
  <c r="G529" i="3"/>
  <c r="BL528" i="3"/>
  <c r="G525" i="3"/>
  <c r="BL518" i="3"/>
  <c r="BL514" i="3"/>
  <c r="BL510" i="3"/>
  <c r="BL500" i="3"/>
  <c r="BL496" i="3"/>
  <c r="G493" i="3"/>
  <c r="BA582" i="3"/>
  <c r="BA578" i="3"/>
  <c r="BA574" i="3"/>
  <c r="BA572" i="3"/>
  <c r="AZ572" i="3" s="1"/>
  <c r="BA570" i="3"/>
  <c r="BA566" i="3"/>
  <c r="BA564" i="3"/>
  <c r="BA562" i="3"/>
  <c r="BA558" i="3"/>
  <c r="BA556" i="3"/>
  <c r="AZ556" i="3" s="1"/>
  <c r="BA554" i="3"/>
  <c r="AZ554" i="3" s="1"/>
  <c r="BA552" i="3"/>
  <c r="BA548" i="3"/>
  <c r="BA546" i="3"/>
  <c r="AZ546" i="3" s="1"/>
  <c r="BA544" i="3"/>
  <c r="BA542" i="3"/>
  <c r="BA540" i="3"/>
  <c r="BA536" i="3"/>
  <c r="AZ536" i="3" s="1"/>
  <c r="BA532" i="3"/>
  <c r="BA528" i="3"/>
  <c r="AZ528" i="3" s="1"/>
  <c r="BA526" i="3"/>
  <c r="BA524" i="3"/>
  <c r="BA520" i="3"/>
  <c r="BA518" i="3"/>
  <c r="AZ518" i="3" s="1"/>
  <c r="BA516" i="3"/>
  <c r="AZ516" i="3" s="1"/>
  <c r="BA512" i="3"/>
  <c r="AZ512" i="3"/>
  <c r="BA510" i="3"/>
  <c r="AZ510" i="3" s="1"/>
  <c r="BA508" i="3"/>
  <c r="BA506" i="3"/>
  <c r="BA504" i="3"/>
  <c r="BA502" i="3"/>
  <c r="BA500" i="3"/>
  <c r="BA498" i="3"/>
  <c r="BA496" i="3"/>
  <c r="AZ496" i="3" s="1"/>
  <c r="BA494" i="3"/>
  <c r="AZ494" i="3" s="1"/>
  <c r="BA581" i="3"/>
  <c r="BA579" i="3"/>
  <c r="BA575" i="3"/>
  <c r="BA573" i="3"/>
  <c r="BA571" i="3"/>
  <c r="AZ571" i="3" s="1"/>
  <c r="BA567" i="3"/>
  <c r="BA565" i="3"/>
  <c r="BA563" i="3"/>
  <c r="BA559" i="3"/>
  <c r="BA555" i="3"/>
  <c r="BA553" i="3"/>
  <c r="BA547" i="3"/>
  <c r="BA545" i="3"/>
  <c r="BA543" i="3"/>
  <c r="BA539" i="3"/>
  <c r="BA537" i="3"/>
  <c r="BA535" i="3"/>
  <c r="BA531" i="3"/>
  <c r="BA529" i="3"/>
  <c r="BA527" i="3"/>
  <c r="BA523" i="3"/>
  <c r="BA519" i="3"/>
  <c r="BA517" i="3"/>
  <c r="BA513" i="3"/>
  <c r="BA511" i="3"/>
  <c r="BA507" i="3"/>
  <c r="BA503" i="3"/>
  <c r="BA501" i="3"/>
  <c r="BA499" i="3"/>
  <c r="BA495" i="3"/>
  <c r="BA493" i="3"/>
  <c r="G581" i="3"/>
  <c r="G579" i="3"/>
  <c r="G577" i="3"/>
  <c r="G573" i="3"/>
  <c r="G571" i="3"/>
  <c r="G569" i="3"/>
  <c r="G565" i="3"/>
  <c r="G563" i="3"/>
  <c r="G561" i="3"/>
  <c r="BA557" i="3"/>
  <c r="AZ557" i="3" s="1"/>
  <c r="AC557" i="3"/>
  <c r="G557" i="3" s="1"/>
  <c r="BQ557" i="3"/>
  <c r="BL557" i="3" s="1"/>
  <c r="BQ583" i="3"/>
  <c r="BQ581" i="3"/>
  <c r="BL581" i="3" s="1"/>
  <c r="BQ579" i="3"/>
  <c r="BQ577" i="3"/>
  <c r="BL577" i="3" s="1"/>
  <c r="BQ575" i="3"/>
  <c r="BL575" i="3" s="1"/>
  <c r="BQ573" i="3"/>
  <c r="BQ571" i="3"/>
  <c r="BL571" i="3"/>
  <c r="BQ569" i="3"/>
  <c r="BL569" i="3" s="1"/>
  <c r="BQ567" i="3"/>
  <c r="BL567" i="3"/>
  <c r="BQ565" i="3"/>
  <c r="BL565" i="3" s="1"/>
  <c r="AZ565" i="3" s="1"/>
  <c r="BQ563" i="3"/>
  <c r="BL563" i="3"/>
  <c r="BQ561" i="3"/>
  <c r="BL561" i="3" s="1"/>
  <c r="BQ559" i="3"/>
  <c r="G559" i="3"/>
  <c r="G555" i="3"/>
  <c r="G549" i="3"/>
  <c r="G547" i="3"/>
  <c r="G545" i="3"/>
  <c r="G541" i="3"/>
  <c r="G539" i="3"/>
  <c r="G537" i="3"/>
  <c r="BQ555" i="3"/>
  <c r="BL555" i="3"/>
  <c r="BQ553" i="3"/>
  <c r="BL553" i="3" s="1"/>
  <c r="AZ553" i="3"/>
  <c r="BQ551" i="3"/>
  <c r="BL551" i="3"/>
  <c r="BQ549" i="3"/>
  <c r="BQ547" i="3"/>
  <c r="BL547" i="3" s="1"/>
  <c r="AZ547" i="3" s="1"/>
  <c r="BQ545" i="3"/>
  <c r="BL545" i="3"/>
  <c r="BQ543" i="3"/>
  <c r="BL543" i="3" s="1"/>
  <c r="AZ543" i="3"/>
  <c r="BQ541" i="3"/>
  <c r="BL541" i="3"/>
  <c r="BQ539" i="3"/>
  <c r="BL539" i="3" s="1"/>
  <c r="BQ537" i="3"/>
  <c r="BQ535" i="3"/>
  <c r="BL535" i="3" s="1"/>
  <c r="AZ535" i="3" s="1"/>
  <c r="BQ533" i="3"/>
  <c r="BL533" i="3" s="1"/>
  <c r="BQ531" i="3"/>
  <c r="BL531" i="3" s="1"/>
  <c r="AZ531" i="3" s="1"/>
  <c r="BQ529" i="3"/>
  <c r="BL529" i="3" s="1"/>
  <c r="BQ527" i="3"/>
  <c r="BL527" i="3" s="1"/>
  <c r="AZ527" i="3"/>
  <c r="BQ525" i="3"/>
  <c r="BL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BA509" i="3"/>
  <c r="AC509" i="3"/>
  <c r="BQ509" i="3"/>
  <c r="BL509" i="3" s="1"/>
  <c r="AZ509" i="3" s="1"/>
  <c r="BL508" i="3"/>
  <c r="AZ508" i="3"/>
  <c r="G507" i="3"/>
  <c r="G505" i="3"/>
  <c r="G503" i="3"/>
  <c r="G501" i="3"/>
  <c r="G499" i="3"/>
  <c r="G497" i="3"/>
  <c r="G495" i="3"/>
  <c r="BQ507" i="3"/>
  <c r="BQ505" i="3"/>
  <c r="BL505" i="3" s="1"/>
  <c r="BQ503" i="3"/>
  <c r="BL503" i="3" s="1"/>
  <c r="AZ503" i="3"/>
  <c r="BQ501" i="3"/>
  <c r="BL501" i="3" s="1"/>
  <c r="AZ501" i="3" s="1"/>
  <c r="BQ499" i="3"/>
  <c r="BL499" i="3"/>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H24" i="35"/>
  <c r="AB24" i="35"/>
  <c r="H23" i="37"/>
  <c r="J32" i="37"/>
  <c r="AC32" i="37"/>
  <c r="F36" i="37"/>
  <c r="AA36" i="37" s="1"/>
  <c r="F37" i="37"/>
  <c r="AA37" i="37"/>
  <c r="F31" i="40"/>
  <c r="H31" i="40"/>
  <c r="U31" i="40"/>
  <c r="F32" i="40"/>
  <c r="S32" i="40" s="1"/>
  <c r="H32" i="40"/>
  <c r="AB32" i="40"/>
  <c r="J36" i="40"/>
  <c r="H19" i="37"/>
  <c r="AB19" i="37" s="1"/>
  <c r="F123" i="33"/>
  <c r="G123" i="33" s="1"/>
  <c r="H123" i="33" s="1"/>
  <c r="I123" i="33" s="1"/>
  <c r="J123" i="33" s="1"/>
  <c r="K123" i="33" s="1"/>
  <c r="L123" i="33" s="1"/>
  <c r="M123" i="33" s="1"/>
  <c r="H42" i="33"/>
  <c r="AB42" i="33" s="1"/>
  <c r="J43" i="33"/>
  <c r="AC43" i="33" s="1"/>
  <c r="S28" i="31"/>
  <c r="S27" i="31"/>
  <c r="S26" i="31"/>
  <c r="U14" i="40"/>
  <c r="W23" i="35"/>
  <c r="U26" i="37"/>
  <c r="W47" i="34"/>
  <c r="AA13" i="33"/>
  <c r="AC45" i="33"/>
  <c r="W44" i="33"/>
  <c r="U11" i="33"/>
  <c r="U19" i="21"/>
  <c r="F43" i="33"/>
  <c r="AA43" i="33" s="1"/>
  <c r="W15" i="34"/>
  <c r="AC15" i="34"/>
  <c r="W16" i="35"/>
  <c r="W40" i="37"/>
  <c r="H107" i="37"/>
  <c r="I107" i="37" s="1"/>
  <c r="J107" i="37" s="1"/>
  <c r="K107" i="37" s="1"/>
  <c r="L107" i="37" s="1"/>
  <c r="M107" i="37" s="1"/>
  <c r="H19" i="34"/>
  <c r="AB19" i="34" s="1"/>
  <c r="F36" i="35"/>
  <c r="S36" i="35" s="1"/>
  <c r="J9" i="37"/>
  <c r="W9" i="37" s="1"/>
  <c r="H9" i="37"/>
  <c r="U9" i="37" s="1"/>
  <c r="F9" i="37"/>
  <c r="S9" i="37" s="1"/>
  <c r="J12" i="37"/>
  <c r="H12" i="37"/>
  <c r="AB12" i="37" s="1"/>
  <c r="F12" i="37"/>
  <c r="S12" i="37" s="1"/>
  <c r="E71" i="37"/>
  <c r="F71" i="37" s="1"/>
  <c r="G71" i="37" s="1"/>
  <c r="F15" i="37"/>
  <c r="S15" i="37" s="1"/>
  <c r="AA15" i="37"/>
  <c r="E94" i="37"/>
  <c r="F31" i="37"/>
  <c r="S31" i="37" s="1"/>
  <c r="F12" i="39"/>
  <c r="S12" i="39" s="1"/>
  <c r="J42" i="39"/>
  <c r="AC42" i="39" s="1"/>
  <c r="H21" i="40"/>
  <c r="AB21" i="40" s="1"/>
  <c r="F94" i="37"/>
  <c r="G94" i="37"/>
  <c r="H94" i="37" s="1"/>
  <c r="I94" i="37" s="1"/>
  <c r="J94" i="37" s="1"/>
  <c r="K94" i="37" s="1"/>
  <c r="L94" i="37" s="1"/>
  <c r="M94" i="37" s="1"/>
  <c r="H31" i="37"/>
  <c r="U31" i="37" s="1"/>
  <c r="J15" i="37"/>
  <c r="W15" i="37" s="1"/>
  <c r="AT6" i="3"/>
  <c r="AA25" i="21"/>
  <c r="H19" i="40"/>
  <c r="U19" i="40" s="1"/>
  <c r="F19" i="40"/>
  <c r="S19" i="40" s="1"/>
  <c r="S14" i="40"/>
  <c r="AC13" i="40"/>
  <c r="AB33" i="40"/>
  <c r="W23" i="39"/>
  <c r="AC43" i="39"/>
  <c r="W43"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s="1"/>
  <c r="F11" i="39"/>
  <c r="S11" i="39" s="1"/>
  <c r="G4" i="4"/>
  <c r="I4" i="4"/>
  <c r="F61" i="43"/>
  <c r="H64" i="43" s="1"/>
  <c r="BL549"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AZ116" i="3" s="1"/>
  <c r="G117" i="3"/>
  <c r="BA119" i="3"/>
  <c r="BL120" i="3"/>
  <c r="AZ120" i="3" s="1"/>
  <c r="G121" i="3"/>
  <c r="BA123" i="3"/>
  <c r="AZ123" i="3" s="1"/>
  <c r="BL124" i="3"/>
  <c r="G125" i="3"/>
  <c r="BA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G189" i="3"/>
  <c r="BA191" i="3"/>
  <c r="BL192" i="3"/>
  <c r="G193" i="3"/>
  <c r="BA195" i="3"/>
  <c r="BL196" i="3"/>
  <c r="AZ196" i="3"/>
  <c r="G197" i="3"/>
  <c r="BA199" i="3"/>
  <c r="BL200" i="3"/>
  <c r="G201" i="3"/>
  <c r="BA203" i="3"/>
  <c r="BL204" i="3"/>
  <c r="AZ97"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AZ346" i="3" s="1"/>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BA390" i="3"/>
  <c r="BL390" i="3"/>
  <c r="G391" i="3"/>
  <c r="G394" i="3"/>
  <c r="AZ186" i="3"/>
  <c r="AZ500" i="3"/>
  <c r="BL303" i="3"/>
  <c r="G304" i="3"/>
  <c r="BA306" i="3"/>
  <c r="BL307" i="3"/>
  <c r="G308" i="3"/>
  <c r="BA310" i="3"/>
  <c r="AZ310" i="3"/>
  <c r="BL311" i="3"/>
  <c r="AZ311" i="3" s="1"/>
  <c r="G312" i="3"/>
  <c r="BA314" i="3"/>
  <c r="BL315" i="3"/>
  <c r="AZ315" i="3" s="1"/>
  <c r="G316" i="3"/>
  <c r="BA318" i="3"/>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AZ222" i="3"/>
  <c r="G342" i="3"/>
  <c r="BL345" i="3"/>
  <c r="G346" i="3"/>
  <c r="BL349" i="3"/>
  <c r="BL352" i="3"/>
  <c r="G353" i="3"/>
  <c r="BA357" i="3"/>
  <c r="AZ357" i="3" s="1"/>
  <c r="BL358" i="3"/>
  <c r="G359" i="3"/>
  <c r="BA361" i="3"/>
  <c r="AZ361" i="3" s="1"/>
  <c r="BL362" i="3"/>
  <c r="G363" i="3"/>
  <c r="BA365" i="3"/>
  <c r="BL366" i="3"/>
  <c r="G367" i="3"/>
  <c r="BA369" i="3"/>
  <c r="AZ369" i="3" s="1"/>
  <c r="BL370" i="3"/>
  <c r="G371" i="3"/>
  <c r="BA373" i="3"/>
  <c r="AZ373" i="3" s="1"/>
  <c r="BL374" i="3"/>
  <c r="G375" i="3"/>
  <c r="BA377" i="3"/>
  <c r="AZ377" i="3" s="1"/>
  <c r="AZ237" i="3"/>
  <c r="AZ245" i="3"/>
  <c r="AZ269" i="3"/>
  <c r="BA379" i="3"/>
  <c r="AZ379" i="3" s="1"/>
  <c r="BL380" i="3"/>
  <c r="G381" i="3"/>
  <c r="BA383" i="3"/>
  <c r="AZ383" i="3" s="1"/>
  <c r="BL384" i="3"/>
  <c r="AZ384" i="3" s="1"/>
  <c r="G385" i="3"/>
  <c r="BA387" i="3"/>
  <c r="AZ387" i="3" s="1"/>
  <c r="BL388" i="3"/>
  <c r="G389" i="3"/>
  <c r="BA391" i="3"/>
  <c r="AZ391" i="3" s="1"/>
  <c r="BL392" i="3"/>
  <c r="G393" i="3"/>
  <c r="BM5" i="3"/>
  <c r="BJ5" i="3"/>
  <c r="BH5" i="3"/>
  <c r="BF5" i="3"/>
  <c r="AC5" i="3"/>
  <c r="G548" i="3"/>
  <c r="G538" i="3"/>
  <c r="G520" i="3"/>
  <c r="G502" i="3"/>
  <c r="BS5" i="3"/>
  <c r="BP5" i="3"/>
  <c r="BN5" i="3"/>
  <c r="BI5" i="3"/>
  <c r="BC5" i="3"/>
  <c r="G17" i="3"/>
  <c r="BA17" i="3"/>
  <c r="BA15" i="3"/>
  <c r="BB5" i="3"/>
  <c r="E5" i="6" s="1"/>
  <c r="AZ380" i="3"/>
  <c r="AZ392" i="3"/>
  <c r="AZ499" i="3"/>
  <c r="G509" i="3"/>
  <c r="BL493" i="3"/>
  <c r="AZ493" i="3" s="1"/>
  <c r="U36" i="40"/>
  <c r="F83" i="43"/>
  <c r="H85" i="43" s="1"/>
  <c r="F50" i="43"/>
  <c r="H54" i="43" s="1"/>
  <c r="F72" i="43"/>
  <c r="H75" i="43" s="1"/>
  <c r="U17" i="39"/>
  <c r="S14" i="35"/>
  <c r="U35" i="21"/>
  <c r="AC35" i="21"/>
  <c r="AZ563" i="3"/>
  <c r="W37" i="37"/>
  <c r="W44" i="34"/>
  <c r="AC44" i="34"/>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F96" i="37"/>
  <c r="H27" i="40"/>
  <c r="U27" i="40" s="1"/>
  <c r="J27" i="40"/>
  <c r="F27" i="40"/>
  <c r="S27" i="40"/>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H44" i="34"/>
  <c r="U44" i="34" s="1"/>
  <c r="AC38" i="39"/>
  <c r="F39" i="39"/>
  <c r="S39" i="39" s="1"/>
  <c r="J39" i="39"/>
  <c r="AC39" i="39" s="1"/>
  <c r="E96" i="39"/>
  <c r="F96" i="39" s="1"/>
  <c r="G96" i="39" s="1"/>
  <c r="C40" i="11"/>
  <c r="AZ240" i="3"/>
  <c r="AZ259" i="3"/>
  <c r="AZ133" i="3"/>
  <c r="AZ110" i="3"/>
  <c r="F23" i="39"/>
  <c r="S23" i="39" s="1"/>
  <c r="H27" i="36"/>
  <c r="U27" i="36" s="1"/>
  <c r="F27" i="36"/>
  <c r="AA27" i="36" s="1"/>
  <c r="H33" i="34"/>
  <c r="AB33" i="34" s="1"/>
  <c r="F32" i="37"/>
  <c r="AA32" i="37"/>
  <c r="G96" i="37"/>
  <c r="H96" i="37" s="1"/>
  <c r="I96" i="37" s="1"/>
  <c r="J96" i="37" s="1"/>
  <c r="K96" i="37" s="1"/>
  <c r="L96" i="37" s="1"/>
  <c r="M96" i="37" s="1"/>
  <c r="F20" i="36"/>
  <c r="AA20" i="36" s="1"/>
  <c r="J33" i="34"/>
  <c r="H23" i="39"/>
  <c r="U23" i="39" s="1"/>
  <c r="D48" i="9"/>
  <c r="M52" i="9" s="1"/>
  <c r="K9" i="1"/>
  <c r="M9" i="1" s="1"/>
  <c r="K6" i="1"/>
  <c r="AP6" i="1" s="1"/>
  <c r="W27" i="34"/>
  <c r="AC27" i="34"/>
  <c r="AB33" i="36"/>
  <c r="U33" i="36"/>
  <c r="AC12" i="39"/>
  <c r="W12" i="39"/>
  <c r="AC39" i="40"/>
  <c r="W39" i="40"/>
  <c r="W12" i="33"/>
  <c r="AC12" i="33"/>
  <c r="BL14" i="3"/>
  <c r="U30" i="33"/>
  <c r="AA47" i="34"/>
  <c r="W28" i="37"/>
  <c r="S19" i="39"/>
  <c r="F12" i="33"/>
  <c r="H12" i="39"/>
  <c r="AB12" i="39" s="1"/>
  <c r="F39" i="40"/>
  <c r="BA14" i="3"/>
  <c r="AZ224" i="3"/>
  <c r="AZ286" i="3"/>
  <c r="AZ157" i="3"/>
  <c r="B12" i="1"/>
  <c r="E12" i="1" s="1"/>
  <c r="B10" i="1"/>
  <c r="E10" i="1" s="1"/>
  <c r="K12" i="1"/>
  <c r="M12" i="1" s="1"/>
  <c r="S13" i="1"/>
  <c r="AR13" i="1" s="1"/>
  <c r="R13" i="1"/>
  <c r="J51" i="67"/>
  <c r="C42" i="1"/>
  <c r="C24" i="12" s="1"/>
  <c r="AC34" i="33"/>
  <c r="AA34" i="33"/>
  <c r="AB37" i="40"/>
  <c r="S35" i="40"/>
  <c r="U35" i="40"/>
  <c r="AA32" i="40"/>
  <c r="S17" i="40"/>
  <c r="AC17" i="40"/>
  <c r="AC15" i="40"/>
  <c r="AA19" i="40"/>
  <c r="S28" i="40"/>
  <c r="AA27" i="40"/>
  <c r="U21" i="40"/>
  <c r="U37" i="39"/>
  <c r="S43" i="39"/>
  <c r="S37" i="39"/>
  <c r="U35" i="39"/>
  <c r="F32" i="39"/>
  <c r="F106" i="39"/>
  <c r="G106" i="39" s="1"/>
  <c r="H106" i="39" s="1"/>
  <c r="I106" i="39" s="1"/>
  <c r="J106" i="39" s="1"/>
  <c r="K106" i="39" s="1"/>
  <c r="L106" i="39" s="1"/>
  <c r="M106" i="39" s="1"/>
  <c r="U25" i="39"/>
  <c r="AB27" i="39"/>
  <c r="U31" i="39"/>
  <c r="J21" i="39"/>
  <c r="W21" i="39" s="1"/>
  <c r="F21" i="39"/>
  <c r="G94" i="39"/>
  <c r="H21" i="39"/>
  <c r="AB21" i="39" s="1"/>
  <c r="W19" i="39"/>
  <c r="S17" i="39"/>
  <c r="S15" i="39"/>
  <c r="AA12" i="39"/>
  <c r="S9" i="39"/>
  <c r="U14" i="39"/>
  <c r="AC13" i="39"/>
  <c r="U12" i="39"/>
  <c r="S23" i="36"/>
  <c r="U13" i="36"/>
  <c r="U26" i="36"/>
  <c r="S33" i="36"/>
  <c r="AA26" i="36"/>
  <c r="AA34" i="36"/>
  <c r="AC26" i="36"/>
  <c r="AA22" i="36"/>
  <c r="W14" i="36"/>
  <c r="AB14" i="36"/>
  <c r="U22" i="36"/>
  <c r="S16" i="36"/>
  <c r="AA25" i="36"/>
  <c r="U23" i="36"/>
  <c r="AB20" i="36"/>
  <c r="U16"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AA38" i="37"/>
  <c r="W38" i="37"/>
  <c r="AC35" i="37"/>
  <c r="S30" i="37"/>
  <c r="S37" i="37"/>
  <c r="J17" i="37"/>
  <c r="W17" i="37" s="1"/>
  <c r="G73" i="37"/>
  <c r="F17" i="37"/>
  <c r="AA17" i="37" s="1"/>
  <c r="AB17" i="37"/>
  <c r="F19" i="37"/>
  <c r="S19" i="37" s="1"/>
  <c r="F79" i="37"/>
  <c r="F23" i="37"/>
  <c r="S23" i="37" s="1"/>
  <c r="U15" i="37"/>
  <c r="AC13" i="37"/>
  <c r="AA13" i="37"/>
  <c r="H10" i="37"/>
  <c r="AB10" i="37" s="1"/>
  <c r="F63" i="37"/>
  <c r="F11" i="37"/>
  <c r="S11" i="37" s="1"/>
  <c r="W25" i="34"/>
  <c r="AB8" i="34"/>
  <c r="U43" i="34"/>
  <c r="AC39" i="34"/>
  <c r="W41" i="34"/>
  <c r="AC42" i="34"/>
  <c r="AB35" i="34"/>
  <c r="U39" i="34"/>
  <c r="AB41" i="34"/>
  <c r="AA45" i="34"/>
  <c r="AA25" i="34"/>
  <c r="U28" i="34"/>
  <c r="S17" i="34"/>
  <c r="AA29" i="34"/>
  <c r="U27" i="34"/>
  <c r="S23" i="34"/>
  <c r="U15" i="34"/>
  <c r="S13" i="34"/>
  <c r="H10" i="34"/>
  <c r="AB10" i="34" s="1"/>
  <c r="F11" i="34"/>
  <c r="S11" i="34" s="1"/>
  <c r="F70" i="34"/>
  <c r="W42" i="33"/>
  <c r="AA35" i="33"/>
  <c r="S32" i="33"/>
  <c r="AA29" i="33"/>
  <c r="AB29"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AB25" i="33" s="1"/>
  <c r="F25" i="33"/>
  <c r="J23" i="33"/>
  <c r="AC23" i="33" s="1"/>
  <c r="F85" i="33"/>
  <c r="H23" i="33"/>
  <c r="U23" i="33" s="1"/>
  <c r="F81" i="33"/>
  <c r="F19" i="33"/>
  <c r="S19" i="33" s="1"/>
  <c r="W19" i="33"/>
  <c r="J17" i="33"/>
  <c r="W17" i="33" s="1"/>
  <c r="F79" i="33"/>
  <c r="G79" i="33" s="1"/>
  <c r="S15" i="33"/>
  <c r="W15" i="33"/>
  <c r="J10" i="33"/>
  <c r="W10" i="33" s="1"/>
  <c r="H10" i="33"/>
  <c r="U10" i="33" s="1"/>
  <c r="AC11" i="33"/>
  <c r="AB14" i="33"/>
  <c r="W43" i="21"/>
  <c r="W41" i="21"/>
  <c r="AC40" i="21"/>
  <c r="J15" i="21"/>
  <c r="W15" i="21" s="1"/>
  <c r="F77" i="21"/>
  <c r="G77" i="21"/>
  <c r="F23" i="21"/>
  <c r="S23" i="21" s="1"/>
  <c r="E85" i="21"/>
  <c r="F85" i="21" s="1"/>
  <c r="G85" i="21" s="1"/>
  <c r="D120" i="9"/>
  <c r="D121" i="9" s="1"/>
  <c r="D7" i="52" s="1"/>
  <c r="C18" i="9"/>
  <c r="D18" i="9" s="1"/>
  <c r="F34" i="67"/>
  <c r="F62" i="67" s="1"/>
  <c r="M20" i="67"/>
  <c r="F34" i="15"/>
  <c r="F62" i="15" s="1"/>
  <c r="G13" i="3"/>
  <c r="BA13" i="3"/>
  <c r="BL17" i="3"/>
  <c r="AZ17" i="3"/>
  <c r="J56" i="9"/>
  <c r="J57" i="9" s="1"/>
  <c r="J59" i="9" s="1"/>
  <c r="J61" i="9" s="1"/>
  <c r="A24" i="51"/>
  <c r="B18" i="72"/>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U32" i="40"/>
  <c r="AB31" i="40"/>
  <c r="S37" i="40"/>
  <c r="AB28" i="40"/>
  <c r="W28" i="40"/>
  <c r="W34" i="40"/>
  <c r="W19" i="40"/>
  <c r="S36" i="40"/>
  <c r="W37" i="40"/>
  <c r="AC14" i="40"/>
  <c r="S13" i="40"/>
  <c r="S33" i="40"/>
  <c r="AA15" i="40"/>
  <c r="U11" i="40"/>
  <c r="AB13" i="40"/>
  <c r="U15" i="40"/>
  <c r="AB17" i="40"/>
  <c r="U8" i="40"/>
  <c r="S8" i="40"/>
  <c r="AA39" i="39"/>
  <c r="AC41" i="39"/>
  <c r="U42" i="39"/>
  <c r="U41" i="39"/>
  <c r="W25" i="39"/>
  <c r="AC25" i="39"/>
  <c r="U13" i="39"/>
  <c r="AB13" i="39"/>
  <c r="AA13" i="39"/>
  <c r="S13" i="39"/>
  <c r="S14" i="39"/>
  <c r="AA14" i="39"/>
  <c r="U43" i="39"/>
  <c r="AB43" i="39"/>
  <c r="U11" i="39"/>
  <c r="AA27" i="39"/>
  <c r="S27" i="39"/>
  <c r="AC17" i="39"/>
  <c r="W31" i="39"/>
  <c r="AC31" i="39"/>
  <c r="AA45" i="39"/>
  <c r="AB39" i="39"/>
  <c r="W34" i="39"/>
  <c r="U38" i="39"/>
  <c r="S8" i="39"/>
  <c r="S20" i="36"/>
  <c r="AC25" i="36"/>
  <c r="W29" i="36"/>
  <c r="AC20" i="36"/>
  <c r="U25" i="36"/>
  <c r="AB28" i="36"/>
  <c r="AA13" i="36"/>
  <c r="W9" i="36"/>
  <c r="W22" i="36"/>
  <c r="W23" i="36"/>
  <c r="AB20" i="35"/>
  <c r="AC25" i="35"/>
  <c r="U25" i="35"/>
  <c r="U24" i="35"/>
  <c r="W35" i="35"/>
  <c r="AA16" i="35"/>
  <c r="AA35" i="37"/>
  <c r="W36" i="37"/>
  <c r="S27" i="37"/>
  <c r="S28" i="37"/>
  <c r="W32" i="37"/>
  <c r="S40" i="37"/>
  <c r="U38" i="37"/>
  <c r="AB37" i="37"/>
  <c r="AC34" i="37"/>
  <c r="AB35" i="37"/>
  <c r="AA31" i="37"/>
  <c r="U19" i="37"/>
  <c r="AA29" i="37"/>
  <c r="U8" i="37"/>
  <c r="AB40" i="34"/>
  <c r="U19" i="34"/>
  <c r="W19" i="34"/>
  <c r="AC45" i="34"/>
  <c r="AA31" i="34"/>
  <c r="AA30"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8" i="33"/>
  <c r="S33" i="33"/>
  <c r="AB34" i="33"/>
  <c r="U44" i="33"/>
  <c r="AB44" i="33"/>
  <c r="S30" i="33"/>
  <c r="AA30" i="33"/>
  <c r="AC14" i="33"/>
  <c r="W14" i="33"/>
  <c r="AC30" i="33"/>
  <c r="W30" i="33"/>
  <c r="S31" i="33"/>
  <c r="AA31" i="33"/>
  <c r="W13" i="33"/>
  <c r="AC13" i="33"/>
  <c r="U15" i="33"/>
  <c r="S11" i="33"/>
  <c r="U37" i="33"/>
  <c r="S28" i="33"/>
  <c r="W9" i="33"/>
  <c r="W8" i="33"/>
  <c r="U28" i="21"/>
  <c r="S45" i="21"/>
  <c r="F33" i="21"/>
  <c r="AA33" i="21" s="1"/>
  <c r="J33" i="21"/>
  <c r="AC33" i="21" s="1"/>
  <c r="H33" i="21"/>
  <c r="AB33" i="21" s="1"/>
  <c r="AB46" i="21"/>
  <c r="U40" i="21"/>
  <c r="AB31" i="21"/>
  <c r="U31" i="21"/>
  <c r="U13" i="21"/>
  <c r="AB13" i="21"/>
  <c r="H15" i="21"/>
  <c r="U15" i="21"/>
  <c r="AC19" i="21"/>
  <c r="AC14" i="21"/>
  <c r="W30" i="21"/>
  <c r="H45" i="21"/>
  <c r="U45" i="21" s="1"/>
  <c r="F29" i="21"/>
  <c r="AA29" i="21" s="1"/>
  <c r="F13" i="21"/>
  <c r="AA13" i="21" s="1"/>
  <c r="H9" i="21"/>
  <c r="AB9" i="21" s="1"/>
  <c r="J9" i="21"/>
  <c r="W9" i="21" s="1"/>
  <c r="AA31" i="21"/>
  <c r="W29" i="21"/>
  <c r="S19" i="21"/>
  <c r="K141" i="21"/>
  <c r="K144" i="21"/>
  <c r="K143" i="21"/>
  <c r="AB44" i="21"/>
  <c r="AA30" i="21"/>
  <c r="W13" i="21"/>
  <c r="W42" i="21"/>
  <c r="F10" i="21"/>
  <c r="AA10" i="21" s="1"/>
  <c r="K145" i="21"/>
  <c r="W31" i="21"/>
  <c r="AA15" i="21"/>
  <c r="AB29" i="21"/>
  <c r="S28" i="21"/>
  <c r="AC34" i="21"/>
  <c r="AB36" i="21"/>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U21" i="39"/>
  <c r="AA21" i="39"/>
  <c r="S21" i="39"/>
  <c r="AC17" i="37"/>
  <c r="S17" i="37"/>
  <c r="J19" i="37"/>
  <c r="W19" i="37" s="1"/>
  <c r="G75" i="37"/>
  <c r="AA19" i="37"/>
  <c r="AA23" i="37"/>
  <c r="J23" i="37"/>
  <c r="W23" i="37" s="1"/>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AB27" i="33"/>
  <c r="G91" i="33"/>
  <c r="H91" i="33"/>
  <c r="I91" i="33" s="1"/>
  <c r="J91" i="33" s="1"/>
  <c r="K91" i="33" s="1"/>
  <c r="L91" i="33" s="1"/>
  <c r="M91" i="33" s="1"/>
  <c r="J27" i="33"/>
  <c r="W27" i="33" s="1"/>
  <c r="U25" i="33"/>
  <c r="S25" i="33"/>
  <c r="AA25" i="33"/>
  <c r="G87" i="33"/>
  <c r="H87" i="33" s="1"/>
  <c r="I87" i="33" s="1"/>
  <c r="J87" i="33" s="1"/>
  <c r="K87" i="33" s="1"/>
  <c r="L87" i="33" s="1"/>
  <c r="M87" i="33" s="1"/>
  <c r="J25" i="33"/>
  <c r="AB23" i="33"/>
  <c r="F23" i="33"/>
  <c r="G85" i="33"/>
  <c r="AA19" i="33"/>
  <c r="H19" i="33"/>
  <c r="G81" i="33"/>
  <c r="H17" i="33"/>
  <c r="U17" i="33" s="1"/>
  <c r="F17" i="33"/>
  <c r="S17" i="33" s="1"/>
  <c r="AC17" i="33"/>
  <c r="AA23" i="21"/>
  <c r="AB15" i="21"/>
  <c r="J23" i="21"/>
  <c r="W23" i="21" s="1"/>
  <c r="H23" i="21"/>
  <c r="AB23" i="21" s="1"/>
  <c r="D6" i="52"/>
  <c r="AP7" i="1"/>
  <c r="AB45" i="21"/>
  <c r="A18" i="62"/>
  <c r="B64" i="72" s="1"/>
  <c r="U32" i="39"/>
  <c r="AC32" i="39"/>
  <c r="W32" i="39"/>
  <c r="AC23" i="37"/>
  <c r="J11" i="37"/>
  <c r="AC11" i="37" s="1"/>
  <c r="J11" i="34"/>
  <c r="W11" i="34" s="1"/>
  <c r="AB36" i="33"/>
  <c r="AC27" i="33"/>
  <c r="W25" i="33"/>
  <c r="AC25" i="33"/>
  <c r="AB19" i="33"/>
  <c r="U19" i="33"/>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10" i="76"/>
  <c r="M8" i="15"/>
  <c r="F5" i="73"/>
  <c r="D35" i="9"/>
  <c r="B13" i="76"/>
  <c r="D6" i="73"/>
  <c r="M28" i="67"/>
  <c r="F7" i="67"/>
  <c r="F42" i="67"/>
  <c r="M29" i="67"/>
  <c r="F37" i="67"/>
  <c r="M23" i="67"/>
  <c r="F42" i="15"/>
  <c r="M23" i="15"/>
  <c r="F20" i="31"/>
  <c r="M9" i="15"/>
  <c r="B11" i="76"/>
  <c r="AO13" i="1"/>
  <c r="F16" i="67"/>
  <c r="M9" i="67"/>
  <c r="F13" i="67"/>
  <c r="F36" i="67"/>
  <c r="J15" i="67"/>
  <c r="E11" i="76"/>
  <c r="B8" i="76"/>
  <c r="E8" i="76"/>
  <c r="F9" i="15"/>
  <c r="E2" i="69"/>
  <c r="M6" i="67"/>
  <c r="E13" i="76"/>
  <c r="F37" i="15"/>
  <c r="M24" i="67"/>
  <c r="E10" i="76"/>
  <c r="E12" i="76"/>
  <c r="F8" i="15"/>
  <c r="E2" i="68"/>
  <c r="D34" i="9"/>
  <c r="M22" i="15"/>
  <c r="F9" i="67"/>
  <c r="C76" i="67"/>
  <c r="E9" i="76"/>
  <c r="F43" i="15"/>
  <c r="F3" i="73"/>
  <c r="J15" i="15"/>
  <c r="F4" i="73"/>
  <c r="M22" i="67"/>
  <c r="F38" i="67"/>
  <c r="F6" i="73"/>
  <c r="F7" i="73"/>
  <c r="B12" i="76"/>
  <c r="M26" i="15"/>
  <c r="F8" i="67"/>
  <c r="B7" i="76"/>
  <c r="M8" i="67"/>
  <c r="F40" i="67"/>
  <c r="L48" i="67"/>
  <c r="F26" i="67"/>
  <c r="B9" i="76"/>
  <c r="F43" i="67"/>
  <c r="F26" i="15"/>
  <c r="L47" i="67"/>
  <c r="E7" i="76"/>
  <c r="J17" i="21" l="1"/>
  <c r="W17" i="21" s="1"/>
  <c r="H17" i="21"/>
  <c r="AB17" i="21" s="1"/>
  <c r="F89" i="21"/>
  <c r="H26" i="21"/>
  <c r="AB26" i="21" s="1"/>
  <c r="F26" i="21"/>
  <c r="S26" i="21" s="1"/>
  <c r="F101" i="21"/>
  <c r="G101" i="21" s="1"/>
  <c r="H101" i="21" s="1"/>
  <c r="I101" i="21" s="1"/>
  <c r="J101" i="21" s="1"/>
  <c r="K101" i="21" s="1"/>
  <c r="L101" i="21" s="1"/>
  <c r="M101" i="21" s="1"/>
  <c r="H32" i="21"/>
  <c r="AB32" i="21" s="1"/>
  <c r="F32" i="21"/>
  <c r="AA32" i="21" s="1"/>
  <c r="J32" i="21"/>
  <c r="W32" i="21" s="1"/>
  <c r="AB42" i="21"/>
  <c r="S42" i="21"/>
  <c r="AA43" i="21"/>
  <c r="AC45" i="21"/>
  <c r="U43" i="21"/>
  <c r="S39" i="21"/>
  <c r="AB39" i="21"/>
  <c r="AC38" i="21"/>
  <c r="H113" i="21"/>
  <c r="F37" i="21"/>
  <c r="AA37" i="21" s="1"/>
  <c r="H37" i="21"/>
  <c r="U37" i="21" s="1"/>
  <c r="J37" i="21"/>
  <c r="W37" i="21" s="1"/>
  <c r="S35" i="21"/>
  <c r="W36" i="21"/>
  <c r="AB34" i="21"/>
  <c r="AA9" i="21"/>
  <c r="U9" i="21"/>
  <c r="AC9" i="21"/>
  <c r="W25" i="21"/>
  <c r="AB25" i="21"/>
  <c r="W44" i="21"/>
  <c r="S44" i="21"/>
  <c r="W39" i="21"/>
  <c r="AB38" i="21"/>
  <c r="AA38" i="21"/>
  <c r="AA36" i="21"/>
  <c r="S32" i="21"/>
  <c r="S27" i="21"/>
  <c r="H27" i="21"/>
  <c r="W27" i="21"/>
  <c r="AC27" i="21"/>
  <c r="AA26" i="21"/>
  <c r="AC17" i="21"/>
  <c r="S17" i="21"/>
  <c r="B41" i="1"/>
  <c r="D93" i="9"/>
  <c r="C40" i="68"/>
  <c r="C21" i="68"/>
  <c r="A2" i="9"/>
  <c r="A4" i="52"/>
  <c r="B41" i="72" s="1"/>
  <c r="A118" i="9"/>
  <c r="G29" i="6"/>
  <c r="BE5" i="3"/>
  <c r="BR5" i="3"/>
  <c r="BD5" i="3"/>
  <c r="BL13" i="3"/>
  <c r="U23" i="21"/>
  <c r="AC23" i="21"/>
  <c r="AZ502" i="3"/>
  <c r="S13" i="21"/>
  <c r="W30" i="40"/>
  <c r="S46" i="21"/>
  <c r="AC28" i="33"/>
  <c r="U36" i="37"/>
  <c r="S35" i="35"/>
  <c r="S36" i="37"/>
  <c r="S14" i="36"/>
  <c r="AB19" i="40"/>
  <c r="U33" i="34"/>
  <c r="AA23" i="39"/>
  <c r="AA43" i="34"/>
  <c r="S43" i="34"/>
  <c r="AA30" i="40"/>
  <c r="AC11" i="39"/>
  <c r="AZ318" i="3"/>
  <c r="AZ378" i="3"/>
  <c r="W12" i="37"/>
  <c r="AC12" i="37"/>
  <c r="AA31" i="40"/>
  <c r="S31" i="40"/>
  <c r="AZ520" i="3"/>
  <c r="AZ574" i="3"/>
  <c r="AA27" i="33"/>
  <c r="S27" i="33"/>
  <c r="AC23" i="40"/>
  <c r="W23" i="40"/>
  <c r="AB19" i="39"/>
  <c r="U19" i="39"/>
  <c r="U42" i="33"/>
  <c r="AA33" i="34"/>
  <c r="AC15" i="37"/>
  <c r="AB27" i="40"/>
  <c r="S40" i="34"/>
  <c r="AA40" i="34"/>
  <c r="AC27" i="40"/>
  <c r="W27" i="40"/>
  <c r="AB32" i="37"/>
  <c r="U32" i="37"/>
  <c r="AZ389" i="3"/>
  <c r="AZ320" i="3"/>
  <c r="AZ306" i="3"/>
  <c r="AC36" i="34"/>
  <c r="AA24" i="35"/>
  <c r="S24" i="35"/>
  <c r="AC31" i="34"/>
  <c r="W31" i="34"/>
  <c r="W11" i="35"/>
  <c r="AC11" i="35"/>
  <c r="S14" i="34"/>
  <c r="AA14" i="34"/>
  <c r="AB39" i="33"/>
  <c r="U39" i="33"/>
  <c r="AC15" i="21"/>
  <c r="AA17" i="33"/>
  <c r="AC33" i="34"/>
  <c r="W33" i="34"/>
  <c r="F29" i="6"/>
  <c r="W36" i="40"/>
  <c r="AC36" i="40"/>
  <c r="AB23" i="37"/>
  <c r="U23" i="37"/>
  <c r="AZ552" i="3"/>
  <c r="AA14" i="33"/>
  <c r="U45" i="34"/>
  <c r="AB45" i="34"/>
  <c r="S29" i="35"/>
  <c r="AA29" i="35"/>
  <c r="W11" i="40"/>
  <c r="AC11" i="40"/>
  <c r="B79" i="43"/>
  <c r="J26" i="33"/>
  <c r="F26" i="33"/>
  <c r="H26" i="33"/>
  <c r="AC9" i="34"/>
  <c r="W9" i="34"/>
  <c r="F12" i="35"/>
  <c r="J12" i="35"/>
  <c r="U39" i="40"/>
  <c r="AB39" i="40"/>
  <c r="J12" i="40"/>
  <c r="BL580" i="3"/>
  <c r="AZ580" i="3" s="1"/>
  <c r="BA577" i="3"/>
  <c r="AZ577" i="3" s="1"/>
  <c r="BA576" i="3"/>
  <c r="AZ576" i="3" s="1"/>
  <c r="BA569" i="3"/>
  <c r="BA568" i="3"/>
  <c r="AZ568" i="3" s="1"/>
  <c r="BL566" i="3"/>
  <c r="AZ566" i="3" s="1"/>
  <c r="BL564" i="3"/>
  <c r="AZ564" i="3" s="1"/>
  <c r="BA561" i="3"/>
  <c r="AZ561" i="3" s="1"/>
  <c r="BA560" i="3"/>
  <c r="AZ560" i="3" s="1"/>
  <c r="BL558" i="3"/>
  <c r="AZ558" i="3" s="1"/>
  <c r="AA38" i="33"/>
  <c r="S38" i="33"/>
  <c r="AC28" i="36"/>
  <c r="W28" i="36"/>
  <c r="J24" i="36"/>
  <c r="H24" i="36"/>
  <c r="F24" i="36"/>
  <c r="AB30" i="37"/>
  <c r="U30" i="37"/>
  <c r="H44" i="39"/>
  <c r="J44" i="39"/>
  <c r="AC31" i="40"/>
  <c r="W31" i="40"/>
  <c r="AA31" i="35"/>
  <c r="S31" i="35"/>
  <c r="BL582" i="3"/>
  <c r="BL579" i="3"/>
  <c r="AZ579" i="3" s="1"/>
  <c r="AZ14" i="3"/>
  <c r="AC13" i="34"/>
  <c r="AZ345" i="3"/>
  <c r="AZ334" i="3"/>
  <c r="AZ372" i="3"/>
  <c r="AZ347" i="3"/>
  <c r="AZ337" i="3"/>
  <c r="AZ376" i="3"/>
  <c r="AZ309" i="3"/>
  <c r="AA11" i="39"/>
  <c r="H5" i="3"/>
  <c r="AZ523" i="3"/>
  <c r="AZ539" i="3"/>
  <c r="AZ513" i="3"/>
  <c r="AZ498" i="3"/>
  <c r="AZ570" i="3"/>
  <c r="AC28" i="21"/>
  <c r="H30" i="21"/>
  <c r="H14" i="21"/>
  <c r="AA44" i="34"/>
  <c r="W8" i="40"/>
  <c r="W28" i="35"/>
  <c r="F35" i="39"/>
  <c r="BL587" i="3"/>
  <c r="AZ587" i="3" s="1"/>
  <c r="BL586" i="3"/>
  <c r="AZ586" i="3" s="1"/>
  <c r="H9" i="33"/>
  <c r="F9" i="33"/>
  <c r="AA9" i="33" s="1"/>
  <c r="W27" i="35"/>
  <c r="J12" i="36"/>
  <c r="F12" i="36"/>
  <c r="H12" i="36"/>
  <c r="H34" i="36"/>
  <c r="J34" i="36"/>
  <c r="W34" i="36" s="1"/>
  <c r="J39" i="37"/>
  <c r="H39" i="37"/>
  <c r="F39" i="37"/>
  <c r="S39" i="37" s="1"/>
  <c r="F44" i="39"/>
  <c r="H45" i="39"/>
  <c r="J45" i="39"/>
  <c r="W45" i="39" s="1"/>
  <c r="J38" i="40"/>
  <c r="F38" i="40"/>
  <c r="U30" i="36"/>
  <c r="AB30" i="36"/>
  <c r="BA584" i="3"/>
  <c r="AZ584" i="3" s="1"/>
  <c r="BL550" i="3"/>
  <c r="BL542" i="3"/>
  <c r="AZ542" i="3" s="1"/>
  <c r="BA538" i="3"/>
  <c r="AZ538" i="3" s="1"/>
  <c r="BA530" i="3"/>
  <c r="AZ530" i="3" s="1"/>
  <c r="BL526" i="3"/>
  <c r="BA522" i="3"/>
  <c r="AZ522" i="3" s="1"/>
  <c r="BL506" i="3"/>
  <c r="AZ506" i="3" s="1"/>
  <c r="BA505" i="3"/>
  <c r="AZ505" i="3" s="1"/>
  <c r="BA497" i="3"/>
  <c r="AZ497" i="3" s="1"/>
  <c r="AZ370" i="3"/>
  <c r="AZ362" i="3"/>
  <c r="AZ390" i="3"/>
  <c r="AZ351" i="3"/>
  <c r="AZ336" i="3"/>
  <c r="AZ375" i="3"/>
  <c r="AZ511" i="3"/>
  <c r="AZ569" i="3"/>
  <c r="AZ529" i="3"/>
  <c r="AZ575" i="3"/>
  <c r="AZ526" i="3"/>
  <c r="AZ582" i="3"/>
  <c r="AZ540" i="3"/>
  <c r="F14" i="21"/>
  <c r="B97" i="43"/>
  <c r="B75" i="43"/>
  <c r="AB35" i="33"/>
  <c r="U35" i="33"/>
  <c r="S44" i="33"/>
  <c r="AA44" i="33"/>
  <c r="AC22" i="35"/>
  <c r="W22" i="35"/>
  <c r="F32" i="36"/>
  <c r="H32" i="36"/>
  <c r="AB38" i="40"/>
  <c r="U38" i="40"/>
  <c r="BA549" i="3"/>
  <c r="AZ549" i="3" s="1"/>
  <c r="BL544" i="3"/>
  <c r="AZ544" i="3" s="1"/>
  <c r="BA541" i="3"/>
  <c r="AZ541" i="3" s="1"/>
  <c r="BL537" i="3"/>
  <c r="AZ537" i="3" s="1"/>
  <c r="BA534" i="3"/>
  <c r="AZ534" i="3" s="1"/>
  <c r="BA533" i="3"/>
  <c r="AZ533" i="3" s="1"/>
  <c r="BL532" i="3"/>
  <c r="AZ532" i="3" s="1"/>
  <c r="BA525" i="3"/>
  <c r="AZ525" i="3" s="1"/>
  <c r="BL524" i="3"/>
  <c r="AZ524" i="3" s="1"/>
  <c r="BA515" i="3"/>
  <c r="AZ515" i="3" s="1"/>
  <c r="BA514" i="3"/>
  <c r="AZ514" i="3" s="1"/>
  <c r="G514" i="3"/>
  <c r="BL504" i="3"/>
  <c r="AZ504" i="3" s="1"/>
  <c r="AZ403" i="3"/>
  <c r="AZ419" i="3"/>
  <c r="C55" i="71"/>
  <c r="D54" i="71"/>
  <c r="BL559" i="3"/>
  <c r="AZ559" i="3" s="1"/>
  <c r="BL573" i="3"/>
  <c r="AZ573" i="3" s="1"/>
  <c r="BL583" i="3"/>
  <c r="AZ583" i="3" s="1"/>
  <c r="G587" i="3"/>
  <c r="BA551" i="3"/>
  <c r="AZ551" i="3" s="1"/>
  <c r="BA550" i="3"/>
  <c r="AZ550" i="3" s="1"/>
  <c r="BL548" i="3"/>
  <c r="AZ548" i="3" s="1"/>
  <c r="BL15" i="3"/>
  <c r="AZ15" i="3" s="1"/>
  <c r="BA402" i="3"/>
  <c r="AZ402" i="3" s="1"/>
  <c r="BA406" i="3"/>
  <c r="AZ406" i="3" s="1"/>
  <c r="BA410" i="3"/>
  <c r="BA412" i="3"/>
  <c r="AZ412" i="3" s="1"/>
  <c r="BA421" i="3"/>
  <c r="BA423" i="3"/>
  <c r="AZ423" i="3" s="1"/>
  <c r="BA431" i="3"/>
  <c r="BA433" i="3"/>
  <c r="AZ433" i="3" s="1"/>
  <c r="BA435" i="3"/>
  <c r="BL437" i="3"/>
  <c r="AZ437" i="3" s="1"/>
  <c r="G439" i="3"/>
  <c r="BL443" i="3"/>
  <c r="BL445" i="3"/>
  <c r="BL446" i="3"/>
  <c r="BL451" i="3"/>
  <c r="AZ451" i="3" s="1"/>
  <c r="BL452" i="3"/>
  <c r="G455" i="3"/>
  <c r="BA458" i="3"/>
  <c r="AZ458" i="3" s="1"/>
  <c r="BL585" i="3"/>
  <c r="AZ585" i="3" s="1"/>
  <c r="G558" i="3"/>
  <c r="AZ443" i="3"/>
  <c r="AZ483" i="3"/>
  <c r="BA400" i="3"/>
  <c r="AZ400" i="3" s="1"/>
  <c r="BA401" i="3"/>
  <c r="AZ401" i="3" s="1"/>
  <c r="G403" i="3"/>
  <c r="BA404" i="3"/>
  <c r="AZ404" i="3" s="1"/>
  <c r="BA405" i="3"/>
  <c r="AZ405" i="3" s="1"/>
  <c r="G407" i="3"/>
  <c r="BL407" i="3"/>
  <c r="AZ407" i="3" s="1"/>
  <c r="BA414" i="3"/>
  <c r="BA415" i="3"/>
  <c r="AZ415" i="3" s="1"/>
  <c r="BA416" i="3"/>
  <c r="AZ416" i="3" s="1"/>
  <c r="BA418" i="3"/>
  <c r="BA425" i="3"/>
  <c r="AZ425" i="3" s="1"/>
  <c r="BA426" i="3"/>
  <c r="BA427" i="3"/>
  <c r="AZ427" i="3" s="1"/>
  <c r="G441" i="3"/>
  <c r="BL441" i="3"/>
  <c r="AZ441" i="3" s="1"/>
  <c r="BL442" i="3"/>
  <c r="BL447" i="3"/>
  <c r="BL449" i="3"/>
  <c r="BL450" i="3"/>
  <c r="BL455" i="3"/>
  <c r="BL456" i="3"/>
  <c r="BA460" i="3"/>
  <c r="BA461" i="3"/>
  <c r="AZ487" i="3"/>
  <c r="U21" i="33"/>
  <c r="AB21" i="33"/>
  <c r="P65" i="71"/>
  <c r="P66" i="71"/>
  <c r="D75" i="71"/>
  <c r="C74" i="71"/>
  <c r="D74" i="71" s="1"/>
  <c r="D60" i="71"/>
  <c r="T60" i="71"/>
  <c r="C44" i="71"/>
  <c r="D43" i="71"/>
  <c r="C31" i="71"/>
  <c r="D30" i="71"/>
  <c r="N65" i="71"/>
  <c r="N66" i="71"/>
  <c r="F79" i="71"/>
  <c r="F78" i="71" s="1"/>
  <c r="V80" i="71"/>
  <c r="Y26" i="71"/>
  <c r="Z26" i="71" s="1"/>
  <c r="Y25" i="71"/>
  <c r="Z25" i="71" s="1"/>
  <c r="BA464" i="3"/>
  <c r="AZ464" i="3" s="1"/>
  <c r="BL467" i="3"/>
  <c r="BL468" i="3"/>
  <c r="BL470" i="3"/>
  <c r="BL473" i="3"/>
  <c r="AZ473" i="3" s="1"/>
  <c r="BL474" i="3"/>
  <c r="BA482" i="3"/>
  <c r="BA484" i="3"/>
  <c r="AZ484" i="3" s="1"/>
  <c r="BA303" i="3"/>
  <c r="AZ303" i="3" s="1"/>
  <c r="BA307" i="3"/>
  <c r="AZ307" i="3" s="1"/>
  <c r="BL314" i="3"/>
  <c r="AZ314" i="3" s="1"/>
  <c r="BA332" i="3"/>
  <c r="BL332" i="3"/>
  <c r="BA367" i="3"/>
  <c r="AZ367" i="3" s="1"/>
  <c r="BA370" i="3"/>
  <c r="BA386" i="3"/>
  <c r="AZ386" i="3" s="1"/>
  <c r="BA216" i="3"/>
  <c r="AZ216" i="3" s="1"/>
  <c r="BA218" i="3"/>
  <c r="AZ218" i="3" s="1"/>
  <c r="BL218" i="3"/>
  <c r="BL220" i="3"/>
  <c r="BL221" i="3"/>
  <c r="BL223" i="3"/>
  <c r="BA227" i="3"/>
  <c r="AZ227" i="3" s="1"/>
  <c r="BA229" i="3"/>
  <c r="BL229" i="3"/>
  <c r="BL231" i="3"/>
  <c r="BL233" i="3"/>
  <c r="AZ233" i="3" s="1"/>
  <c r="BL235" i="3"/>
  <c r="AZ235" i="3" s="1"/>
  <c r="BL236" i="3"/>
  <c r="BL238" i="3"/>
  <c r="BL243" i="3"/>
  <c r="BA247" i="3"/>
  <c r="BL247" i="3"/>
  <c r="BA249" i="3"/>
  <c r="AZ249" i="3" s="1"/>
  <c r="BL249" i="3"/>
  <c r="BA251" i="3"/>
  <c r="BL251" i="3"/>
  <c r="BA262" i="3"/>
  <c r="AZ262" i="3" s="1"/>
  <c r="BL265" i="3"/>
  <c r="AZ265" i="3" s="1"/>
  <c r="BL270" i="3"/>
  <c r="BA278" i="3"/>
  <c r="AZ278" i="3" s="1"/>
  <c r="BA280" i="3"/>
  <c r="AZ280" i="3" s="1"/>
  <c r="BL283" i="3"/>
  <c r="AZ283" i="3" s="1"/>
  <c r="BL284" i="3"/>
  <c r="G288" i="3"/>
  <c r="BA290" i="3"/>
  <c r="BL295" i="3"/>
  <c r="BA298" i="3"/>
  <c r="AZ298" i="3" s="1"/>
  <c r="BL137" i="3"/>
  <c r="BA146" i="3"/>
  <c r="BL167" i="3"/>
  <c r="AZ167" i="3" s="1"/>
  <c r="BL20" i="3"/>
  <c r="BA21" i="3"/>
  <c r="AZ21" i="3" s="1"/>
  <c r="AZ52" i="3"/>
  <c r="BL54" i="3"/>
  <c r="F40" i="69"/>
  <c r="C40" i="69"/>
  <c r="B71" i="71"/>
  <c r="B70" i="71" s="1"/>
  <c r="S72" i="71"/>
  <c r="X25" i="71"/>
  <c r="G399" i="3"/>
  <c r="BL400" i="3"/>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AZ454" i="3" s="1"/>
  <c r="G458" i="3"/>
  <c r="BL459" i="3"/>
  <c r="AZ459" i="3" s="1"/>
  <c r="G462"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BL385" i="3"/>
  <c r="BA397" i="3"/>
  <c r="AZ397" i="3" s="1"/>
  <c r="BL397" i="3"/>
  <c r="BA210" i="3"/>
  <c r="BL210" i="3"/>
  <c r="BL212" i="3"/>
  <c r="BL214" i="3"/>
  <c r="AZ214" i="3" s="1"/>
  <c r="BL225" i="3"/>
  <c r="BL226" i="3"/>
  <c r="BA239" i="3"/>
  <c r="BL252" i="3"/>
  <c r="BL255" i="3"/>
  <c r="BL257" i="3"/>
  <c r="AZ257" i="3" s="1"/>
  <c r="BL258" i="3"/>
  <c r="BL260" i="3"/>
  <c r="BL263" i="3"/>
  <c r="AZ263" i="3" s="1"/>
  <c r="BA273" i="3"/>
  <c r="BL275" i="3"/>
  <c r="AZ275" i="3" s="1"/>
  <c r="BL285" i="3"/>
  <c r="BL287" i="3"/>
  <c r="BA294" i="3"/>
  <c r="BL299" i="3"/>
  <c r="BL134" i="3"/>
  <c r="BL178" i="3"/>
  <c r="BA180" i="3"/>
  <c r="AZ180" i="3" s="1"/>
  <c r="BL182" i="3"/>
  <c r="BA185" i="3"/>
  <c r="BA189" i="3"/>
  <c r="BL191" i="3"/>
  <c r="AZ191" i="3" s="1"/>
  <c r="BA193" i="3"/>
  <c r="BL24" i="3"/>
  <c r="BA26" i="3"/>
  <c r="BL28" i="3"/>
  <c r="BA29" i="3"/>
  <c r="AZ29" i="3" s="1"/>
  <c r="BL34" i="3"/>
  <c r="BA36" i="3"/>
  <c r="BL38" i="3"/>
  <c r="BA39" i="3"/>
  <c r="AZ39" i="3" s="1"/>
  <c r="BL44" i="3"/>
  <c r="BA45" i="3"/>
  <c r="BA46" i="3"/>
  <c r="BL47" i="3"/>
  <c r="AZ47" i="3" s="1"/>
  <c r="G66" i="3"/>
  <c r="BA68" i="3"/>
  <c r="BL398" i="3"/>
  <c r="AZ398" i="3" s="1"/>
  <c r="G402" i="3"/>
  <c r="BL403" i="3"/>
  <c r="G405" i="3"/>
  <c r="G406" i="3"/>
  <c r="BA408" i="3"/>
  <c r="AZ408" i="3" s="1"/>
  <c r="BA409" i="3"/>
  <c r="AZ409" i="3" s="1"/>
  <c r="BA411" i="3"/>
  <c r="AZ411" i="3" s="1"/>
  <c r="BL414" i="3"/>
  <c r="BL415" i="3"/>
  <c r="BA417" i="3"/>
  <c r="AZ417" i="3" s="1"/>
  <c r="BL421" i="3"/>
  <c r="BL422" i="3"/>
  <c r="AZ422" i="3" s="1"/>
  <c r="BL425" i="3"/>
  <c r="BL426" i="3"/>
  <c r="BA428" i="3"/>
  <c r="BA429" i="3"/>
  <c r="AZ429" i="3" s="1"/>
  <c r="BA430" i="3"/>
  <c r="AZ430" i="3" s="1"/>
  <c r="BA432" i="3"/>
  <c r="AZ432" i="3" s="1"/>
  <c r="BA434" i="3"/>
  <c r="BA436" i="3"/>
  <c r="BA438" i="3"/>
  <c r="G442" i="3"/>
  <c r="G443" i="3"/>
  <c r="BA446" i="3"/>
  <c r="BA450" i="3"/>
  <c r="BA453" i="3"/>
  <c r="BA455" i="3"/>
  <c r="AZ455" i="3" s="1"/>
  <c r="BL457" i="3"/>
  <c r="AZ457" i="3" s="1"/>
  <c r="BL460" i="3"/>
  <c r="BL461" i="3"/>
  <c r="BL463" i="3"/>
  <c r="G465" i="3"/>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BL228" i="3"/>
  <c r="AZ228" i="3" s="1"/>
  <c r="BA230" i="3"/>
  <c r="AZ230" i="3" s="1"/>
  <c r="BL232" i="3"/>
  <c r="BL234" i="3"/>
  <c r="BA236" i="3"/>
  <c r="BA238" i="3"/>
  <c r="AZ238" i="3" s="1"/>
  <c r="BA243" i="3"/>
  <c r="AZ243" i="3" s="1"/>
  <c r="BL248" i="3"/>
  <c r="AZ248" i="3" s="1"/>
  <c r="G250" i="3"/>
  <c r="BL250" i="3"/>
  <c r="AZ250" i="3" s="1"/>
  <c r="G252" i="3"/>
  <c r="BA270" i="3"/>
  <c r="AZ270" i="3" s="1"/>
  <c r="BA271" i="3"/>
  <c r="BL271" i="3"/>
  <c r="BL289" i="3"/>
  <c r="G290" i="3"/>
  <c r="BL292" i="3"/>
  <c r="BA301" i="3"/>
  <c r="AZ301" i="3" s="1"/>
  <c r="G123" i="3"/>
  <c r="BA124" i="3"/>
  <c r="AZ124" i="3" s="1"/>
  <c r="BL127" i="3"/>
  <c r="AZ127" i="3" s="1"/>
  <c r="BA128" i="3"/>
  <c r="AZ128" i="3" s="1"/>
  <c r="BL146" i="3"/>
  <c r="G147" i="3"/>
  <c r="BA150" i="3"/>
  <c r="G163" i="3"/>
  <c r="BL169" i="3"/>
  <c r="BA188" i="3"/>
  <c r="AZ188" i="3" s="1"/>
  <c r="BL195" i="3"/>
  <c r="AZ195" i="3" s="1"/>
  <c r="G196" i="3"/>
  <c r="BA197" i="3"/>
  <c r="BL201" i="3"/>
  <c r="AZ201" i="3" s="1"/>
  <c r="BL203" i="3"/>
  <c r="AZ203" i="3" s="1"/>
  <c r="BA204" i="3"/>
  <c r="AZ204" i="3" s="1"/>
  <c r="BL23" i="3"/>
  <c r="G32" i="3"/>
  <c r="G42" i="3"/>
  <c r="BA55" i="3"/>
  <c r="AZ55" i="3" s="1"/>
  <c r="BL57" i="3"/>
  <c r="G62" i="3"/>
  <c r="BL62" i="3"/>
  <c r="AZ62" i="3" s="1"/>
  <c r="BL63" i="3"/>
  <c r="G80" i="3"/>
  <c r="G85" i="3"/>
  <c r="BL85" i="3"/>
  <c r="BA86" i="3"/>
  <c r="BL101" i="3"/>
  <c r="BL102" i="3"/>
  <c r="B13" i="1"/>
  <c r="E13" i="1" s="1"/>
  <c r="K13" i="1"/>
  <c r="M13" i="1" s="1"/>
  <c r="O13" i="1" s="1"/>
  <c r="P13" i="1" s="1"/>
  <c r="AB21" i="37"/>
  <c r="U21" i="37"/>
  <c r="AC18" i="36"/>
  <c r="W18" i="36"/>
  <c r="AB25" i="40"/>
  <c r="U25" i="40"/>
  <c r="AB26" i="71"/>
  <c r="AB27" i="71"/>
  <c r="C34" i="71"/>
  <c r="Y30" i="71"/>
  <c r="Z30" i="71" s="1"/>
  <c r="Y28" i="71"/>
  <c r="Z28" i="71" s="1"/>
  <c r="C47" i="71"/>
  <c r="D47" i="71" s="1"/>
  <c r="D46" i="71"/>
  <c r="AC18" i="35"/>
  <c r="W18" i="35"/>
  <c r="B100" i="43"/>
  <c r="B57" i="43"/>
  <c r="B68" i="43"/>
  <c r="C40" i="71"/>
  <c r="D39" i="71"/>
  <c r="X28" i="71"/>
  <c r="X31" i="71"/>
  <c r="X32" i="71"/>
  <c r="E34" i="71"/>
  <c r="E35" i="71" s="1"/>
  <c r="E36" i="71" s="1"/>
  <c r="U36" i="71" s="1"/>
  <c r="AA30" i="71"/>
  <c r="C67" i="71"/>
  <c r="T68" i="71"/>
  <c r="T76" i="71"/>
  <c r="D76" i="71"/>
  <c r="C23" i="71"/>
  <c r="B22" i="71"/>
  <c r="B21" i="71" s="1"/>
  <c r="B20" i="71" s="1"/>
  <c r="AA3" i="71"/>
  <c r="BL113" i="3"/>
  <c r="BL115" i="3"/>
  <c r="AZ115" i="3" s="1"/>
  <c r="BA118" i="3"/>
  <c r="AZ118" i="3" s="1"/>
  <c r="BL118" i="3"/>
  <c r="BA122" i="3"/>
  <c r="AZ122" i="3" s="1"/>
  <c r="BL125" i="3"/>
  <c r="AZ125" i="3" s="1"/>
  <c r="BL126" i="3"/>
  <c r="AZ126" i="3" s="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BL190" i="3"/>
  <c r="AZ190" i="3" s="1"/>
  <c r="BA192" i="3"/>
  <c r="AZ192" i="3" s="1"/>
  <c r="BL197" i="3"/>
  <c r="BL199" i="3"/>
  <c r="AZ199" i="3" s="1"/>
  <c r="BA200" i="3"/>
  <c r="AZ200" i="3" s="1"/>
  <c r="BA202" i="3"/>
  <c r="BL207" i="3"/>
  <c r="BL18" i="3"/>
  <c r="BL19" i="3"/>
  <c r="BA20" i="3"/>
  <c r="AZ20" i="3" s="1"/>
  <c r="BL25" i="3"/>
  <c r="AZ25" i="3" s="1"/>
  <c r="BL27" i="3"/>
  <c r="AZ27" i="3" s="1"/>
  <c r="BA28" i="3"/>
  <c r="AZ28" i="3" s="1"/>
  <c r="BA31" i="3"/>
  <c r="BA32" i="3"/>
  <c r="G38" i="3"/>
  <c r="BA38" i="3"/>
  <c r="BA41" i="3"/>
  <c r="BA42" i="3"/>
  <c r="G47" i="3"/>
  <c r="BL48" i="3"/>
  <c r="BA51" i="3"/>
  <c r="G55" i="3"/>
  <c r="BL56" i="3"/>
  <c r="BA58" i="3"/>
  <c r="BL59" i="3"/>
  <c r="AZ59" i="3" s="1"/>
  <c r="BL60" i="3"/>
  <c r="BA61" i="3"/>
  <c r="AZ61" i="3" s="1"/>
  <c r="BL69" i="3"/>
  <c r="AZ69" i="3" s="1"/>
  <c r="BL70" i="3"/>
  <c r="AZ70" i="3" s="1"/>
  <c r="BL71" i="3"/>
  <c r="BL72" i="3"/>
  <c r="AZ72" i="3" s="1"/>
  <c r="BA75" i="3"/>
  <c r="AZ75" i="3" s="1"/>
  <c r="BL86" i="3"/>
  <c r="BL93" i="3"/>
  <c r="BL111" i="3"/>
  <c r="W21" i="37"/>
  <c r="AC21" i="37"/>
  <c r="AB21" i="34"/>
  <c r="U21" i="34"/>
  <c r="C86" i="71"/>
  <c r="D86" i="71" s="1"/>
  <c r="D87" i="71"/>
  <c r="O68" i="71"/>
  <c r="C52" i="71"/>
  <c r="D51" i="71"/>
  <c r="X26" i="71"/>
  <c r="AB34" i="71"/>
  <c r="C63" i="71"/>
  <c r="D62" i="71"/>
  <c r="F66" i="71"/>
  <c r="Q67" i="71"/>
  <c r="P68" i="71"/>
  <c r="U68" i="71"/>
  <c r="BL239" i="3"/>
  <c r="BA241" i="3"/>
  <c r="AZ241" i="3" s="1"/>
  <c r="BL241" i="3"/>
  <c r="BA244" i="3"/>
  <c r="BL244" i="3"/>
  <c r="BA246" i="3"/>
  <c r="BA252" i="3"/>
  <c r="AZ252" i="3" s="1"/>
  <c r="BA254" i="3"/>
  <c r="AZ254" i="3" s="1"/>
  <c r="BA256" i="3"/>
  <c r="BL256" i="3"/>
  <c r="BA258" i="3"/>
  <c r="BL264" i="3"/>
  <c r="BL266" i="3"/>
  <c r="BA268" i="3"/>
  <c r="BL273" i="3"/>
  <c r="G274" i="3"/>
  <c r="BA277" i="3"/>
  <c r="BL277" i="3"/>
  <c r="BA282" i="3"/>
  <c r="AZ282" i="3" s="1"/>
  <c r="BL282" i="3"/>
  <c r="BA284" i="3"/>
  <c r="AZ284" i="3" s="1"/>
  <c r="BL290" i="3"/>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A48" i="3"/>
  <c r="BA49" i="3"/>
  <c r="AZ49" i="3" s="1"/>
  <c r="BL64" i="3"/>
  <c r="AZ64" i="3" s="1"/>
  <c r="G65" i="3"/>
  <c r="BL65" i="3"/>
  <c r="AZ65" i="3" s="1"/>
  <c r="BL66" i="3"/>
  <c r="BL67" i="3"/>
  <c r="AZ67" i="3" s="1"/>
  <c r="G69" i="3"/>
  <c r="G72" i="3"/>
  <c r="BL73" i="3"/>
  <c r="BA74" i="3"/>
  <c r="AZ74" i="3" s="1"/>
  <c r="BL79" i="3"/>
  <c r="BL81" i="3"/>
  <c r="BA82" i="3"/>
  <c r="AZ82" i="3" s="1"/>
  <c r="BL83" i="3"/>
  <c r="G86" i="3"/>
  <c r="BA87" i="3"/>
  <c r="BA89" i="3"/>
  <c r="G93" i="3"/>
  <c r="BA98" i="3"/>
  <c r="BL103" i="3"/>
  <c r="AZ103" i="3" s="1"/>
  <c r="G104" i="3"/>
  <c r="BA106" i="3"/>
  <c r="BL108" i="3"/>
  <c r="AZ108" i="3" s="1"/>
  <c r="W21" i="21"/>
  <c r="C29" i="39"/>
  <c r="AB25" i="71"/>
  <c r="AB28" i="71"/>
  <c r="T28" i="71"/>
  <c r="D28" i="71"/>
  <c r="U28" i="71" s="1"/>
  <c r="C27" i="71"/>
  <c r="X33" i="71"/>
  <c r="X34" i="71"/>
  <c r="X36" i="71"/>
  <c r="AB37" i="71"/>
  <c r="AB35" i="71"/>
  <c r="V72" i="71"/>
  <c r="F71" i="71"/>
  <c r="F70" i="71" s="1"/>
  <c r="V24" i="71"/>
  <c r="E23" i="71"/>
  <c r="E22" i="71" s="1"/>
  <c r="E21" i="71" s="1"/>
  <c r="E20" i="71" s="1"/>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AZ105" i="3" s="1"/>
  <c r="G107" i="3"/>
  <c r="BL107" i="3"/>
  <c r="BA111" i="3"/>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D9" i="11"/>
  <c r="C9" i="11" s="1"/>
  <c r="D19" i="12"/>
  <c r="C19" i="12" s="1"/>
  <c r="AZ13" i="3"/>
  <c r="O9" i="1"/>
  <c r="P9" i="1" s="1"/>
  <c r="O12" i="1"/>
  <c r="P12" i="1" s="1"/>
  <c r="O8" i="1"/>
  <c r="P8" i="1" s="1"/>
  <c r="H73" i="43"/>
  <c r="H90" i="43"/>
  <c r="O23" i="43"/>
  <c r="I18" i="43"/>
  <c r="E17" i="43" s="1"/>
  <c r="C17" i="43" s="1"/>
  <c r="H26" i="43"/>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J53" i="67"/>
  <c r="J57" i="67"/>
  <c r="J55" i="67" s="1"/>
  <c r="J58" i="67" s="1"/>
  <c r="Q50" i="67" s="1"/>
  <c r="L56" i="67"/>
  <c r="I54" i="67"/>
  <c r="F51" i="15"/>
  <c r="F71" i="15"/>
  <c r="F66" i="67"/>
  <c r="Q71" i="67"/>
  <c r="C27" i="67"/>
  <c r="F71" i="67"/>
  <c r="C27" i="15"/>
  <c r="F65" i="15"/>
  <c r="N59" i="67"/>
  <c r="L59" i="67"/>
  <c r="L58" i="67"/>
  <c r="M59" i="67"/>
  <c r="B13" i="70"/>
  <c r="M7" i="67"/>
  <c r="J6" i="67" s="1"/>
  <c r="F50" i="67"/>
  <c r="F68" i="67"/>
  <c r="F64" i="67"/>
  <c r="C36" i="68"/>
  <c r="D9" i="69"/>
  <c r="C36" i="69"/>
  <c r="D9" i="68"/>
  <c r="F6" i="67"/>
  <c r="D7" i="73"/>
  <c r="F16" i="15"/>
  <c r="D3" i="73"/>
  <c r="M6" i="15"/>
  <c r="C16" i="67"/>
  <c r="M26" i="67"/>
  <c r="C76" i="15"/>
  <c r="F6" i="15"/>
  <c r="D4" i="73"/>
  <c r="F38" i="15"/>
  <c r="D5" i="73"/>
  <c r="L48" i="15"/>
  <c r="M28" i="15"/>
  <c r="F7" i="15"/>
  <c r="F40" i="15"/>
  <c r="F13" i="15"/>
  <c r="F36" i="15"/>
  <c r="M29" i="15"/>
  <c r="L47" i="15"/>
  <c r="M24" i="15"/>
  <c r="U17" i="21" l="1"/>
  <c r="G89" i="21"/>
  <c r="H89" i="21" s="1"/>
  <c r="I89" i="21" s="1"/>
  <c r="J89" i="21" s="1"/>
  <c r="K89" i="21" s="1"/>
  <c r="L89" i="21" s="1"/>
  <c r="M89" i="21" s="1"/>
  <c r="J26" i="21"/>
  <c r="AC32" i="21"/>
  <c r="U32" i="21"/>
  <c r="AC37" i="21"/>
  <c r="S37" i="21"/>
  <c r="AB27" i="21"/>
  <c r="U27" i="21"/>
  <c r="F48" i="9"/>
  <c r="O52" i="9" s="1"/>
  <c r="F31" i="12"/>
  <c r="C31" i="12" s="1"/>
  <c r="F30" i="69"/>
  <c r="D68" i="9"/>
  <c r="F30" i="68"/>
  <c r="F52" i="9"/>
  <c r="F32" i="15"/>
  <c r="F60" i="15" s="1"/>
  <c r="F54" i="9"/>
  <c r="F32" i="67"/>
  <c r="F60" i="67" s="1"/>
  <c r="F30" i="11"/>
  <c r="M18" i="67"/>
  <c r="M18" i="15"/>
  <c r="F28" i="67"/>
  <c r="C28" i="67" s="1"/>
  <c r="F28" i="15"/>
  <c r="C28" i="15" s="1"/>
  <c r="E59" i="40"/>
  <c r="Q16" i="1"/>
  <c r="F27" i="69" s="1"/>
  <c r="F45" i="69" s="1"/>
  <c r="E26" i="43"/>
  <c r="H16" i="1"/>
  <c r="E28" i="6"/>
  <c r="K14" i="1" s="1"/>
  <c r="K16" i="1" s="1"/>
  <c r="N94" i="46"/>
  <c r="J26" i="43"/>
  <c r="N370" i="46"/>
  <c r="F50" i="15"/>
  <c r="C49" i="15" s="1"/>
  <c r="M7" i="15"/>
  <c r="J6" i="15" s="1"/>
  <c r="J18" i="15" s="1"/>
  <c r="F31" i="67"/>
  <c r="C6" i="67"/>
  <c r="C32" i="67" s="1"/>
  <c r="M59" i="15"/>
  <c r="L58" i="15"/>
  <c r="Q73" i="15" s="1"/>
  <c r="L59" i="15"/>
  <c r="Q74" i="15" s="1"/>
  <c r="N59" i="15"/>
  <c r="F68" i="15"/>
  <c r="F31" i="15"/>
  <c r="C6" i="15"/>
  <c r="C32" i="15" s="1"/>
  <c r="J53" i="15"/>
  <c r="L56" i="15" s="1"/>
  <c r="I54" i="15"/>
  <c r="J57" i="15"/>
  <c r="J55" i="15" s="1"/>
  <c r="J58" i="15" s="1"/>
  <c r="Q50" i="15" s="1"/>
  <c r="F64" i="15"/>
  <c r="F66" i="15"/>
  <c r="Q71" i="15"/>
  <c r="G5" i="3"/>
  <c r="B3" i="3" s="1"/>
  <c r="E125" i="3" s="1"/>
  <c r="AZ277" i="3"/>
  <c r="AZ256" i="3"/>
  <c r="C22" i="71"/>
  <c r="D23" i="71"/>
  <c r="D67" i="71"/>
  <c r="C66" i="71"/>
  <c r="O67" i="71"/>
  <c r="AZ150" i="3"/>
  <c r="AZ271" i="3"/>
  <c r="AZ353" i="3"/>
  <c r="AZ428" i="3"/>
  <c r="AZ45" i="3"/>
  <c r="AZ189" i="3"/>
  <c r="AZ294" i="3"/>
  <c r="AZ273" i="3"/>
  <c r="D31" i="71"/>
  <c r="C32" i="71"/>
  <c r="AZ461" i="3"/>
  <c r="AZ414" i="3"/>
  <c r="AB32" i="36"/>
  <c r="U32" i="36"/>
  <c r="U45" i="39"/>
  <c r="AB45" i="39"/>
  <c r="AC39" i="37"/>
  <c r="W39" i="37"/>
  <c r="AA12" i="36"/>
  <c r="S12" i="36"/>
  <c r="AB9" i="33"/>
  <c r="U9" i="33"/>
  <c r="U30" i="21"/>
  <c r="AB30" i="21"/>
  <c r="AB44" i="39"/>
  <c r="U44" i="39"/>
  <c r="AB24" i="36"/>
  <c r="U24" i="36"/>
  <c r="W12" i="40"/>
  <c r="AC12" i="40"/>
  <c r="S26" i="33"/>
  <c r="AA26" i="33"/>
  <c r="J7" i="36"/>
  <c r="G16" i="1"/>
  <c r="F10" i="39" s="1"/>
  <c r="S10" i="39" s="1"/>
  <c r="AZ111" i="3"/>
  <c r="AZ130" i="3"/>
  <c r="AZ244" i="3"/>
  <c r="AZ51" i="3"/>
  <c r="AZ41" i="3"/>
  <c r="AZ31" i="3"/>
  <c r="D34" i="71"/>
  <c r="C35" i="71"/>
  <c r="AZ223" i="3"/>
  <c r="AZ453" i="3"/>
  <c r="AZ210" i="3"/>
  <c r="AZ251" i="3"/>
  <c r="AZ247" i="3"/>
  <c r="AZ229" i="3"/>
  <c r="AZ332" i="3"/>
  <c r="AZ460" i="3"/>
  <c r="AZ418" i="3"/>
  <c r="AZ435" i="3"/>
  <c r="AZ421" i="3"/>
  <c r="AA32" i="36"/>
  <c r="S32" i="36"/>
  <c r="AA38" i="40"/>
  <c r="S38" i="40"/>
  <c r="AA44" i="39"/>
  <c r="S44" i="39"/>
  <c r="W12" i="36"/>
  <c r="AC12" i="36"/>
  <c r="AC24" i="36"/>
  <c r="W24" i="36"/>
  <c r="AC26" i="33"/>
  <c r="W26" i="33"/>
  <c r="C64" i="71"/>
  <c r="D63" i="71"/>
  <c r="T52" i="71"/>
  <c r="D52" i="71"/>
  <c r="AZ58" i="3"/>
  <c r="AZ86" i="3"/>
  <c r="AZ197" i="3"/>
  <c r="AZ368" i="3"/>
  <c r="AZ471" i="3"/>
  <c r="AZ146" i="3"/>
  <c r="D44" i="71"/>
  <c r="T44" i="71"/>
  <c r="S14" i="21"/>
  <c r="AA14" i="21"/>
  <c r="AC38" i="40"/>
  <c r="W38" i="40"/>
  <c r="AB34" i="36"/>
  <c r="U34" i="36"/>
  <c r="C26" i="71"/>
  <c r="D26" i="71" s="1"/>
  <c r="D27" i="71"/>
  <c r="B19" i="71"/>
  <c r="B18" i="71" s="1"/>
  <c r="B17" i="71" s="1"/>
  <c r="B16" i="71" s="1"/>
  <c r="S20" i="71"/>
  <c r="T40" i="71"/>
  <c r="D40" i="71"/>
  <c r="AZ38" i="3"/>
  <c r="AZ239" i="3"/>
  <c r="C56" i="71"/>
  <c r="D55" i="71"/>
  <c r="AB39" i="37"/>
  <c r="U39" i="37"/>
  <c r="AB12" i="36"/>
  <c r="U12" i="36"/>
  <c r="AA35" i="39"/>
  <c r="S35" i="39"/>
  <c r="U14" i="21"/>
  <c r="AB14" i="21"/>
  <c r="AC44" i="39"/>
  <c r="W44" i="39"/>
  <c r="S24" i="36"/>
  <c r="AA24" i="36"/>
  <c r="W12" i="35"/>
  <c r="AC12" i="35"/>
  <c r="U26" i="33"/>
  <c r="AB26" i="33"/>
  <c r="J7" i="37"/>
  <c r="K1" i="73"/>
  <c r="Q6" i="3"/>
  <c r="E415" i="3"/>
  <c r="E585" i="3"/>
  <c r="E91" i="3"/>
  <c r="E345" i="3"/>
  <c r="E311" i="3"/>
  <c r="E385" i="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F10" i="40"/>
  <c r="S10" i="40" s="1"/>
  <c r="D26" i="43"/>
  <c r="C25" i="43" s="1"/>
  <c r="C7" i="43"/>
  <c r="C5" i="43" s="1"/>
  <c r="D10" i="52"/>
  <c r="D125" i="9"/>
  <c r="D11" i="52" s="1"/>
  <c r="B7" i="74"/>
  <c r="C7" i="74" s="1"/>
  <c r="F67" i="39"/>
  <c r="F59" i="67"/>
  <c r="H7" i="37"/>
  <c r="AB7" i="37" s="1"/>
  <c r="T42" i="37" s="1"/>
  <c r="G42" i="37" s="1"/>
  <c r="AA10" i="39"/>
  <c r="H7" i="33"/>
  <c r="J7" i="33"/>
  <c r="D65" i="40"/>
  <c r="E63" i="40"/>
  <c r="F48" i="35"/>
  <c r="S7" i="36"/>
  <c r="AA7" i="36"/>
  <c r="R36" i="36" s="1"/>
  <c r="AC7" i="37"/>
  <c r="W7" i="37"/>
  <c r="AB7" i="36"/>
  <c r="T36" i="36" s="1"/>
  <c r="G36" i="36" s="1"/>
  <c r="U7" i="36"/>
  <c r="F7" i="33"/>
  <c r="E58" i="21"/>
  <c r="AC7" i="36"/>
  <c r="V36" i="36" s="1"/>
  <c r="I36" i="36" s="1"/>
  <c r="W7" i="36"/>
  <c r="F7" i="37"/>
  <c r="M17" i="67"/>
  <c r="F59" i="15"/>
  <c r="P28" i="43"/>
  <c r="B66" i="40" s="1"/>
  <c r="P25" i="43"/>
  <c r="C49" i="67"/>
  <c r="P29" i="43"/>
  <c r="P27" i="43"/>
  <c r="B70" i="39" s="1"/>
  <c r="Q60" i="67"/>
  <c r="Q73" i="67"/>
  <c r="M11" i="67"/>
  <c r="J10" i="67" s="1"/>
  <c r="J5" i="67" s="1"/>
  <c r="F11" i="15"/>
  <c r="M11" i="15"/>
  <c r="J10" i="15" s="1"/>
  <c r="F11" i="67"/>
  <c r="J18" i="67"/>
  <c r="F1" i="67"/>
  <c r="Q52" i="67"/>
  <c r="Q61" i="67"/>
  <c r="Q74" i="67"/>
  <c r="AE11" i="1"/>
  <c r="AE9" i="1"/>
  <c r="AE7" i="1"/>
  <c r="AE8" i="1"/>
  <c r="AE12" i="1"/>
  <c r="AE10" i="1"/>
  <c r="C16" i="15"/>
  <c r="G1" i="73"/>
  <c r="AE6" i="1"/>
  <c r="W26" i="21" l="1"/>
  <c r="AC26" i="21"/>
  <c r="C29" i="69"/>
  <c r="D27" i="69" s="1"/>
  <c r="C47" i="69"/>
  <c r="D45" i="69" s="1"/>
  <c r="F27" i="68"/>
  <c r="F45" i="68" s="1"/>
  <c r="F28" i="12"/>
  <c r="C29" i="12" s="1"/>
  <c r="D28" i="12" s="1"/>
  <c r="F27" i="11"/>
  <c r="C29" i="11" s="1"/>
  <c r="D27" i="11" s="1"/>
  <c r="F48" i="69"/>
  <c r="C30" i="69"/>
  <c r="C48" i="69"/>
  <c r="C48" i="11"/>
  <c r="C30" i="11"/>
  <c r="F48" i="68"/>
  <c r="C48" i="68"/>
  <c r="C30" i="68"/>
  <c r="J5" i="15"/>
  <c r="J24" i="15" s="1"/>
  <c r="H10" i="39"/>
  <c r="U10" i="39" s="1"/>
  <c r="H10" i="40"/>
  <c r="AB10" i="40" s="1"/>
  <c r="J10" i="40"/>
  <c r="AC10" i="40" s="1"/>
  <c r="J10" i="39"/>
  <c r="W10" i="39" s="1"/>
  <c r="E278" i="3"/>
  <c r="E465" i="3"/>
  <c r="E519" i="3"/>
  <c r="E38" i="3"/>
  <c r="AY6" i="3"/>
  <c r="E483" i="3"/>
  <c r="E109" i="3"/>
  <c r="E508" i="3"/>
  <c r="E37" i="3"/>
  <c r="E235" i="3"/>
  <c r="E460" i="3"/>
  <c r="E208" i="3"/>
  <c r="E506" i="3"/>
  <c r="AA6" i="3"/>
  <c r="E437" i="3"/>
  <c r="E274" i="3"/>
  <c r="E448" i="3"/>
  <c r="E121" i="3"/>
  <c r="E366" i="3"/>
  <c r="E569" i="3"/>
  <c r="E559" i="3"/>
  <c r="E294" i="3"/>
  <c r="E260" i="3"/>
  <c r="E245" i="3"/>
  <c r="E336" i="3"/>
  <c r="E511" i="3"/>
  <c r="E573" i="3"/>
  <c r="E571" i="3"/>
  <c r="E279" i="3"/>
  <c r="E549" i="3"/>
  <c r="E515" i="3"/>
  <c r="E476" i="3"/>
  <c r="E210" i="3"/>
  <c r="E175" i="3"/>
  <c r="E555" i="3"/>
  <c r="E533" i="3"/>
  <c r="E380" i="3"/>
  <c r="E183" i="3"/>
  <c r="E134" i="3"/>
  <c r="E124" i="3"/>
  <c r="E545" i="3"/>
  <c r="K6" i="3"/>
  <c r="E587" i="3"/>
  <c r="E171" i="3"/>
  <c r="E227" i="3"/>
  <c r="Z6" i="3"/>
  <c r="E531" i="3"/>
  <c r="E211" i="3"/>
  <c r="E217" i="3"/>
  <c r="E579" i="3"/>
  <c r="E514" i="3"/>
  <c r="E335" i="3"/>
  <c r="E172" i="3"/>
  <c r="E191" i="3"/>
  <c r="E246" i="3"/>
  <c r="E132" i="3"/>
  <c r="E240" i="3"/>
  <c r="E248" i="3"/>
  <c r="E420" i="3"/>
  <c r="E297" i="3"/>
  <c r="E411" i="3"/>
  <c r="E304" i="3"/>
  <c r="E128" i="3"/>
  <c r="AE6" i="3"/>
  <c r="I6" i="3"/>
  <c r="E558" i="3"/>
  <c r="E316" i="3"/>
  <c r="E282" i="3"/>
  <c r="E396" i="3"/>
  <c r="E551" i="3"/>
  <c r="E130" i="3"/>
  <c r="E550" i="3"/>
  <c r="E382" i="3"/>
  <c r="E253" i="3"/>
  <c r="E99" i="3"/>
  <c r="E458" i="3"/>
  <c r="E351" i="3"/>
  <c r="E269" i="3"/>
  <c r="E414" i="3"/>
  <c r="E447" i="3"/>
  <c r="E331" i="3"/>
  <c r="E343" i="3"/>
  <c r="E410" i="3"/>
  <c r="AR6" i="3"/>
  <c r="E216" i="3"/>
  <c r="E361" i="3"/>
  <c r="E301" i="3"/>
  <c r="E347" i="3"/>
  <c r="AK6" i="3"/>
  <c r="E560" i="3"/>
  <c r="E468" i="3"/>
  <c r="E214" i="3"/>
  <c r="E368" i="3"/>
  <c r="E485" i="3"/>
  <c r="E433" i="3"/>
  <c r="E449" i="3"/>
  <c r="E543" i="3"/>
  <c r="E127" i="3"/>
  <c r="E272" i="3"/>
  <c r="E254" i="3"/>
  <c r="E262" i="3"/>
  <c r="E496" i="3"/>
  <c r="E236" i="3"/>
  <c r="E581" i="3"/>
  <c r="E334" i="3"/>
  <c r="N6" i="3"/>
  <c r="E229" i="3"/>
  <c r="E407" i="3"/>
  <c r="E114" i="3"/>
  <c r="E117" i="3"/>
  <c r="E518" i="3"/>
  <c r="E453" i="3"/>
  <c r="E45" i="3"/>
  <c r="E457" i="3"/>
  <c r="E72" i="3"/>
  <c r="E318" i="3"/>
  <c r="E107" i="3"/>
  <c r="E477" i="3"/>
  <c r="E27" i="3"/>
  <c r="E44" i="3"/>
  <c r="E305" i="3"/>
  <c r="E337" i="3"/>
  <c r="E538" i="3"/>
  <c r="E185" i="3"/>
  <c r="E503" i="3"/>
  <c r="E586" i="3"/>
  <c r="E77" i="3"/>
  <c r="E228" i="3"/>
  <c r="E406" i="3"/>
  <c r="E454" i="3"/>
  <c r="E315" i="3"/>
  <c r="E204" i="3"/>
  <c r="E400" i="3"/>
  <c r="E28" i="3"/>
  <c r="E572" i="3"/>
  <c r="E322" i="3"/>
  <c r="E247" i="3"/>
  <c r="AB6" i="3"/>
  <c r="E69" i="3"/>
  <c r="E535" i="3"/>
  <c r="AI6" i="3"/>
  <c r="E200" i="3"/>
  <c r="E275" i="3"/>
  <c r="E142" i="3"/>
  <c r="E296" i="3"/>
  <c r="E263" i="3"/>
  <c r="E189" i="3"/>
  <c r="E431" i="3"/>
  <c r="E273" i="3"/>
  <c r="E327" i="3"/>
  <c r="E133" i="3"/>
  <c r="E261" i="3"/>
  <c r="E441" i="3"/>
  <c r="E567" i="3"/>
  <c r="E85" i="3"/>
  <c r="E320" i="3"/>
  <c r="E88" i="3"/>
  <c r="E353" i="3"/>
  <c r="E310" i="3"/>
  <c r="E118" i="3"/>
  <c r="E148" i="3"/>
  <c r="E135" i="3"/>
  <c r="E387" i="3"/>
  <c r="AJ6" i="3"/>
  <c r="E182" i="3"/>
  <c r="E74" i="3"/>
  <c r="E568" i="3"/>
  <c r="E439" i="3"/>
  <c r="E186" i="3"/>
  <c r="E111" i="3"/>
  <c r="E293" i="3"/>
  <c r="E358" i="3"/>
  <c r="AG6" i="3"/>
  <c r="O6" i="3"/>
  <c r="E378" i="3"/>
  <c r="E131" i="3"/>
  <c r="E487" i="3"/>
  <c r="E100" i="3"/>
  <c r="E445" i="3"/>
  <c r="E570" i="3"/>
  <c r="E268" i="3"/>
  <c r="E489" i="3"/>
  <c r="E106" i="3"/>
  <c r="E495" i="3"/>
  <c r="E270" i="3"/>
  <c r="E505" i="3"/>
  <c r="E562" i="3"/>
  <c r="E61" i="3"/>
  <c r="E239" i="3"/>
  <c r="E256" i="3"/>
  <c r="E532" i="3"/>
  <c r="E221" i="3"/>
  <c r="E169" i="3"/>
  <c r="E390" i="3"/>
  <c r="E153" i="3"/>
  <c r="E92" i="3"/>
  <c r="E145" i="3"/>
  <c r="E475" i="3"/>
  <c r="E224" i="3"/>
  <c r="E167" i="3"/>
  <c r="E48" i="3"/>
  <c r="E365" i="3"/>
  <c r="L6" i="3"/>
  <c r="E16" i="3"/>
  <c r="E408" i="3"/>
  <c r="AL6" i="3"/>
  <c r="E64" i="3"/>
  <c r="E199" i="3"/>
  <c r="E3" i="6"/>
  <c r="E480" i="3"/>
  <c r="E295" i="3"/>
  <c r="E404" i="3"/>
  <c r="E443" i="3"/>
  <c r="E576" i="3"/>
  <c r="E32" i="3"/>
  <c r="E73" i="3"/>
  <c r="E344" i="3"/>
  <c r="E330" i="3"/>
  <c r="E238" i="3"/>
  <c r="AN6" i="3"/>
  <c r="E302" i="3"/>
  <c r="E321" i="3"/>
  <c r="E97" i="3"/>
  <c r="E319" i="3"/>
  <c r="E403" i="3"/>
  <c r="E397" i="3"/>
  <c r="E537" i="3"/>
  <c r="E352" i="3"/>
  <c r="AD6" i="3"/>
  <c r="E500" i="3"/>
  <c r="E340" i="3"/>
  <c r="E108" i="3"/>
  <c r="E49" i="3"/>
  <c r="E173" i="3"/>
  <c r="E309" i="3"/>
  <c r="E389" i="3"/>
  <c r="E139" i="3"/>
  <c r="E369" i="3"/>
  <c r="E94" i="3"/>
  <c r="E219"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94" i="3"/>
  <c r="E55" i="3"/>
  <c r="E424" i="3"/>
  <c r="E120" i="3"/>
  <c r="E156" i="3"/>
  <c r="E402" i="3"/>
  <c r="E565" i="3"/>
  <c r="E418" i="3"/>
  <c r="E285" i="3"/>
  <c r="AM6" i="3"/>
  <c r="E432" i="3"/>
  <c r="E14" i="3"/>
  <c r="E438" i="3"/>
  <c r="E122" i="3"/>
  <c r="E374" i="3"/>
  <c r="E24" i="3"/>
  <c r="E392" i="3"/>
  <c r="AH6" i="3"/>
  <c r="E428" i="3"/>
  <c r="E102" i="3"/>
  <c r="E233" i="3"/>
  <c r="E212" i="3"/>
  <c r="E536" i="3"/>
  <c r="R6" i="3"/>
  <c r="E430" i="3"/>
  <c r="E554" i="3"/>
  <c r="E56"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H6" i="3" s="1"/>
  <c r="E338" i="3"/>
  <c r="E237" i="3"/>
  <c r="E17" i="3"/>
  <c r="E159" i="3"/>
  <c r="E510" i="3"/>
  <c r="E286" i="3"/>
  <c r="E442" i="3"/>
  <c r="I3" i="6"/>
  <c r="E491" i="3"/>
  <c r="E95"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328" i="3"/>
  <c r="E29" i="3"/>
  <c r="E126" i="3"/>
  <c r="E547" i="3"/>
  <c r="E379" i="3"/>
  <c r="E93" i="3"/>
  <c r="E168" i="3"/>
  <c r="E288" i="3"/>
  <c r="E313" i="3"/>
  <c r="E136" i="3"/>
  <c r="E98" i="3"/>
  <c r="E154" i="3"/>
  <c r="Y6" i="3"/>
  <c r="E373" i="3"/>
  <c r="E582" i="3"/>
  <c r="E209" i="3"/>
  <c r="E421" i="3"/>
  <c r="E65" i="3"/>
  <c r="E398" i="3"/>
  <c r="E218" i="3"/>
  <c r="E147" i="3"/>
  <c r="E339" i="3"/>
  <c r="E455" i="3"/>
  <c r="E333" i="3"/>
  <c r="E40" i="3"/>
  <c r="E490" i="3"/>
  <c r="E493" i="3"/>
  <c r="E83" i="3"/>
  <c r="E342" i="3"/>
  <c r="E243" i="3"/>
  <c r="E452" i="3"/>
  <c r="E469" i="3"/>
  <c r="E140" i="3"/>
  <c r="E251" i="3"/>
  <c r="E129" i="3"/>
  <c r="E332" i="3"/>
  <c r="E264" i="3"/>
  <c r="E144" i="3"/>
  <c r="E300" i="3"/>
  <c r="E425" i="3"/>
  <c r="E363" i="3"/>
  <c r="E417" i="3"/>
  <c r="E541" i="3"/>
  <c r="E539" i="3"/>
  <c r="E504" i="3"/>
  <c r="E87" i="3"/>
  <c r="E163" i="3"/>
  <c r="E584" i="3"/>
  <c r="E149" i="3"/>
  <c r="E446" i="3"/>
  <c r="E244" i="3"/>
  <c r="E58" i="3"/>
  <c r="E141" i="3"/>
  <c r="E62" i="3"/>
  <c r="E112" i="3"/>
  <c r="E234" i="3"/>
  <c r="E473" i="3"/>
  <c r="E276" i="3"/>
  <c r="E401" i="3"/>
  <c r="E422" i="3"/>
  <c r="E105" i="3"/>
  <c r="E158" i="3"/>
  <c r="E220" i="3"/>
  <c r="E115" i="3"/>
  <c r="E497" i="3"/>
  <c r="E405" i="3"/>
  <c r="E22" i="3"/>
  <c r="E34" i="3"/>
  <c r="E18" i="3"/>
  <c r="E198" i="3"/>
  <c r="E63" i="3"/>
  <c r="E67" i="3"/>
  <c r="E267" i="3"/>
  <c r="E409" i="3"/>
  <c r="E241" i="3"/>
  <c r="E435" i="3"/>
  <c r="E502" i="3"/>
  <c r="E252" i="3"/>
  <c r="E580" i="3"/>
  <c r="E203" i="3"/>
  <c r="E429" i="3"/>
  <c r="E481" i="3"/>
  <c r="E177" i="3"/>
  <c r="E434" i="3"/>
  <c r="E280" i="3"/>
  <c r="E303" i="3"/>
  <c r="E213" i="3"/>
  <c r="E298" i="3"/>
  <c r="E523" i="3"/>
  <c r="E574" i="3"/>
  <c r="E501" i="3"/>
  <c r="E317" i="3"/>
  <c r="E546" i="3"/>
  <c r="E548" i="3"/>
  <c r="E207" i="3"/>
  <c r="E257" i="3"/>
  <c r="E471" i="3"/>
  <c r="E474" i="3"/>
  <c r="E306" i="3"/>
  <c r="E82" i="3"/>
  <c r="E187" i="3"/>
  <c r="E488" i="3"/>
  <c r="E259" i="3"/>
  <c r="E47" i="3"/>
  <c r="E19" i="3"/>
  <c r="E57" i="3"/>
  <c r="E51" i="3"/>
  <c r="E155" i="3"/>
  <c r="E101" i="3"/>
  <c r="E50" i="3"/>
  <c r="E52" i="3"/>
  <c r="E137" i="3"/>
  <c r="E43" i="3"/>
  <c r="E202" i="3"/>
  <c r="E498" i="3"/>
  <c r="E486" i="3"/>
  <c r="E223" i="3"/>
  <c r="E370" i="3"/>
  <c r="E78" i="3"/>
  <c r="E104" i="3"/>
  <c r="E360" i="3"/>
  <c r="E534" i="3"/>
  <c r="E287" i="3"/>
  <c r="E522" i="3"/>
  <c r="E75" i="3"/>
  <c r="E21" i="3"/>
  <c r="E381" i="3"/>
  <c r="E23" i="3"/>
  <c r="E103" i="3"/>
  <c r="E76" i="3"/>
  <c r="E192" i="3"/>
  <c r="AP6" i="3"/>
  <c r="E575" i="3"/>
  <c r="M17" i="15"/>
  <c r="Q60" i="15"/>
  <c r="F1" i="15"/>
  <c r="Q61" i="15"/>
  <c r="Q52" i="15"/>
  <c r="D64" i="71"/>
  <c r="T64" i="71"/>
  <c r="C36" i="71"/>
  <c r="D35" i="71"/>
  <c r="T32" i="71"/>
  <c r="D32" i="71"/>
  <c r="D56" i="71"/>
  <c r="T56" i="71"/>
  <c r="D22" i="71"/>
  <c r="C21" i="71"/>
  <c r="E152" i="3"/>
  <c r="E479" i="3"/>
  <c r="E517" i="3"/>
  <c r="E255" i="3"/>
  <c r="E466" i="3"/>
  <c r="E499" i="3"/>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67"/>
  <c r="F41" i="67"/>
  <c r="M27" i="15"/>
  <c r="F69" i="67" l="1"/>
  <c r="C29" i="68"/>
  <c r="D27" i="68" s="1"/>
  <c r="C47" i="68"/>
  <c r="D45" i="68" s="1"/>
  <c r="AB10" i="39"/>
  <c r="AC10" i="39"/>
  <c r="AC6" i="3"/>
  <c r="E6" i="3" s="1"/>
  <c r="F22" i="68"/>
  <c r="C23" i="68" s="1"/>
  <c r="F25" i="12"/>
  <c r="C26" i="12" s="1"/>
  <c r="D25" i="12" s="1"/>
  <c r="T36" i="71"/>
  <c r="D36" i="71"/>
  <c r="D116" i="43"/>
  <c r="D21" i="71"/>
  <c r="C20" i="7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68"/>
  <c r="D41" i="68" s="1"/>
  <c r="C66" i="67"/>
  <c r="C60" i="67"/>
  <c r="D10" i="69"/>
  <c r="C34" i="69"/>
  <c r="D10" i="68"/>
  <c r="C14" i="67"/>
  <c r="C17" i="67"/>
  <c r="C17" i="15"/>
  <c r="C26" i="68" l="1"/>
  <c r="D22" i="68" s="1"/>
  <c r="F41" i="68"/>
  <c r="C26" i="11"/>
  <c r="D22" i="11" s="1"/>
  <c r="C44" i="11"/>
  <c r="D41" i="11" s="1"/>
  <c r="C19" i="71"/>
  <c r="T20" i="71"/>
  <c r="D20" i="71"/>
  <c r="U20" i="7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67"/>
  <c r="M21" i="15"/>
  <c r="F35" i="15"/>
  <c r="E48" i="21" l="1"/>
  <c r="E53" i="21" s="1"/>
  <c r="F53" i="21" s="1"/>
  <c r="T16" i="71"/>
  <c r="C15" i="71"/>
  <c r="D16" i="71"/>
  <c r="U16" i="7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G43" i="35"/>
  <c r="H43" i="35" s="1"/>
  <c r="K65" i="40"/>
  <c r="L63" i="40"/>
  <c r="I42" i="35"/>
  <c r="J42" i="35" s="1"/>
  <c r="I53" i="21" l="1"/>
  <c r="J53" i="21" s="1"/>
  <c r="E52" i="21"/>
  <c r="F52" i="21" s="1"/>
  <c r="B3" i="69"/>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C19" i="9"/>
  <c r="D2" i="33"/>
  <c r="C102" i="9" l="1"/>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19" i="9"/>
  <c r="C20" i="9"/>
  <c r="D2" i="36"/>
  <c r="D2" i="37"/>
  <c r="D2" i="34"/>
  <c r="C103" i="9" l="1"/>
  <c r="D102" i="9"/>
  <c r="D21" i="9"/>
  <c r="D22" i="9"/>
  <c r="G19" i="9"/>
  <c r="G21" i="9" s="1"/>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7" i="1"/>
  <c r="AO6" i="1"/>
  <c r="AO12" i="1"/>
  <c r="AO10" i="1"/>
  <c r="AO11" i="1"/>
  <c r="AO8" i="1"/>
  <c r="AO9" i="1"/>
  <c r="D103" i="9" l="1"/>
  <c r="G20" i="9"/>
  <c r="F136" i="80" s="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14" i="74" s="1"/>
  <c r="C9" i="7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F138" i="80" l="1"/>
  <c r="D52" i="9"/>
  <c r="D53" i="9"/>
  <c r="P57" i="9"/>
  <c r="N58" i="9"/>
  <c r="C81" i="9"/>
  <c r="I4" i="52"/>
  <c r="C105" i="9"/>
  <c r="C5" i="74"/>
  <c r="B30" i="72"/>
  <c r="M48" i="9"/>
  <c r="E97" i="9"/>
  <c r="B48" i="72"/>
  <c r="C6" i="74"/>
  <c r="H4" i="52"/>
  <c r="C104" i="9"/>
  <c r="C78" i="9"/>
  <c r="C73" i="9"/>
  <c r="D4" i="52"/>
  <c r="B47" i="72"/>
  <c r="D15" i="53"/>
  <c r="B31" i="72"/>
  <c r="F119" i="9"/>
  <c r="F5" i="52"/>
  <c r="B53" i="72"/>
  <c r="D9" i="52"/>
  <c r="D59" i="9"/>
  <c r="M55" i="9"/>
  <c r="H108" i="9"/>
  <c r="C96" i="9"/>
  <c r="E96" i="9"/>
  <c r="E4" i="52"/>
  <c r="N60" i="9"/>
  <c r="N59" i="9"/>
  <c r="N61" i="9"/>
  <c r="F4" i="52"/>
  <c r="B51" i="72"/>
  <c r="F118" i="9"/>
  <c r="G118" i="9"/>
  <c r="G4" i="52"/>
  <c r="B52" i="72"/>
  <c r="C72" i="9"/>
  <c r="C79" i="9"/>
  <c r="C80" i="9"/>
  <c r="E80" i="9"/>
  <c r="E81" i="9"/>
  <c r="C85" i="9"/>
  <c r="C95" i="9"/>
  <c r="C97" i="9"/>
  <c r="D58" i="9"/>
  <c r="D56" i="9"/>
  <c r="M54" i="9"/>
  <c r="D8" i="52"/>
  <c r="D122" i="9"/>
  <c r="D123" i="9"/>
  <c r="C67" i="9"/>
  <c r="C68" i="9"/>
  <c r="D54" i="9"/>
  <c r="H107" i="9"/>
  <c r="D13" i="53"/>
  <c r="D14" i="53"/>
  <c r="B32" i="72"/>
  <c r="D55" i="9"/>
  <c r="M53" i="9"/>
  <c r="N57" i="9"/>
  <c r="B22" i="72"/>
  <c r="B20" i="72"/>
  <c r="D5" i="53"/>
  <c r="D6" i="53"/>
  <c r="H102" i="9"/>
  <c r="D7" i="53"/>
  <c r="B21" i="72"/>
  <c r="H119" i="9"/>
  <c r="H5" i="52"/>
  <c r="C93" i="9"/>
  <c r="C86" i="9"/>
  <c r="H101" i="9"/>
  <c r="D45" i="9"/>
  <c r="C64" i="9"/>
  <c r="C63" i="9"/>
  <c r="H118" i="9"/>
  <c r="I118" i="9"/>
  <c r="E118" i="9"/>
  <c r="D118" i="9"/>
  <c r="D119" i="9"/>
  <c r="D5" i="52"/>
  <c r="B49"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<sst xmlns="http://schemas.openxmlformats.org/spreadsheetml/2006/main" count="7989" uniqueCount="3533">
  <si>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</si>
  <si>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</si>
  <si>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</si>
  <si>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</si>
  <si>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</si>
  <si>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</si>
  <si>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</si>
  <si>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</si>
  <si>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</si>
  <si>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</si>
  <si>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</si>
  <si>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</si>
  <si>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</si>
  <si>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</si>
  <si>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</si>
  <si>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</si>
  <si>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</si>
  <si>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</si>
  <si>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</si>
  <si>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</si>
  <si>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</si>
  <si>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</si>
  <si>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</si>
  <si>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</si>
  <si>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</si>
  <si>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</si>
  <si>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</si>
  <si>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</si>
  <si>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</si>
  <si>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</si>
  <si>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</si>
  <si>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</si>
  <si>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</si>
  <si>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</si>
  <si>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</si>
  <si>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</si>
  <si>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</si>
  <si>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</si>
  <si>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</si>
  <si>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</si>
  <si>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</si>
  <si>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</si>
  <si>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</si>
  <si>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</si>
  <si>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</si>
  <si>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</si>
  <si>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</si>
  <si>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</si>
  <si>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</si>
  <si>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</si>
  <si>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</si>
  <si>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</si>
  <si>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</si>
  <si>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</si>
  <si>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</si>
  <si>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</si>
  <si>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</si>
  <si>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</si>
  <si>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</si>
  <si>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</si>
  <si>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</si>
  <si>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</si>
  <si>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</si>
  <si>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</si>
  <si>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</si>
  <si>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</si>
  <si>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</si>
  <si>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</si>
  <si>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</si>
  <si>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</si>
  <si>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</si>
  <si>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</si>
  <si>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</si>
  <si>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</si>
  <si>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</si>
  <si>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</si>
  <si>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</si>
  <si>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</si>
  <si>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</si>
  <si>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</si>
  <si>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</si>
  <si>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</si>
  <si>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</si>
  <si>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</si>
  <si>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</si>
  <si>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</si>
  <si>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</si>
  <si>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</si>
  <si>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</si>
  <si>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</si>
  <si>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</si>
  <si>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</si>
  <si>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</si>
  <si>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</si>
  <si>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</si>
  <si>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</si>
  <si>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</si>
  <si>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</si>
  <si>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</si>
  <si>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</si>
  <si>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</si>
  <si>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</si>
  <si>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</si>
  <si>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</si>
  <si>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</si>
  <si>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</si>
  <si>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</si>
  <si>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</si>
  <si>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</si>
  <si>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</si>
  <si>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</si>
  <si>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</si>
  <si>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</si>
  <si>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</si>
  <si>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</si>
  <si>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</si>
  <si>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</si>
  <si>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</si>
  <si>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</si>
  <si>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</si>
  <si>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</si>
  <si>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</si>
  <si>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</si>
  <si>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</si>
  <si>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</si>
  <si>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</si>
  <si>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</si>
  <si>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</si>
  <si>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</si>
  <si>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</si>
  <si>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</si>
  <si>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</si>
  <si>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</si>
  <si>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</si>
  <si>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</si>
  <si>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</si>
  <si>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</si>
  <si>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</si>
  <si>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</si>
  <si>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</si>
  <si>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</si>
  <si>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</si>
  <si>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</si>
  <si>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</si>
  <si>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</si>
  <si>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</si>
  <si>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</si>
  <si>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</si>
  <si>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</si>
  <si>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</si>
  <si>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</si>
  <si>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</si>
  <si>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</si>
  <si>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</si>
  <si>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</si>
  <si>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</si>
  <si>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</si>
  <si>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</si>
  <si>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</si>
  <si>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</si>
  <si>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</si>
  <si>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</si>
  <si>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</si>
  <si>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</si>
  <si>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</si>
  <si>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</si>
  <si>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</si>
  <si>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</si>
  <si>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</si>
  <si>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</si>
  <si>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</si>
  <si>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</si>
  <si>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</si>
  <si>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</si>
  <si>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</si>
  <si>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</si>
  <si>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</si>
  <si>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</si>
  <si>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</si>
  <si>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</si>
  <si>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</si>
  <si>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</si>
  <si>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</si>
  <si>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</si>
  <si>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</si>
  <si>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</si>
  <si>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</si>
  <si>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</si>
  <si>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</si>
  <si>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</si>
  <si>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</si>
  <si>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</si>
  <si>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</si>
  <si>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</si>
  <si>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</si>
  <si>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</si>
  <si>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</si>
  <si>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</si>
  <si>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</si>
  <si>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</si>
  <si>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</si>
  <si>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</si>
  <si>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</si>
  <si>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</si>
  <si>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</si>
  <si>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</si>
  <si>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</si>
  <si>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</si>
  <si>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</si>
  <si>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</si>
  <si>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</si>
  <si>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</si>
  <si>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</si>
  <si>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</si>
  <si>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</si>
  <si>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</si>
  <si>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</si>
  <si>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</si>
  <si>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</si>
  <si>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</si>
  <si>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</si>
  <si>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</si>
  <si>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</si>
  <si>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</si>
  <si>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</si>
  <si>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</si>
  <si>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</si>
  <si>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</si>
  <si>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</si>
  <si>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</si>
  <si>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</si>
  <si>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</si>
  <si>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</si>
  <si>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</si>
  <si>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</si>
  <si>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</si>
  <si>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</si>
  <si>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</si>
  <si>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</si>
  <si>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</si>
  <si>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</si>
  <si>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</si>
  <si>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</si>
  <si>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</si>
  <si>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</si>
  <si>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</si>
  <si>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</si>
  <si>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</si>
  <si>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</si>
  <si>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</si>
  <si>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</si>
  <si>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</si>
  <si>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</si>
  <si>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</si>
  <si>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</si>
  <si>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</si>
  <si>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</si>
  <si>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</si>
  <si>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</si>
  <si>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</si>
  <si>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</si>
  <si>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</si>
  <si>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</si>
  <si>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</si>
  <si>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</si>
  <si>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</si>
  <si>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</si>
  <si>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</si>
  <si>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</si>
  <si>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</si>
  <si>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</si>
  <si>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</si>
  <si>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</si>
  <si>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</si>
  <si>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</si>
  <si>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</si>
  <si>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</si>
  <si>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</si>
  <si>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</si>
  <si>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</si>
  <si>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</si>
  <si>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</si>
  <si>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</si>
  <si>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</si>
  <si>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</si>
  <si>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</si>
  <si>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</si>
  <si>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</si>
  <si>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</si>
  <si>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</si>
  <si>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</si>
  <si>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</si>
  <si>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</si>
  <si>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</si>
  <si>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</si>
  <si>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</si>
  <si>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</si>
  <si>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</si>
  <si>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</si>
  <si>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</si>
  <si>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</si>
  <si>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</si>
  <si>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</si>
  <si>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</si>
  <si>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</si>
  <si>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</si>
  <si>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</si>
  <si>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</si>
  <si>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</si>
  <si>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</si>
  <si>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</si>
  <si>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</si>
  <si>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</si>
  <si>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</si>
  <si>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</si>
  <si>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</si>
  <si>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</si>
  <si>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</si>
  <si>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</si>
  <si>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</si>
  <si>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</si>
  <si>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</si>
  <si>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</si>
  <si>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</si>
  <si>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</si>
  <si>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</si>
  <si>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</si>
  <si>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</si>
  <si>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</si>
  <si>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</si>
  <si>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</si>
  <si>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</si>
  <si>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</si>
  <si>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</si>
  <si>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</si>
  <si>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</si>
  <si>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</si>
  <si>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</si>
  <si>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</si>
  <si>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</si>
  <si>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</si>
  <si>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</si>
  <si>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</si>
  <si>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</si>
  <si>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</si>
  <si>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</si>
  <si>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</si>
  <si>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</si>
  <si>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</si>
  <si>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</si>
  <si>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</si>
  <si>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</si>
  <si>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</si>
  <si>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</si>
  <si>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</si>
  <si>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</si>
  <si>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</si>
  <si>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</si>
  <si>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</si>
  <si>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</si>
  <si>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</si>
  <si>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</si>
  <si>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</si>
  <si>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</si>
  <si>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</si>
  <si>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</si>
  <si>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</si>
  <si>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</si>
  <si>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</si>
  <si>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</si>
  <si>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</si>
  <si>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</si>
  <si>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</si>
  <si>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</si>
  <si>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</si>
  <si>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</si>
  <si>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</si>
  <si>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</si>
  <si>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</si>
  <si>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</si>
  <si>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</si>
  <si>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</si>
  <si>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</si>
  <si>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</si>
  <si>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</si>
  <si>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</si>
  <si>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</si>
  <si>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</si>
  <si>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</si>
  <si>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</si>
  <si>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</si>
  <si>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</si>
  <si>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</si>
  <si>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</si>
  <si>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</si>
  <si>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</si>
  <si>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</si>
  <si>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</si>
  <si>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</si>
  <si>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</si>
  <si>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</si>
  <si>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</si>
  <si>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</si>
  <si>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</si>
  <si>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</si>
  <si>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</si>
  <si>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</si>
  <si>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</si>
  <si>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</si>
  <si>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</si>
  <si>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</si>
  <si>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</si>
  <si>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</si>
  <si>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</si>
  <si>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</si>
  <si>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</si>
  <si>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</si>
  <si>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</si>
  <si>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</si>
  <si>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</si>
  <si>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</si>
  <si>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</si>
  <si>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</si>
  <si>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</si>
  <si>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</si>
  <si>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</si>
  <si>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</si>
  <si>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</si>
  <si>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</si>
  <si>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</si>
  <si>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</si>
  <si>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</si>
  <si>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</si>
  <si>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</si>
  <si>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</si>
  <si>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</si>
  <si>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</si>
  <si>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</si>
  <si>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</si>
  <si>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</si>
  <si>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</si>
  <si>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</si>
  <si>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</si>
  <si>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</si>
  <si>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</si>
  <si>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</si>
  <si>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</si>
  <si>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</si>
  <si>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</si>
  <si>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</si>
  <si>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</si>
  <si>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</si>
  <si>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</si>
  <si>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</si>
  <si>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</si>
  <si>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</si>
  <si>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</si>
  <si>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</si>
  <si>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</si>
  <si>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</si>
  <si>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</si>
  <si>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</si>
  <si>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</si>
  <si>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</si>
  <si>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</si>
  <si>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</si>
  <si>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</si>
  <si>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</si>
  <si>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</si>
  <si>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</si>
  <si>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</si>
  <si>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</si>
  <si>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</si>
  <si>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</si>
  <si>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</si>
  <si>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</si>
  <si>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</si>
  <si>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</si>
  <si>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</si>
  <si>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</si>
  <si>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</si>
  <si>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</si>
  <si>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</si>
  <si>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</si>
  <si>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</si>
  <si>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</si>
  <si>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</si>
  <si>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</si>
  <si>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</si>
  <si>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</si>
  <si>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</si>
  <si>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</si>
  <si>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</si>
  <si>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</si>
  <si>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</si>
  <si>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</si>
  <si>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</si>
  <si>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</si>
  <si>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</si>
  <si>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</si>
  <si>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</si>
  <si>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</si>
  <si>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</si>
  <si>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</si>
  <si>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</si>
  <si>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</si>
  <si>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</si>
  <si>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</si>
  <si>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</si>
  <si>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</si>
  <si>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</si>
  <si>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</si>
  <si>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</si>
  <si>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</si>
  <si>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</si>
  <si>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</si>
  <si>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</si>
  <si>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</si>
  <si>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</si>
  <si>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</si>
  <si>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</si>
  <si>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</si>
  <si>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</si>
  <si>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</si>
  <si>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</si>
  <si>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</si>
  <si>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</si>
  <si>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</si>
  <si>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</si>
  <si>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</si>
  <si>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</si>
  <si>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</si>
  <si>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</si>
  <si>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</si>
  <si>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</si>
  <si>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</si>
  <si>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</si>
  <si>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</si>
  <si>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</si>
  <si>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</si>
  <si>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</si>
  <si>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</si>
  <si>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</si>
  <si>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</si>
  <si>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</si>
  <si>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</si>
  <si>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</si>
  <si>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</si>
  <si>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</si>
  <si>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</si>
  <si>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</si>
  <si>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</si>
  <si>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</si>
  <si>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</si>
  <si>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</si>
  <si>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</si>
  <si>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</si>
  <si>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</si>
  <si>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</si>
  <si>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</si>
  <si>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</si>
  <si>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</si>
  <si>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</si>
  <si>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</si>
  <si>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</si>
  <si>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</si>
  <si>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</si>
  <si>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</si>
  <si>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</si>
  <si>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</si>
  <si>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</si>
  <si>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</si>
  <si>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</si>
  <si>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</si>
  <si>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</si>
  <si>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</si>
  <si>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</si>
  <si>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</si>
  <si>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</si>
  <si>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</si>
  <si>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</si>
  <si>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</si>
  <si>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</si>
  <si>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</si>
  <si>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</si>
  <si>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</si>
  <si>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</si>
  <si>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</si>
  <si>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</si>
  <si>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</si>
  <si>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</si>
  <si>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</si>
  <si>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</si>
  <si>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</si>
  <si>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</si>
  <si>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</si>
  <si>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</si>
  <si>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</si>
  <si>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</si>
  <si>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</si>
  <si>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</si>
  <si>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</si>
  <si>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</si>
  <si>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</si>
  <si>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</si>
  <si>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</si>
  <si>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</si>
  <si>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</si>
  <si>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</si>
  <si>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</si>
  <si>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</si>
  <si>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</si>
  <si>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</si>
  <si>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</si>
  <si>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</si>
  <si>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</si>
  <si>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</si>
  <si>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</si>
  <si>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</si>
  <si>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</si>
  <si>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</si>
  <si>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</si>
  <si>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</si>
  <si>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</si>
  <si>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</si>
  <si>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</si>
  <si>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</si>
  <si>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</si>
  <si>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</si>
  <si>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</si>
  <si>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</si>
  <si>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</si>
  <si>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</si>
  <si>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</si>
  <si>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</si>
  <si>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</si>
  <si>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</si>
  <si>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</si>
  <si>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</si>
  <si>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</si>
  <si>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</si>
  <si>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</si>
  <si>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</si>
  <si>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</si>
  <si>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</si>
  <si>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</si>
  <si>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</si>
  <si>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</si>
  <si>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</si>
  <si>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</si>
  <si>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</si>
  <si>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</si>
  <si>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</si>
  <si>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</si>
  <si>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</si>
  <si>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</si>
  <si>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</si>
  <si>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</si>
  <si>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</si>
  <si>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</si>
  <si>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</si>
  <si>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</si>
  <si>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</si>
  <si>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</si>
  <si>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</si>
  <si>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</si>
  <si>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</si>
  <si>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</si>
  <si>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</si>
  <si>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</si>
  <si>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</si>
  <si>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</si>
  <si>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</si>
  <si>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</si>
  <si>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</si>
  <si>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</si>
  <si>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</si>
  <si>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</si>
  <si>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</si>
  <si>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</si>
  <si>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</si>
  <si>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</si>
  <si>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</si>
  <si>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</si>
  <si>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</si>
  <si>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</si>
  <si>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</si>
  <si>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</si>
  <si>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</si>
  <si>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</si>
  <si>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</si>
  <si>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</si>
  <si>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</si>
  <si>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</si>
  <si>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</si>
  <si>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</si>
  <si>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</si>
  <si>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</si>
  <si>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</si>
  <si>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</si>
  <si>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</si>
  <si>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</si>
  <si>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</si>
  <si>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</si>
  <si>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</si>
  <si>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</si>
  <si>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</si>
  <si>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</si>
  <si>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</si>
  <si>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</si>
  <si>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</si>
  <si>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</si>
  <si>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</si>
  <si>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</si>
  <si>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</si>
  <si>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</si>
  <si>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</si>
  <si>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</si>
  <si>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</si>
  <si>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</si>
  <si>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</si>
  <si>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</si>
  <si>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</si>
  <si>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</si>
  <si>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</si>
  <si>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</si>
  <si>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</si>
  <si>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</si>
  <si>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</si>
  <si>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</si>
  <si>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</si>
  <si>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</si>
  <si>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</si>
  <si>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</si>
  <si>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</si>
  <si>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</si>
  <si>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</si>
  <si>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</si>
  <si>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</si>
  <si>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</si>
  <si>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</si>
  <si>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</si>
  <si>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</si>
  <si>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</si>
  <si>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</si>
  <si>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</si>
  <si>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</si>
  <si>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</si>
  <si>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</si>
  <si>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</si>
  <si>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</si>
  <si>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</si>
  <si>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</si>
  <si>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</si>
  <si>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</si>
  <si>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</si>
  <si>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</si>
  <si>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</si>
  <si>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</si>
  <si>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</si>
  <si>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</si>
  <si>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</si>
  <si>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</si>
  <si>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</si>
  <si>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</si>
  <si>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</si>
  <si>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</si>
  <si>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</si>
  <si>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</si>
  <si>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</si>
  <si>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</si>
  <si>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</si>
  <si>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</si>
  <si>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</si>
  <si>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</si>
  <si>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</si>
  <si>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</si>
  <si>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</si>
  <si>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</si>
  <si>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</si>
  <si>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</si>
  <si>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</si>
  <si>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</si>
  <si>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</si>
  <si>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</si>
  <si>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</si>
  <si>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</si>
  <si>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</si>
  <si>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</si>
  <si>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</si>
  <si>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</si>
  <si>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</si>
  <si>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</si>
  <si>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</si>
  <si>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</si>
  <si>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</si>
  <si>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</si>
  <si>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</si>
  <si>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</si>
  <si>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</si>
  <si>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</si>
  <si>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</si>
  <si>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</si>
  <si>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</si>
  <si>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</si>
  <si>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</si>
  <si>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</si>
  <si>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</si>
  <si>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</si>
  <si>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</si>
  <si>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</si>
  <si>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</si>
  <si>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</si>
  <si>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</si>
  <si>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</si>
  <si>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</si>
  <si>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</si>
  <si>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</si>
  <si>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</si>
  <si>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</si>
  <si>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</si>
  <si>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</si>
  <si>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</si>
  <si>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</si>
  <si>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</si>
  <si>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</si>
  <si>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</si>
  <si>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</si>
  <si>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</si>
  <si>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</si>
  <si>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</si>
  <si>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</si>
  <si>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</si>
  <si>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</si>
  <si>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</si>
  <si>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</si>
  <si>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</si>
  <si>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</si>
  <si>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</si>
  <si>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</si>
  <si>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</si>
  <si>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</si>
  <si>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</si>
  <si>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</si>
  <si>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</si>
  <si>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</si>
  <si>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</si>
  <si>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</si>
  <si>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</si>
  <si>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</si>
  <si>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</si>
  <si>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</si>
  <si>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</si>
  <si>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</si>
  <si>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</si>
  <si>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</si>
  <si>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</si>
  <si>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</si>
  <si>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</si>
  <si>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</si>
  <si>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</si>
  <si>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</si>
  <si>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</si>
  <si>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</si>
  <si>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</si>
  <si>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</si>
  <si>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</si>
  <si>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</si>
  <si>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</si>
  <si>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</si>
  <si>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</si>
  <si>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</si>
  <si>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</si>
  <si>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</si>
  <si>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</si>
  <si>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</si>
  <si>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</si>
  <si>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</si>
  <si>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</si>
  <si>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</si>
  <si>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</si>
  <si>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</si>
  <si>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</si>
  <si>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</si>
  <si>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</si>
  <si>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</si>
  <si>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</si>
  <si>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</si>
  <si>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</si>
  <si>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</si>
  <si>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</si>
  <si>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</si>
  <si>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</si>
  <si>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</si>
  <si>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</si>
  <si>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</si>
  <si>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</si>
  <si>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</si>
  <si>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</si>
  <si>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</si>
  <si>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</si>
  <si>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</si>
  <si>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</si>
  <si>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</si>
  <si>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</si>
  <si>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</si>
  <si>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</si>
  <si>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</si>
  <si>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</si>
  <si>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</si>
  <si>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</si>
  <si>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</si>
  <si>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</si>
  <si>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</si>
  <si>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</si>
  <si>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</si>
  <si>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</si>
  <si>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</si>
  <si>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</si>
  <si>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</si>
  <si>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</si>
  <si>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</si>
  <si>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</si>
  <si>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</si>
  <si>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</si>
  <si>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</si>
  <si>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</si>
  <si>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</si>
  <si>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</si>
  <si>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</si>
  <si>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</si>
  <si>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</si>
  <si>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</si>
  <si>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</si>
  <si>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</si>
  <si>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</si>
  <si>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</si>
  <si>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</si>
  <si>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</si>
  <si>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</si>
  <si>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</si>
  <si>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</si>
  <si>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</si>
  <si>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</si>
  <si>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</si>
  <si>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</si>
  <si>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</si>
  <si>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</si>
  <si>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</si>
  <si>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</si>
  <si>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</si>
  <si>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</si>
  <si>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</si>
  <si>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</si>
  <si>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</si>
  <si>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</si>
  <si>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</si>
  <si>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</si>
  <si>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</si>
  <si>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</si>
  <si>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</si>
  <si>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</si>
  <si>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</si>
  <si>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</si>
  <si>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</si>
  <si>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</si>
  <si>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</si>
  <si>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</si>
  <si>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</si>
  <si>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</si>
  <si>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</si>
  <si>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</si>
  <si>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</si>
  <si>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</si>
  <si>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</si>
  <si>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</si>
  <si>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</si>
  <si>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</si>
  <si>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</si>
  <si>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</si>
  <si>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</si>
  <si>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</si>
  <si>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</si>
  <si>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</si>
  <si>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</si>
  <si>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</si>
  <si>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</si>
  <si>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</si>
  <si>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</si>
  <si>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</si>
  <si>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</si>
  <si>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</si>
  <si>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</si>
  <si>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</si>
  <si>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</si>
  <si>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</si>
  <si>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</si>
  <si>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</si>
  <si>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</si>
  <si>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</si>
  <si>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</si>
  <si>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</si>
  <si>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</si>
  <si>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</si>
  <si>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</si>
  <si>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</si>
  <si>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</si>
  <si>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</si>
  <si>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</si>
  <si>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</si>
  <si>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</si>
  <si>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</si>
  <si>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</si>
  <si>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</si>
  <si>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</si>
  <si>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</si>
  <si>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</si>
  <si>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</si>
  <si>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</si>
  <si>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</si>
  <si>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</si>
  <si>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</si>
  <si>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</si>
  <si>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</si>
  <si>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</si>
  <si>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</si>
  <si>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</si>
  <si>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</si>
  <si>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</si>
  <si>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</si>
  <si>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</si>
  <si>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</si>
  <si>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</si>
  <si>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</si>
  <si>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</si>
  <si>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</si>
  <si>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</si>
  <si>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</si>
  <si>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</si>
  <si>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</si>
  <si>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</si>
  <si>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</si>
  <si>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</si>
  <si>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</si>
  <si>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</si>
  <si>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</si>
  <si>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</si>
  <si>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</si>
  <si>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</si>
  <si>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</si>
  <si>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</si>
  <si>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</si>
  <si>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</si>
  <si>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</si>
  <si>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</si>
  <si>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</si>
  <si>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</si>
  <si>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</si>
  <si>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</si>
  <si>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</si>
  <si>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</si>
  <si>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</si>
  <si>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</si>
  <si>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</si>
  <si>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</si>
  <si>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</si>
  <si>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</si>
  <si>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</si>
  <si>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</si>
  <si>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</si>
  <si>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</si>
  <si>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</si>
  <si>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</si>
  <si>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</si>
  <si>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</si>
  <si>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</si>
  <si>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</si>
  <si>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</si>
  <si>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</si>
  <si>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</si>
  <si>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</si>
  <si>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</si>
  <si>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</si>
  <si>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</si>
  <si>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</si>
  <si>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</si>
  <si>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</si>
  <si>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</si>
  <si>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</si>
  <si>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</si>
  <si>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</si>
  <si>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</si>
  <si>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</si>
  <si>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</si>
  <si>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</si>
  <si>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</si>
  <si>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</si>
  <si>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</si>
  <si>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</si>
  <si>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</si>
  <si>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</si>
  <si>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</si>
  <si>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</si>
  <si>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</si>
  <si>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</si>
  <si>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</si>
  <si>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</si>
  <si>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</si>
  <si>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</si>
  <si>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</si>
  <si>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</si>
  <si>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</si>
  <si>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</si>
  <si>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</si>
  <si>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</si>
  <si>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</si>
  <si>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</si>
  <si>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</si>
  <si>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</si>
  <si>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</si>
  <si>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</si>
  <si>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</si>
  <si>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</si>
  <si>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</si>
  <si>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</si>
  <si>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</si>
  <si>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</si>
  <si>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</si>
  <si>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</si>
  <si>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</si>
  <si>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</si>
  <si>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</si>
  <si>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</si>
  <si>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</si>
  <si>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</si>
  <si>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</si>
  <si>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</si>
  <si>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</si>
  <si>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</si>
  <si>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</si>
  <si>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</si>
  <si>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</si>
  <si>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</si>
  <si>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</si>
  <si>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</si>
  <si>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</si>
  <si>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</si>
  <si>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</si>
  <si>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</si>
  <si>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</si>
  <si>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</si>
  <si>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</si>
  <si>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</si>
  <si>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</si>
  <si>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</si>
  <si>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</si>
  <si>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</si>
  <si>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</si>
  <si>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</si>
  <si>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</si>
  <si>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</si>
  <si>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</si>
  <si>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</si>
  <si>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</si>
  <si>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</si>
  <si>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</si>
  <si>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</si>
  <si>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</si>
  <si>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</si>
  <si>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</si>
  <si>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</si>
  <si>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</si>
  <si>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</si>
  <si>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</si>
  <si>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</si>
  <si>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</si>
  <si>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</si>
  <si>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</si>
  <si>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</si>
  <si>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</si>
  <si>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</si>
  <si>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</si>
  <si>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</si>
  <si>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</si>
  <si>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</si>
  <si>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</si>
  <si>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</si>
  <si>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</si>
  <si>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</si>
  <si>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</si>
  <si>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</si>
  <si>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</si>
  <si>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</si>
  <si>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</si>
  <si>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</si>
  <si>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</si>
  <si>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</si>
  <si>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</si>
  <si>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</si>
  <si>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</si>
  <si>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</si>
  <si>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</si>
  <si>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</si>
  <si>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</si>
  <si>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</si>
  <si>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</si>
  <si>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</si>
  <si>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</si>
  <si>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</si>
  <si>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</si>
  <si>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</si>
  <si>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</si>
  <si>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</si>
  <si>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</si>
  <si>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</si>
  <si>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</si>
  <si>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</si>
  <si>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</si>
  <si>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</si>
  <si>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</si>
  <si>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</si>
  <si>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</si>
  <si>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</si>
  <si>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</si>
  <si>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</si>
  <si>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</si>
  <si>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</si>
  <si>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</si>
  <si>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</si>
  <si>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</si>
  <si>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</si>
  <si>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</si>
  <si>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</si>
  <si>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</si>
  <si>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</si>
  <si>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</si>
  <si>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</si>
  <si>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</si>
  <si>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</si>
  <si>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</si>
  <si>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</si>
  <si>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</si>
  <si>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</si>
  <si>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</si>
  <si>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</si>
  <si>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</si>
  <si>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</si>
  <si>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</si>
  <si>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</si>
  <si>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</si>
  <si>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</si>
  <si>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</si>
  <si>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</si>
  <si>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</si>
  <si>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</si>
  <si>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</si>
  <si>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</si>
  <si>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</si>
  <si>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</si>
  <si>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</si>
  <si>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</si>
  <si>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</si>
  <si>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</si>
  <si>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</si>
  <si>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</si>
  <si>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</si>
  <si>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</si>
  <si>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</si>
  <si>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</si>
  <si>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</si>
  <si>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</si>
  <si>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</si>
  <si>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</si>
  <si>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</si>
  <si>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</si>
  <si>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</si>
  <si>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</si>
  <si>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</si>
  <si>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</si>
  <si>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</si>
  <si>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</si>
  <si>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</si>
  <si>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</si>
  <si>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</si>
  <si>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</si>
  <si>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</si>
  <si>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</si>
  <si>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</si>
  <si>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</si>
  <si>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</si>
  <si>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</si>
  <si>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</si>
  <si>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</si>
  <si>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</si>
  <si>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</si>
  <si>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</si>
  <si>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</si>
  <si>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</si>
  <si>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</si>
  <si>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</si>
  <si>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</si>
  <si>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</si>
  <si>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</si>
  <si>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</si>
  <si>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</si>
  <si>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</si>
  <si>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</si>
  <si>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</si>
  <si>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</si>
  <si>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</si>
  <si>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</si>
  <si>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</si>
  <si>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</si>
  <si>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</si>
  <si>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</si>
  <si>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</si>
  <si>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</si>
  <si>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</si>
  <si>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</si>
  <si>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</si>
  <si>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</si>
  <si>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</si>
  <si>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</si>
  <si>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</si>
  <si>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</si>
  <si>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</si>
  <si>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</si>
  <si>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</si>
  <si>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</si>
  <si>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</si>
  <si>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</si>
  <si>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</si>
  <si>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</si>
  <si>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</si>
  <si>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</si>
  <si>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</si>
  <si>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</si>
  <si>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</si>
  <si>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</si>
  <si>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</si>
  <si>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</si>
  <si>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</si>
  <si>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</si>
  <si>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</si>
  <si>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</si>
  <si>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</si>
  <si>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</si>
  <si>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</si>
  <si>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</si>
  <si>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</si>
  <si>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</si>
  <si>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</si>
  <si>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</si>
  <si>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</si>
  <si>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</si>
  <si>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</si>
  <si>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</si>
  <si>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</si>
  <si>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</si>
  <si>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</si>
  <si>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</si>
  <si>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</si>
  <si>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</si>
  <si>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</si>
  <si>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</si>
  <si>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</si>
  <si>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</si>
  <si>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</si>
  <si>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</si>
  <si>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</si>
  <si>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</si>
  <si>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</si>
  <si>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</si>
  <si>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</si>
  <si>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</si>
  <si>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</si>
  <si>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</si>
  <si>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</si>
  <si>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</si>
  <si>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</si>
  <si>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</si>
  <si>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</si>
  <si>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</si>
  <si>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</si>
  <si>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</si>
  <si>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</si>
  <si>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</si>
  <si>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</si>
  <si>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</si>
  <si>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</si>
  <si>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</si>
  <si>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</si>
  <si>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</si>
  <si>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</si>
  <si>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</si>
  <si>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</si>
  <si>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</si>
  <si>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</si>
  <si>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</si>
  <si>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</si>
  <si>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</si>
  <si>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</si>
  <si>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</si>
  <si>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</si>
  <si>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</si>
  <si>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</si>
  <si>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</si>
  <si>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</si>
  <si>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</si>
  <si>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</si>
  <si>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</si>
  <si>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</si>
  <si>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</si>
  <si>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</si>
  <si>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</si>
  <si>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</si>
  <si>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</si>
  <si>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</si>
  <si>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</si>
  <si>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</si>
  <si>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</si>
  <si>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</si>
  <si>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</si>
  <si>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</si>
  <si>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</si>
  <si>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</si>
  <si>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</si>
  <si>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</si>
  <si>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</si>
  <si>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</si>
  <si>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</si>
  <si>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</si>
  <si>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</si>
  <si>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</si>
  <si>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</si>
  <si>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</si>
  <si>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</si>
  <si>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</si>
  <si>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</si>
  <si>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</si>
  <si>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</si>
  <si>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</si>
  <si>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</si>
  <si>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</si>
  <si>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</si>
  <si>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</si>
  <si>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</si>
  <si>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</si>
  <si>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</si>
  <si>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</si>
  <si>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</si>
  <si>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</si>
  <si>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</si>
  <si>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</si>
  <si>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</si>
  <si>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</si>
  <si>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</si>
  <si>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</si>
  <si>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</si>
  <si>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</si>
  <si>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</si>
  <si>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</si>
  <si>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</si>
  <si>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</si>
  <si>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</si>
  <si>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</si>
  <si>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</si>
  <si>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</si>
  <si>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</si>
  <si>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</si>
  <si>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</si>
  <si>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</si>
  <si>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</si>
  <si>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</si>
  <si>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</si>
  <si>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</si>
  <si>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</si>
  <si>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</si>
  <si>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</si>
  <si>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</si>
  <si>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</si>
  <si>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</si>
  <si>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</si>
  <si>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</si>
  <si>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</si>
  <si>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</si>
  <si>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</si>
  <si>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</si>
  <si>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</si>
  <si>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</si>
  <si>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</si>
  <si>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</si>
  <si>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</si>
  <si>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</si>
  <si>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</si>
  <si>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</si>
  <si>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</si>
  <si>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</si>
  <si>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</si>
  <si>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</si>
  <si>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</si>
  <si>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</si>
  <si>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</si>
  <si>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</si>
  <si>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</si>
  <si>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</si>
  <si>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</si>
  <si>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</si>
  <si>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</si>
  <si>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</si>
  <si>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</si>
  <si>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</si>
  <si>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</si>
  <si>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</si>
  <si>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</si>
  <si>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</si>
  <si>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</si>
  <si>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</si>
  <si>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</si>
  <si>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</si>
  <si>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</si>
  <si>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</si>
  <si>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</si>
  <si>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</si>
  <si>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</si>
  <si>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</si>
  <si>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</si>
  <si>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</si>
  <si>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</si>
  <si>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</si>
  <si>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</si>
  <si>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</si>
  <si>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</si>
  <si>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</si>
  <si>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</si>
  <si>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</si>
  <si>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</si>
  <si>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</si>
  <si>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</si>
  <si>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</si>
  <si>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</si>
  <si>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</si>
  <si>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</si>
  <si>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</si>
  <si>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</si>
  <si>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</si>
  <si>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</si>
  <si>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</si>
  <si>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</si>
  <si>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</si>
  <si>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</si>
  <si>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</si>
  <si>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</si>
  <si>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</si>
  <si>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</si>
  <si>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</si>
  <si>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</si>
  <si>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</si>
  <si>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</si>
  <si>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</si>
  <si>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</si>
  <si>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</si>
  <si>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</si>
  <si>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</si>
  <si>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</si>
  <si>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</si>
  <si>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</si>
  <si>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</si>
  <si>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</si>
  <si>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</si>
  <si>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</si>
  <si>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</si>
  <si>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</si>
  <si>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</si>
  <si>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</si>
  <si>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</si>
  <si>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</si>
  <si>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</si>
  <si>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</si>
  <si>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</si>
  <si>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</si>
  <si>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</si>
  <si>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</si>
  <si>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</si>
  <si>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</si>
  <si>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</si>
  <si>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</si>
  <si>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</si>
  <si>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</si>
  <si>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</si>
  <si>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</si>
  <si>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</si>
  <si>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</si>
  <si>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</si>
  <si>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</si>
  <si>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</si>
  <si>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</si>
  <si>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</si>
  <si>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</si>
  <si>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</si>
  <si>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</si>
  <si>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</si>
  <si>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</si>
  <si>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</si>
  <si>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</si>
  <si>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</si>
  <si>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</si>
  <si>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</si>
  <si>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</si>
  <si>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</si>
  <si>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</si>
  <si>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</si>
  <si>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</si>
  <si>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</si>
  <si>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</si>
  <si>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</si>
  <si>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</si>
  <si>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</si>
  <si>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</si>
  <si>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</si>
  <si>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</si>
  <si>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</si>
  <si>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</si>
  <si>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</si>
  <si>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</si>
  <si>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</si>
  <si>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</si>
  <si>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</si>
  <si>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</si>
  <si>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</si>
  <si>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</si>
  <si>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</si>
  <si>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</si>
  <si>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</si>
  <si>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</si>
  <si>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</si>
  <si>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</si>
  <si>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</si>
  <si>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</si>
  <si>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</si>
  <si>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</si>
  <si>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</si>
  <si>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</si>
  <si>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</si>
  <si>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</si>
  <si>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</si>
  <si>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</si>
  <si>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</si>
  <si>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</si>
  <si>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</si>
  <si>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</si>
  <si>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</si>
  <si>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</si>
  <si>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</si>
  <si>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</si>
  <si>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</si>
  <si>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</si>
  <si>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</si>
  <si>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</si>
  <si>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</si>
  <si>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</si>
  <si>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</si>
  <si>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</si>
  <si>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</si>
  <si>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</si>
  <si>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</si>
  <si>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</si>
  <si>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</si>
  <si>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</si>
  <si>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</si>
  <si>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</si>
  <si>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</si>
  <si>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</si>
  <si>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</si>
  <si>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</si>
  <si>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</si>
  <si>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</si>
  <si>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</si>
  <si>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</si>
  <si>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</si>
  <si>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</si>
  <si>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</si>
  <si>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</si>
  <si>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</si>
  <si>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</si>
  <si>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</si>
  <si>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</si>
  <si>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</si>
  <si>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</si>
  <si>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</si>
  <si>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</si>
  <si>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</si>
  <si>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</si>
  <si>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</si>
  <si>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</si>
  <si>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</si>
  <si>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</si>
  <si>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</si>
  <si>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</si>
  <si>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</si>
  <si>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</si>
  <si>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</si>
  <si>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</si>
  <si>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</si>
  <si>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</si>
  <si>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</si>
  <si>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</si>
  <si>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</si>
  <si>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</si>
  <si>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</si>
  <si>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</si>
  <si>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</si>
  <si>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</si>
  <si>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</si>
  <si>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</si>
  <si>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</si>
  <si>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</si>
  <si>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</si>
  <si>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</si>
  <si>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</si>
  <si>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</si>
  <si>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</si>
  <si>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</si>
  <si>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</si>
  <si>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</si>
  <si>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</si>
  <si>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</si>
  <si>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</si>
  <si>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</si>
  <si>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</si>
  <si>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</si>
  <si>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</si>
  <si>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</si>
  <si>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</si>
  <si>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</si>
  <si>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</si>
  <si>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</si>
  <si>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</si>
  <si>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</si>
  <si>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</si>
  <si>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</si>
  <si>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</si>
  <si>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</si>
  <si>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</si>
  <si>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</si>
  <si>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</si>
  <si>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</si>
  <si>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</si>
  <si>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</si>
  <si>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</si>
  <si>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</si>
  <si>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</si>
  <si>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</si>
  <si>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</si>
  <si>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</si>
  <si>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</si>
  <si>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</si>
  <si>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</si>
  <si>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</si>
  <si>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</si>
  <si>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</si>
  <si>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</si>
  <si>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</si>
  <si>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</si>
  <si>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</si>
  <si>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</si>
  <si>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</si>
  <si>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</si>
  <si>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</si>
  <si>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</si>
  <si>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</si>
  <si>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</si>
  <si>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</si>
  <si>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</si>
  <si>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</si>
  <si>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</si>
  <si>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</si>
  <si>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</si>
  <si>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</si>
  <si>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</si>
  <si>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</si>
  <si>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</si>
  <si>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</si>
  <si>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</si>
  <si>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</si>
  <si>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</si>
  <si>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</si>
  <si>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</si>
  <si>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</si>
  <si>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</si>
  <si>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</si>
  <si>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</si>
  <si>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</si>
  <si>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</si>
  <si>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</si>
  <si>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</si>
  <si>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</si>
  <si>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</si>
  <si>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</si>
  <si>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</si>
  <si>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</si>
  <si>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</si>
  <si>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</si>
  <si>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</si>
  <si>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</si>
  <si>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</si>
  <si>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</si>
  <si>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</si>
  <si>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</si>
  <si>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</si>
  <si>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</si>
  <si>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</si>
  <si>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</si>
  <si>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</si>
  <si>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</si>
  <si>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</si>
  <si>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</si>
  <si>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</si>
  <si>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</si>
  <si>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</si>
  <si>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</si>
  <si>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</si>
  <si>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</si>
  <si>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</si>
  <si>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</si>
  <si>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</si>
  <si>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</si>
  <si>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</si>
  <si>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</si>
  <si>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</si>
  <si>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</si>
  <si>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</si>
  <si>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</si>
  <si>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</si>
  <si>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</si>
  <si>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</si>
  <si>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</si>
  <si>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</si>
  <si>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</si>
  <si>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</si>
  <si>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</si>
  <si>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</si>
  <si>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</si>
  <si>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</si>
  <si>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</si>
  <si>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</si>
  <si>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</si>
  <si>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</si>
  <si>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</si>
  <si>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</si>
  <si>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</si>
  <si>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</si>
  <si>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</si>
  <si>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</si>
  <si>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</si>
  <si>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</si>
  <si>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</si>
  <si>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</si>
  <si>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</si>
  <si>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</si>
  <si>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</si>
  <si>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</si>
  <si>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</si>
  <si>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</si>
  <si>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</si>
  <si>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</si>
  <si>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</si>
  <si>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</si>
  <si>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</si>
  <si>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</si>
  <si>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</si>
  <si>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</si>
  <si>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</si>
  <si>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</si>
  <si>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</si>
  <si>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</si>
  <si>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</si>
  <si>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</si>
  <si>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</si>
  <si>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</si>
  <si>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</si>
  <si>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</si>
  <si>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</si>
  <si>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</si>
  <si>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</si>
  <si>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</si>
  <si>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</si>
  <si>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</si>
  <si>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</si>
  <si>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</si>
  <si>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</si>
  <si>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</si>
  <si>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</si>
  <si>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</si>
  <si>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</si>
  <si>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</si>
  <si>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</si>
  <si>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</si>
  <si>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</si>
  <si>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</si>
  <si>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</si>
  <si>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</si>
  <si>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</si>
  <si>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</si>
  <si>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</si>
  <si>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</si>
  <si>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</si>
  <si>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</si>
  <si>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</si>
  <si>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</si>
  <si>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</si>
  <si>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</si>
  <si>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</si>
  <si>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</si>
  <si>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</si>
  <si>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</si>
  <si>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</si>
  <si>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</si>
  <si>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</si>
  <si>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</si>
  <si>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</si>
  <si>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</si>
  <si>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</si>
  <si>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</si>
  <si>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</si>
  <si>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</si>
  <si>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</si>
  <si>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</si>
  <si>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</si>
  <si>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</si>
  <si>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</si>
  <si>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</si>
  <si>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</si>
  <si>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</si>
  <si>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</si>
  <si>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</si>
  <si>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</si>
  <si>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</si>
  <si>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</si>
  <si>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</si>
  <si>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</si>
  <si>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</si>
  <si>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</si>
  <si>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</si>
  <si>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</si>
  <si>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</si>
  <si>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</si>
  <si>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</si>
  <si>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</si>
  <si>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</si>
  <si>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</si>
  <si>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</si>
  <si>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</si>
  <si>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</si>
  <si>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</si>
  <si>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</si>
  <si>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</si>
  <si>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</si>
  <si>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</si>
  <si>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</si>
  <si>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</si>
  <si>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</si>
  <si>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</si>
  <si>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</si>
  <si>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</si>
  <si>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</si>
  <si>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</si>
  <si>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</si>
  <si>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</si>
  <si>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</si>
  <si>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</si>
  <si>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</si>
  <si>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</si>
  <si>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</si>
  <si>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</si>
  <si>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</si>
  <si>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</si>
  <si>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</si>
  <si>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</si>
  <si>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</si>
  <si>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</si>
  <si>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</si>
  <si>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</si>
  <si>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</si>
  <si>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</si>
  <si>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</si>
  <si>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</si>
  <si>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</si>
  <si>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</si>
  <si>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</si>
  <si>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</si>
  <si>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</si>
  <si>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</si>
  <si>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</si>
  <si>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</si>
  <si>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</si>
  <si>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</si>
  <si>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</si>
  <si>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</si>
  <si>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</si>
  <si>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</si>
  <si>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</si>
  <si>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</si>
  <si>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</si>
  <si>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</si>
  <si>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</si>
  <si>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</si>
  <si>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</si>
  <si>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</si>
  <si>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</si>
  <si>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</si>
  <si>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</si>
  <si>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</si>
  <si>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</si>
  <si>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</si>
  <si>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</si>
  <si>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</si>
  <si>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</si>
  <si>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</si>
  <si>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</si>
  <si>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</si>
  <si>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</si>
  <si>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</si>
  <si>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</si>
  <si>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</si>
  <si>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</si>
  <si>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</si>
  <si>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</si>
  <si>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</si>
  <si>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</si>
  <si>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</si>
  <si>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</si>
  <si>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</si>
  <si>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</si>
  <si>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</si>
  <si>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</si>
  <si>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</si>
  <si>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</si>
  <si>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</si>
  <si>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</si>
  <si>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</si>
  <si>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</si>
  <si>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</si>
  <si>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</si>
  <si>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</si>
  <si>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</si>
  <si>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</si>
  <si>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</si>
  <si>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</si>
  <si>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</si>
  <si>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</si>
  <si>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</si>
  <si>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</si>
  <si>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</si>
  <si>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</si>
  <si>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</si>
  <si>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</si>
  <si>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</si>
  <si>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</si>
  <si>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</si>
  <si>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</si>
  <si>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</si>
  <si>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</si>
  <si>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</si>
  <si>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</si>
  <si>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</si>
  <si>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</si>
  <si>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</si>
  <si>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</si>
  <si>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</si>
  <si>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</si>
  <si>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</si>
  <si>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</si>
  <si>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</si>
  <si>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</si>
  <si>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</si>
  <si>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</si>
  <si>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</si>
  <si>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</si>
  <si>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</si>
  <si>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</si>
  <si>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</si>
  <si>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</si>
  <si>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</si>
  <si>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</si>
  <si>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</si>
  <si>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</si>
  <si>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</si>
  <si>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</si>
  <si>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</si>
  <si>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</si>
  <si>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</si>
  <si>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</si>
  <si>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</si>
  <si>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</si>
  <si>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</si>
  <si>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</si>
  <si>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</si>
  <si>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</si>
  <si>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</si>
  <si>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</si>
  <si>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</si>
  <si>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</si>
  <si>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</si>
  <si>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</si>
  <si>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</si>
  <si>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</si>
  <si>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</si>
  <si>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</si>
  <si>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</si>
  <si>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</si>
  <si>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</si>
  <si>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</si>
  <si>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</si>
  <si>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</si>
  <si>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</si>
  <si>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</si>
  <si>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</si>
  <si>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</si>
  <si>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</si>
  <si>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</si>
  <si>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</si>
  <si>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</si>
  <si>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</si>
  <si>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</si>
  <si>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</si>
  <si>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</si>
  <si>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</si>
  <si>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</si>
  <si>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</si>
  <si>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</si>
  <si>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</si>
  <si>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</si>
  <si>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</si>
  <si>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</si>
  <si>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</si>
  <si>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</si>
  <si>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</si>
  <si>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</si>
  <si>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</si>
  <si>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</si>
  <si>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</si>
  <si>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</si>
  <si>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</si>
  <si>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</si>
  <si>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</si>
  <si>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</si>
  <si>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</si>
  <si>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</si>
  <si>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</si>
  <si>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</si>
  <si>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</si>
  <si>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</si>
  <si>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</si>
  <si>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</si>
  <si>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</si>
  <si>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</si>
  <si>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</si>
  <si>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</si>
  <si>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</si>
  <si>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</si>
  <si>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</si>
  <si>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</si>
  <si>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</si>
  <si>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</si>
  <si>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</si>
  <si>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</si>
  <si>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</si>
  <si>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</si>
  <si>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</si>
  <si>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</si>
  <si>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</si>
  <si>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</si>
  <si>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</si>
  <si>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</si>
  <si>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</si>
  <si>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</si>
  <si>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</si>
  <si>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</si>
  <si>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</si>
  <si>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</si>
  <si>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</si>
  <si>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</si>
  <si>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</si>
  <si>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</si>
  <si>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</si>
  <si>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</si>
  <si>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</si>
  <si>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</si>
  <si>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</si>
  <si>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</si>
  <si>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</si>
  <si>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</si>
  <si>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</si>
  <si>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</si>
  <si>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</si>
  <si>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</si>
  <si>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</si>
  <si>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</si>
  <si>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</si>
  <si>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</si>
  <si>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</si>
  <si>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</si>
  <si>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</si>
  <si>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</si>
  <si>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</si>
  <si>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</si>
  <si>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</si>
  <si>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</si>
  <si>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</si>
  <si>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</si>
  <si>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</si>
  <si>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</si>
  <si>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</si>
  <si>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</si>
  <si>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</si>
  <si>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</si>
  <si>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</si>
  <si>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</si>
  <si>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</si>
  <si>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</si>
  <si>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</si>
  <si>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</si>
  <si>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</si>
  <si>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</si>
  <si>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</si>
  <si>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</si>
  <si>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</si>
  <si>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</si>
  <si>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</si>
  <si>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</si>
  <si>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</si>
  <si>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</si>
  <si>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</si>
  <si>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</si>
  <si>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</si>
  <si>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</si>
  <si>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</si>
  <si>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</si>
  <si>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</si>
  <si>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</si>
  <si>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</si>
  <si>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</si>
  <si>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</si>
  <si>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</si>
  <si>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</si>
  <si>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</si>
  <si>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</si>
  <si>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</si>
  <si>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</si>
  <si>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</si>
  <si>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</si>
  <si>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</si>
  <si>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</si>
  <si>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</si>
  <si>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</si>
  <si>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</si>
  <si>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</si>
  <si>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</si>
  <si>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</si>
  <si>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</si>
  <si>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</si>
  <si>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</si>
  <si>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</si>
  <si>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</si>
  <si>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</si>
  <si>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</si>
  <si>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</si>
  <si>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</si>
  <si>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</si>
  <si>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</si>
  <si>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</si>
  <si>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</si>
  <si>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</si>
  <si>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</si>
  <si>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</si>
  <si>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</si>
  <si>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</si>
  <si>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</si>
  <si>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</si>
  <si>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</si>
  <si>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</si>
  <si>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</si>
  <si>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</si>
  <si>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</si>
  <si>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</si>
  <si>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</si>
  <si>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</si>
  <si>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</si>
  <si>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</si>
  <si>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</si>
  <si>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</si>
  <si>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</si>
  <si>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</si>
  <si>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</si>
  <si>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</si>
  <si>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</si>
  <si>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</si>
  <si>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</si>
  <si>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</si>
  <si>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</si>
  <si>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</si>
  <si>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</si>
  <si>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</si>
  <si>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</si>
  <si>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</si>
  <si>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</si>
  <si>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</si>
  <si>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</si>
  <si>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</si>
  <si>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</si>
  <si>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</si>
  <si>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</si>
  <si>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</si>
  <si>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</si>
  <si>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</si>
  <si>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</si>
  <si>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</si>
  <si>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</si>
  <si>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</si>
  <si>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</si>
  <si>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</si>
  <si>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</si>
  <si>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</si>
  <si>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</si>
  <si>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</si>
  <si>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</si>
  <si>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</si>
  <si>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</si>
  <si>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</si>
  <si>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</si>
  <si>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</si>
  <si>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</si>
  <si>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</si>
  <si>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</si>
  <si>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</si>
  <si>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</si>
  <si>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</si>
  <si>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</si>
  <si>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</si>
  <si>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</si>
  <si>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</si>
  <si>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</si>
  <si>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</si>
  <si>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</si>
  <si>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</si>
  <si>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</si>
  <si>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</si>
  <si>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</si>
  <si>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</si>
  <si>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</si>
  <si>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</si>
  <si>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</si>
  <si>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</si>
  <si>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</si>
  <si>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</si>
  <si>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</si>
  <si>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</si>
  <si>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</si>
  <si>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</si>
  <si>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</si>
  <si>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</si>
  <si>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</si>
  <si>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</si>
  <si>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</si>
  <si>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</si>
  <si>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</si>
  <si>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</si>
  <si>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</si>
  <si>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</si>
  <si>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</si>
  <si>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</si>
  <si>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</si>
  <si>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</si>
  <si>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</si>
  <si>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</si>
  <si>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</si>
  <si>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</si>
  <si>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</si>
  <si>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</si>
  <si>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</si>
  <si>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</si>
  <si>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</si>
  <si>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</si>
  <si>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</si>
  <si>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</si>
  <si>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</si>
  <si>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</si>
  <si>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</si>
  <si>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</si>
  <si>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</si>
  <si>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</si>
  <si>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</si>
  <si>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</si>
  <si>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</si>
  <si>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</si>
  <si>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</si>
  <si>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</si>
  <si>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</si>
  <si>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</si>
  <si>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</si>
  <si>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</si>
  <si>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</si>
  <si>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</si>
  <si>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</si>
  <si>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</si>
  <si>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</si>
  <si>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</si>
  <si>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</si>
  <si>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</si>
  <si>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</si>
  <si>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</si>
  <si>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</si>
  <si>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</si>
  <si>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</si>
  <si>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</si>
  <si>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</si>
  <si>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</si>
  <si>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</si>
  <si>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</si>
  <si>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</si>
  <si>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</si>
  <si>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</si>
  <si>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</si>
  <si>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</si>
  <si>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</si>
  <si>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</si>
  <si>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</si>
  <si>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</si>
  <si>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</si>
  <si>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</si>
  <si>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</si>
  <si>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</si>
  <si>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</si>
  <si>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</si>
  <si>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</si>
  <si>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</si>
  <si>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</si>
  <si>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</si>
  <si>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</si>
  <si>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</si>
  <si>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</si>
  <si>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</si>
  <si>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</si>
  <si>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</si>
  <si>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</si>
  <si>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</si>
  <si>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</si>
  <si>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</si>
  <si>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</si>
  <si>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</si>
  <si>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</si>
  <si>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</si>
  <si>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</si>
  <si>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</si>
  <si>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</si>
  <si>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</si>
  <si>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</si>
  <si>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</si>
  <si>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</si>
  <si>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</si>
  <si>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</si>
  <si>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</si>
  <si>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</si>
  <si>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</si>
  <si>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</si>
  <si>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</si>
  <si>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</si>
  <si>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</si>
  <si>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</si>
  <si>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</si>
  <si>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</si>
  <si>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</si>
  <si>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</si>
  <si>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</si>
  <si>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</si>
  <si>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</si>
  <si>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</si>
  <si>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</si>
  <si>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</si>
  <si>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</si>
  <si>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</si>
  <si>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</si>
  <si>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</si>
  <si>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</si>
  <si>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</si>
  <si>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</si>
  <si>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</si>
  <si>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</si>
  <si>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</si>
  <si>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</si>
  <si>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</si>
  <si>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</si>
  <si>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</si>
  <si>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</si>
  <si>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</si>
  <si>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</si>
  <si>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</si>
  <si>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</si>
  <si>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</si>
  <si>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</si>
  <si>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</si>
  <si>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</si>
  <si>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</si>
  <si>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</si>
  <si>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</si>
  <si>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</si>
  <si>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</si>
  <si>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</si>
  <si>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</si>
  <si>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</si>
  <si>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</si>
  <si>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</si>
  <si>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</si>
  <si>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</si>
  <si>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</si>
  <si>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</si>
  <si>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</si>
  <si>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</si>
  <si>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</si>
  <si>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</si>
  <si>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</si>
  <si>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</si>
  <si>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</si>
  <si>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</si>
  <si>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</si>
  <si>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</si>
  <si>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</si>
  <si>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</si>
  <si>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</si>
  <si>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</si>
  <si>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</si>
  <si>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</si>
  <si>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</si>
  <si>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</si>
  <si>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</si>
  <si>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</si>
  <si>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</si>
  <si>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</si>
  <si>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</si>
  <si>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</si>
  <si>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</si>
  <si>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</si>
  <si>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</si>
  <si>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</si>
  <si>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</si>
  <si>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</si>
  <si>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</si>
  <si>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</si>
  <si>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</si>
  <si>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</si>
  <si>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</si>
  <si>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</si>
  <si>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</si>
  <si>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</si>
  <si>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</si>
  <si>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</si>
  <si>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</si>
  <si>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</si>
  <si>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</si>
  <si>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</si>
  <si>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</si>
  <si>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</si>
  <si>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</si>
  <si>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</si>
  <si>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</si>
  <si>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</si>
  <si>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</si>
  <si>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</si>
  <si>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</si>
  <si>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</si>
  <si>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</si>
  <si>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</si>
  <si>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</si>
  <si>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</si>
  <si>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</si>
  <si>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</si>
  <si>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</si>
  <si>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</si>
  <si>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</si>
  <si>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</si>
  <si>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</si>
  <si>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</si>
  <si>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</si>
  <si>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</si>
  <si>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</si>
  <si>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</si>
  <si>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</si>
  <si>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</si>
  <si>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</si>
  <si>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</si>
  <si>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</si>
  <si>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</si>
  <si>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</si>
  <si>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</si>
  <si>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</si>
  <si>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</si>
  <si>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</si>
  <si>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</si>
  <si>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</si>
  <si>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</si>
  <si>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</si>
  <si>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</si>
  <si>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</si>
  <si>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</si>
  <si>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</si>
  <si>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</si>
  <si>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</si>
  <si>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</si>
  <si>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</si>
  <si>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</si>
  <si>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</si>
  <si>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</si>
  <si>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</si>
  <si>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</si>
  <si>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</si>
  <si>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</si>
  <si>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</si>
  <si>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</si>
  <si>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</si>
  <si>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</si>
  <si>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</si>
  <si>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</si>
  <si>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</si>
  <si>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</si>
  <si>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</si>
  <si>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</si>
  <si>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</si>
  <si>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</si>
  <si>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</si>
  <si>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</si>
  <si>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</si>
  <si>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</si>
  <si>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</si>
  <si>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</si>
  <si>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</si>
  <si>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</si>
  <si>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</si>
  <si>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</si>
  <si>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</si>
  <si>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</si>
  <si>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</si>
  <si>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</si>
  <si>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</si>
  <si>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</si>
  <si>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</si>
  <si>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</si>
  <si>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</si>
  <si>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</si>
  <si>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</si>
  <si>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</si>
  <si>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</si>
  <si>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</si>
  <si>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</si>
  <si>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</si>
  <si>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</si>
  <si>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</si>
  <si>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</si>
  <si>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</si>
  <si>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</si>
  <si>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</si>
  <si>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</si>
  <si>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</si>
  <si>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</si>
  <si>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</si>
  <si>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</si>
  <si>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</si>
  <si>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</si>
  <si>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</si>
  <si>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</si>
  <si>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</si>
  <si>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</si>
  <si>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</si>
  <si>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</si>
  <si>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</si>
  <si>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</si>
  <si>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</si>
  <si>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</si>
  <si>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</si>
  <si>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</si>
  <si>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</si>
  <si>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</si>
  <si>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</si>
  <si>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</si>
  <si>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</si>
  <si>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</si>
  <si>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</si>
  <si>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</si>
  <si>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</si>
  <si>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</si>
  <si>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</si>
  <si>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</si>
  <si>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</si>
  <si>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</si>
  <si>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</si>
  <si>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</si>
  <si>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</si>
  <si>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</si>
  <si>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</si>
  <si>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</si>
  <si>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</si>
  <si>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</si>
  <si>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</si>
  <si>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</si>
  <si>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</si>
  <si>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</si>
  <si>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</si>
  <si>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</si>
  <si>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</si>
  <si>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</si>
  <si>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</si>
  <si>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</si>
  <si>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</si>
  <si>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</si>
  <si>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</si>
  <si>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</si>
  <si>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</si>
  <si>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</si>
  <si>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</si>
  <si>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</si>
  <si>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</si>
  <si>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</si>
  <si>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</si>
  <si>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</si>
  <si>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</si>
  <si>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</si>
  <si>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</si>
  <si>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</si>
  <si>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</si>
  <si>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</si>
  <si>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</si>
  <si>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</si>
  <si>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</si>
  <si>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</si>
  <si>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</si>
  <si>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</si>
  <si>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</si>
  <si>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</si>
  <si>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</si>
  <si>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</si>
  <si>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</si>
  <si>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</si>
  <si>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</si>
  <si>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</si>
  <si>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</si>
  <si>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</si>
  <si>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</si>
  <si>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</si>
  <si>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</si>
  <si>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</si>
  <si>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</si>
  <si>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</si>
  <si>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</si>
  <si>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</si>
  <si>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</si>
  <si>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</si>
  <si>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</si>
  <si>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</si>
  <si>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</si>
  <si>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</si>
  <si>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</si>
  <si>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</si>
  <si>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</si>
  <si>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</si>
  <si>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</si>
  <si>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</si>
  <si>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</si>
  <si>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</si>
  <si>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</si>
  <si>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</si>
  <si>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</si>
  <si>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</si>
  <si>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</si>
  <si>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</si>
  <si>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</si>
  <si>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</si>
  <si>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</si>
  <si>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</si>
  <si>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</si>
  <si>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</si>
  <si>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</si>
  <si>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</si>
  <si>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</si>
  <si>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</si>
  <si>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</si>
  <si>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</si>
  <si>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</si>
  <si>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</si>
  <si>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</si>
  <si>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</si>
  <si>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</si>
  <si>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</si>
  <si>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</si>
  <si>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</si>
  <si>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</si>
  <si>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</si>
  <si>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</si>
  <si>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</si>
  <si>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</si>
  <si>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</si>
  <si>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</si>
  <si>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</si>
  <si>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</si>
  <si>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</si>
  <si>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</si>
  <si>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</si>
  <si>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</si>
  <si>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</si>
  <si>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</si>
  <si>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</si>
  <si>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</si>
  <si>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</si>
  <si>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</si>
  <si>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</si>
  <si>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</si>
  <si>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</si>
  <si>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</si>
  <si>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</si>
  <si>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</si>
  <si>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</si>
  <si>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</si>
  <si>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</si>
  <si>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</si>
  <si>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</si>
  <si>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</si>
  <si>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</si>
  <si>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</si>
  <si>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</si>
  <si>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</si>
  <si>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</si>
  <si>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</si>
  <si>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</si>
  <si>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</si>
  <si>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</si>
  <si>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</si>
  <si>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</si>
  <si>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</si>
  <si>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</si>
  <si>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</si>
  <si>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</si>
  <si>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</si>
  <si>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</si>
  <si>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</si>
  <si>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</si>
  <si>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</si>
  <si>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</si>
  <si>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</si>
  <si>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</si>
  <si>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</si>
  <si>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</si>
  <si>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</si>
  <si>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</si>
  <si>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</si>
  <si>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</si>
  <si>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</si>
  <si>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</si>
  <si>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</si>
  <si>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</si>
  <si>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</si>
  <si>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</si>
  <si>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</si>
  <si>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</si>
  <si>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</si>
  <si>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</si>
  <si>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</si>
  <si>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</si>
  <si>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</si>
  <si>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</si>
  <si>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</si>
  <si>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</si>
  <si>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</si>
  <si>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</si>
  <si>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</si>
  <si>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</si>
  <si>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</si>
  <si>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</si>
  <si>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</si>
  <si>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</si>
  <si>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</si>
  <si>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</si>
  <si>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</si>
  <si>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</si>
  <si>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</si>
  <si>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</si>
  <si>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</si>
  <si>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</si>
  <si>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</si>
  <si>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</si>
  <si>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</si>
  <si>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</si>
  <si>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</si>
  <si>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</si>
  <si>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</si>
  <si>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</si>
  <si>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</si>
  <si>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</si>
  <si>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</si>
  <si>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</si>
  <si>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</si>
  <si>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</si>
  <si>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</si>
  <si>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</si>
  <si>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</si>
  <si>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</si>
  <si>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</si>
  <si>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</si>
  <si>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</si>
  <si>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</si>
  <si>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</si>
  <si>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</si>
  <si>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</si>
  <si>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</si>
  <si>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</si>
  <si>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</si>
  <si>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</si>
  <si>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</si>
  <si>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</si>
  <si>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</si>
  <si>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</si>
  <si>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</si>
  <si>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</si>
  <si>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</si>
  <si>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</si>
  <si>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</si>
  <si>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</si>
  <si>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</si>
  <si>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</si>
  <si>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</si>
  <si>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</si>
  <si>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</si>
  <si>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</si>
  <si>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</si>
  <si>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</si>
  <si>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</si>
  <si>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</si>
  <si>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</si>
  <si>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</si>
  <si>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</si>
  <si>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</si>
  <si>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</si>
  <si>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</si>
  <si>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</si>
  <si>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</si>
  <si>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</si>
  <si>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</si>
  <si>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</si>
  <si>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</si>
  <si>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</si>
  <si>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</si>
  <si>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</si>
  <si>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</si>
  <si>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</si>
  <si>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</si>
  <si>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</si>
  <si>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</si>
  <si>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</si>
  <si>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</si>
  <si>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</si>
  <si>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</si>
  <si>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</si>
  <si>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</si>
  <si>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</si>
  <si>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</si>
  <si>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</si>
  <si>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</si>
  <si>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</si>
  <si>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</si>
  <si>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</si>
  <si>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</si>
  <si>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</si>
  <si>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</si>
  <si>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</si>
  <si>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</si>
  <si>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</si>
  <si>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</si>
  <si>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</si>
  <si>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</si>
  <si>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</si>
  <si>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</si>
  <si>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</si>
  <si>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</si>
  <si>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</si>
  <si>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</si>
  <si>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</si>
  <si>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</si>
  <si>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</si>
  <si>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</si>
  <si>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</si>
  <si>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</si>
  <si>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</si>
  <si>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</si>
  <si>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</si>
  <si>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</si>
  <si>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</si>
  <si>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</si>
  <si>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</si>
  <si>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</si>
  <si>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</si>
  <si>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</si>
  <si>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</si>
  <si>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</si>
  <si>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</si>
  <si>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</si>
  <si>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</si>
  <si>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</si>
  <si>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</si>
  <si>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</si>
  <si>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</si>
  <si>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</si>
  <si>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</si>
  <si>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</si>
  <si>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</si>
  <si>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</si>
  <si>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</si>
  <si>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</si>
  <si>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</si>
  <si>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</si>
  <si>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</si>
  <si>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</si>
  <si>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</si>
  <si>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</si>
  <si>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</si>
  <si>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</si>
  <si>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</si>
  <si>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</si>
  <si>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</si>
  <si>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</si>
  <si>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</si>
  <si>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</si>
  <si>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</si>
  <si>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</si>
  <si>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</si>
  <si>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</si>
  <si>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</si>
  <si>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</si>
  <si>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</si>
  <si>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</si>
  <si>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</si>
  <si>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</si>
  <si>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</si>
  <si>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</si>
  <si>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</si>
  <si>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</si>
  <si>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</si>
  <si>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</si>
  <si>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</si>
  <si>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</si>
  <si>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</si>
  <si>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</si>
  <si>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</si>
  <si>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</si>
  <si>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</si>
  <si>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</si>
  <si>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</si>
  <si>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</si>
  <si>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</si>
  <si>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</si>
  <si>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</si>
  <si>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</si>
  <si>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</si>
  <si>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</si>
  <si>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</si>
  <si>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</si>
  <si>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</si>
  <si>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</si>
  <si>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</si>
  <si>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</si>
  <si>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</si>
  <si>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</si>
  <si>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</si>
  <si>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</si>
  <si>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</si>
  <si>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</si>
  <si>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</si>
  <si>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</si>
  <si>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</si>
  <si>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</si>
  <si>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</si>
  <si>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</si>
  <si>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</si>
  <si>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</si>
  <si>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</si>
  <si>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</si>
  <si>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</si>
  <si>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</si>
  <si>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</si>
  <si>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</si>
  <si>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</si>
  <si>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</si>
  <si>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</si>
  <si>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</si>
  <si>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</si>
  <si>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</si>
  <si>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</si>
  <si>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</si>
  <si>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</si>
  <si>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</si>
  <si>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</si>
  <si>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</si>
  <si>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</si>
  <si>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</si>
  <si>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</si>
  <si>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</si>
  <si>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</si>
  <si>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</si>
  <si>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</si>
  <si>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</si>
  <si>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</si>
  <si>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</si>
  <si>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</si>
  <si>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</si>
  <si>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</si>
  <si>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</si>
  <si>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</si>
  <si>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</si>
  <si>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</si>
  <si>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</si>
  <si>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</si>
  <si>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</si>
  <si>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</si>
  <si>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</si>
  <si>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</si>
  <si>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</si>
  <si>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</si>
  <si>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</si>
  <si>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</si>
  <si>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</si>
  <si>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</si>
  <si>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</si>
  <si>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</si>
  <si>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</si>
  <si>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</si>
  <si>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</si>
  <si>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</si>
  <si>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</si>
  <si>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</si>
  <si>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</si>
  <si>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</si>
  <si>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</si>
  <si>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</si>
  <si>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</si>
  <si>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</si>
  <si>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</si>
  <si>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</si>
  <si>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</si>
  <si>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</si>
  <si>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</si>
  <si>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</si>
  <si>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</si>
  <si>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</si>
  <si>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</si>
  <si>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</si>
  <si>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</si>
  <si>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</si>
  <si>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</si>
  <si>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</si>
  <si>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</si>
  <si>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</si>
  <si>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</si>
  <si>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</si>
  <si>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</si>
  <si>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</si>
  <si>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</si>
  <si>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</si>
  <si>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</si>
  <si>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</si>
  <si>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</si>
  <si>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</si>
  <si>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</si>
  <si>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</si>
  <si>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</si>
  <si>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</si>
  <si>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</si>
  <si>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</si>
  <si>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</si>
  <si>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</si>
  <si>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</si>
  <si>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</si>
  <si>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</si>
  <si>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</si>
  <si>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</si>
  <si>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</si>
  <si>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</si>
  <si>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</si>
  <si>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</si>
  <si>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</si>
  <si>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</si>
  <si>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</si>
  <si>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</si>
  <si>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</si>
  <si>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</si>
  <si>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</si>
  <si>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</si>
  <si>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</si>
  <si>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</si>
  <si>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</si>
  <si>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</si>
  <si>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</si>
  <si>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</si>
  <si>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</si>
  <si>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</si>
  <si>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</si>
  <si>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</si>
  <si>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</si>
  <si>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</si>
  <si>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</si>
  <si>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</si>
  <si>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</si>
  <si>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</si>
  <si>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</si>
  <si>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</si>
  <si>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</si>
  <si>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</si>
  <si>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</si>
  <si>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</si>
  <si>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</si>
  <si>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</si>
  <si>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</si>
  <si>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</si>
  <si>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</si>
  <si>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</si>
  <si>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</si>
  <si>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</si>
  <si>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</si>
  <si>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</si>
  <si>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</si>
  <si>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</si>
  <si>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</si>
  <si>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</si>
  <si>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</si>
  <si>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</si>
  <si>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</si>
  <si>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</si>
  <si>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</si>
  <si>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</si>
  <si>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</si>
  <si>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</si>
  <si>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</si>
  <si>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</si>
  <si>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</si>
  <si>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</si>
  <si>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</si>
  <si>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</si>
  <si>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</si>
  <si>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</si>
  <si>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</si>
  <si>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</si>
  <si>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</si>
  <si>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</si>
  <si>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</si>
  <si>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</si>
  <si>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</si>
  <si>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</si>
  <si>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</si>
  <si>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</si>
  <si>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</si>
  <si>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</si>
  <si>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</si>
  <si>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</si>
  <si>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</si>
  <si>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</si>
  <si>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</si>
  <si>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</si>
  <si>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</si>
  <si>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</si>
  <si>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</si>
  <si>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</si>
  <si>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</si>
  <si>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</si>
  <si>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</si>
  <si>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</si>
  <si>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</si>
  <si>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</si>
  <si>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</si>
  <si>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</si>
  <si>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</si>
  <si>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</si>
  <si>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</si>
  <si>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</si>
  <si>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</si>
  <si>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</si>
  <si>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</si>
  <si>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</si>
  <si>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</si>
  <si>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</si>
  <si>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</si>
  <si>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</si>
  <si>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</si>
  <si>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</si>
  <si>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</si>
  <si>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</si>
  <si>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</si>
  <si>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</si>
  <si>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</si>
  <si>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</si>
  <si>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</si>
  <si>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</si>
  <si>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</si>
  <si>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</si>
  <si>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</si>
  <si>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</si>
  <si>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</si>
  <si>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</si>
  <si>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</si>
  <si>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</si>
  <si>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</si>
  <si>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</si>
  <si>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</si>
  <si>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</si>
  <si>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</si>
  <si>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</si>
  <si>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</si>
  <si>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</si>
  <si>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</si>
  <si>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</si>
  <si>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</si>
  <si>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</si>
  <si>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</si>
  <si>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</si>
  <si>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</si>
  <si>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</si>
  <si>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</si>
  <si>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</si>
  <si>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</si>
  <si>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</si>
  <si>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</si>
  <si>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</si>
  <si>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</si>
  <si>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</si>
  <si>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</si>
  <si>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</si>
  <si>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</si>
  <si>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</si>
  <si>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</si>
  <si>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</si>
  <si>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</si>
  <si>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</si>
  <si>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</si>
  <si>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</si>
  <si>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</si>
  <si>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</si>
  <si>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</si>
  <si>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</si>
  <si>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</si>
  <si>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</si>
  <si>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</si>
  <si>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</si>
  <si>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</si>
  <si>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</si>
  <si>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</si>
  <si>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</si>
  <si>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</si>
  <si>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</si>
  <si>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</si>
  <si>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</si>
  <si>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</si>
  <si>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</si>
  <si>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</si>
  <si>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</si>
  <si>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</si>
  <si>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</si>
  <si>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</si>
  <si>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</si>
  <si>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</si>
  <si>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</si>
  <si>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</si>
  <si>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</si>
  <si>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</si>
  <si>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</si>
  <si>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</si>
  <si>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</si>
  <si>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</si>
  <si>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</si>
  <si>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</si>
  <si>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</si>
  <si>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</si>
  <si>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</si>
  <si>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</si>
  <si>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</si>
  <si>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</si>
  <si>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</si>
  <si>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</si>
  <si>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</si>
  <si>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</si>
  <si>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</si>
  <si>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</si>
  <si>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</si>
  <si>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</si>
  <si>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</si>
  <si>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</si>
  <si>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</si>
  <si>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</si>
  <si>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</si>
  <si>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</si>
  <si>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</si>
  <si>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</si>
  <si>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</si>
  <si>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</si>
  <si>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</si>
  <si>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</si>
  <si>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</si>
  <si>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</si>
  <si>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</si>
  <si>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</si>
  <si>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</si>
  <si>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</si>
  <si>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</si>
  <si>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</si>
  <si>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</si>
  <si>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</si>
  <si>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</si>
  <si>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</si>
  <si>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面积</t>
    <phoneticPr fontId="134" type="noConversion"/>
  </si>
  <si>
    <t>成交价</t>
    <phoneticPr fontId="134" type="noConversion"/>
  </si>
  <si>
    <t>评估价</t>
    <phoneticPr fontId="134" type="noConversion"/>
  </si>
  <si>
    <t>地址</t>
    <phoneticPr fontId="134" type="noConversion"/>
  </si>
  <si>
    <t>成交单价</t>
    <phoneticPr fontId="134" type="noConversion"/>
  </si>
  <si>
    <t>评估单价</t>
    <phoneticPr fontId="134" type="noConversion"/>
  </si>
  <si>
    <t>朝阳区将台西路10号院3号楼5层501</t>
    <phoneticPr fontId="134" type="noConversion"/>
  </si>
  <si>
    <t>二拍</t>
    <phoneticPr fontId="134" type="noConversion"/>
  </si>
  <si>
    <t>朝阳区将台西路10号院3号楼4层401</t>
  </si>
  <si>
    <t>变卖流拍</t>
    <phoneticPr fontId="134" type="noConversion"/>
  </si>
  <si>
    <t>起拍价</t>
    <phoneticPr fontId="134" type="noConversion"/>
  </si>
  <si>
    <t>日期</t>
    <phoneticPr fontId="134" type="noConversion"/>
  </si>
  <si>
    <t>一拍</t>
    <phoneticPr fontId="134" type="noConversion"/>
  </si>
  <si>
    <t>朝阳区将台西路10号院3号楼17层1703</t>
    <phoneticPr fontId="134" type="noConversion"/>
  </si>
  <si>
    <t>二拍</t>
    <phoneticPr fontId="134" type="noConversion"/>
  </si>
  <si>
    <t>朝阳区将台西路10号院3号楼8层806</t>
    <phoneticPr fontId="134" type="noConversion"/>
  </si>
  <si>
    <t>朝阳区将台西路10号院1号楼7层701</t>
    <phoneticPr fontId="134" type="noConversion"/>
  </si>
  <si>
    <t>朝阳区将台西路10号院3号楼6层601</t>
    <phoneticPr fontId="134" type="noConversion"/>
  </si>
  <si>
    <t>朝阳区将台西路10号院2号楼3层305</t>
    <phoneticPr fontId="134" type="noConversion"/>
  </si>
  <si>
    <t>朝阳区将台西路10号院2号楼3层302</t>
    <phoneticPr fontId="134" type="noConversion"/>
  </si>
  <si>
    <t>朝阳区将台西路10号院2号楼3层305</t>
    <phoneticPr fontId="134" type="noConversion"/>
  </si>
  <si>
    <t>朝阳区将台西路10号院2号楼10层1006</t>
    <phoneticPr fontId="134" type="noConversion"/>
  </si>
  <si>
    <t>小区</t>
  </si>
  <si>
    <t>平米租金(元/㎡·月)</t>
  </si>
  <si>
    <t>丽都水岸1期</t>
  </si>
  <si>
    <t>丽都东方国际公寓</t>
  </si>
  <si>
    <t>丽都水岸B5区</t>
  </si>
  <si>
    <t/>
  </si>
  <si>
    <t>丽都水岸3期</t>
  </si>
  <si>
    <t>丽都东镇(商住楼)</t>
  </si>
  <si>
    <t>丽都职工宿舍</t>
  </si>
  <si>
    <t>丽都水岸2期</t>
  </si>
  <si>
    <t>丽都悦府</t>
  </si>
  <si>
    <t>丽都东镇(别墅)</t>
  </si>
  <si>
    <t>地上</t>
  </si>
  <si>
    <t>是</t>
  </si>
  <si>
    <t>否</t>
  </si>
  <si>
    <t>住宅</t>
    <phoneticPr fontId="7" type="noConversion"/>
  </si>
  <si>
    <t>企业</t>
  </si>
  <si>
    <t>北京市</t>
  </si>
  <si>
    <t>核定资产</t>
  </si>
  <si>
    <t>房地产市场价值</t>
  </si>
  <si>
    <t>西北</t>
    <phoneticPr fontId="134" type="noConversion"/>
  </si>
  <si>
    <r>
      <t>2</t>
    </r>
    <r>
      <rPr>
        <sz val="11"/>
        <color theme="1"/>
        <rFont val="宋体"/>
        <family val="3"/>
        <charset val="134"/>
        <scheme val="minor"/>
      </rPr>
      <t>/29</t>
    </r>
    <phoneticPr fontId="134" type="noConversion"/>
  </si>
  <si>
    <t>西北</t>
    <phoneticPr fontId="134" type="noConversion"/>
  </si>
  <si>
    <t>12/26</t>
    <phoneticPr fontId="134" type="noConversion"/>
  </si>
  <si>
    <t>南</t>
    <phoneticPr fontId="134" type="noConversion"/>
  </si>
  <si>
    <t>5/26</t>
    <phoneticPr fontId="134" type="noConversion"/>
  </si>
  <si>
    <t>12/23</t>
    <phoneticPr fontId="134" type="noConversion"/>
  </si>
  <si>
    <t>东南</t>
    <phoneticPr fontId="134" type="noConversion"/>
  </si>
  <si>
    <t>8/29</t>
    <phoneticPr fontId="134" type="noConversion"/>
  </si>
  <si>
    <t>9/23</t>
    <phoneticPr fontId="134" type="noConversion"/>
  </si>
  <si>
    <t>西南</t>
    <phoneticPr fontId="134" type="noConversion"/>
  </si>
  <si>
    <t>4/23</t>
    <phoneticPr fontId="134" type="noConversion"/>
  </si>
  <si>
    <t>11/23</t>
    <phoneticPr fontId="134" type="noConversion"/>
  </si>
  <si>
    <t>10/29</t>
    <phoneticPr fontId="134" type="noConversion"/>
  </si>
  <si>
    <t>北</t>
    <phoneticPr fontId="134" type="noConversion"/>
  </si>
  <si>
    <t>中</t>
    <phoneticPr fontId="134" type="noConversion"/>
  </si>
  <si>
    <t>西南</t>
    <phoneticPr fontId="134" type="noConversion"/>
  </si>
  <si>
    <t>西南</t>
    <phoneticPr fontId="134" type="noConversion"/>
  </si>
  <si>
    <t>低</t>
    <phoneticPr fontId="134" type="noConversion"/>
  </si>
  <si>
    <t>成新度</t>
  </si>
  <si>
    <t>收益法 (元)</t>
  </si>
  <si>
    <t>押一</t>
  </si>
  <si>
    <t>比较法-住宅</t>
  </si>
  <si>
    <t>单套模式</t>
  </si>
  <si>
    <t>售价</t>
  </si>
  <si>
    <t>A</t>
    <phoneticPr fontId="134" type="noConversion"/>
  </si>
  <si>
    <t>B</t>
    <phoneticPr fontId="134" type="noConversion"/>
  </si>
  <si>
    <t>C</t>
    <phoneticPr fontId="134" type="noConversion"/>
  </si>
  <si>
    <t>将台西路10号院2号楼17层1702</t>
    <phoneticPr fontId="3" type="noConversion"/>
  </si>
  <si>
    <t>丽都悦府</t>
    <phoneticPr fontId="3" type="noConversion"/>
  </si>
  <si>
    <t>好</t>
  </si>
  <si>
    <t>南北</t>
  </si>
  <si>
    <t>南北</t>
    <phoneticPr fontId="24" type="noConversion"/>
  </si>
  <si>
    <t>南北东</t>
    <phoneticPr fontId="24" type="noConversion"/>
  </si>
  <si>
    <t>南北西</t>
  </si>
  <si>
    <t>南北西</t>
    <phoneticPr fontId="24" type="noConversion"/>
  </si>
  <si>
    <t>西南</t>
    <phoneticPr fontId="24" type="noConversion"/>
  </si>
  <si>
    <t>东西</t>
  </si>
  <si>
    <t>东西</t>
    <phoneticPr fontId="24" type="noConversion"/>
  </si>
  <si>
    <t>东南</t>
    <phoneticPr fontId="24" type="noConversion"/>
  </si>
  <si>
    <t>楼层</t>
    <phoneticPr fontId="24" type="noConversion"/>
  </si>
  <si>
    <t>板楼</t>
  </si>
  <si>
    <t>板楼</t>
    <phoneticPr fontId="24" type="noConversion"/>
  </si>
  <si>
    <t>板塔结合</t>
  </si>
  <si>
    <t>板塔结合</t>
    <phoneticPr fontId="24" type="noConversion"/>
  </si>
  <si>
    <t>塔楼</t>
  </si>
  <si>
    <t>塔楼</t>
    <phoneticPr fontId="24" type="noConversion"/>
  </si>
  <si>
    <t>钢混</t>
  </si>
  <si>
    <t>钢混</t>
    <phoneticPr fontId="24" type="noConversion"/>
  </si>
  <si>
    <t>普通装修</t>
  </si>
  <si>
    <t>普通装修</t>
    <phoneticPr fontId="24" type="noConversion"/>
  </si>
  <si>
    <t>物业公司管理</t>
  </si>
  <si>
    <t>物业公司管理</t>
    <phoneticPr fontId="24" type="noConversion"/>
  </si>
  <si>
    <t>七通</t>
  </si>
  <si>
    <t>七通</t>
    <phoneticPr fontId="24" type="noConversion"/>
  </si>
  <si>
    <t>普通装修</t>
    <phoneticPr fontId="24" type="noConversion"/>
  </si>
  <si>
    <t>建成年代</t>
    <phoneticPr fontId="24" type="noConversion"/>
  </si>
  <si>
    <r>
      <t>2/23</t>
    </r>
    <r>
      <rPr>
        <sz val="11"/>
        <color indexed="8"/>
        <rFont val="宋体"/>
        <family val="3"/>
        <charset val="134"/>
      </rPr>
      <t>（低）</t>
    </r>
    <phoneticPr fontId="24" type="noConversion"/>
  </si>
  <si>
    <t>较好</t>
  </si>
  <si>
    <t>公寓</t>
  </si>
  <si>
    <t>公寓</t>
    <phoneticPr fontId="24" type="noConversion"/>
  </si>
  <si>
    <t>住宅</t>
    <phoneticPr fontId="24" type="noConversion"/>
  </si>
  <si>
    <t>内部装修维护情况</t>
  </si>
  <si>
    <t>正常</t>
  </si>
  <si>
    <r>
      <t>3/20</t>
    </r>
    <r>
      <rPr>
        <sz val="11"/>
        <color indexed="8"/>
        <rFont val="宋体"/>
        <family val="3"/>
        <charset val="134"/>
      </rPr>
      <t>（低）</t>
    </r>
    <phoneticPr fontId="24" type="noConversion"/>
  </si>
  <si>
    <r>
      <t>17/29</t>
    </r>
    <r>
      <rPr>
        <sz val="11"/>
        <color indexed="8"/>
        <rFont val="宋体"/>
        <family val="3"/>
        <charset val="134"/>
      </rPr>
      <t>（中）</t>
    </r>
    <phoneticPr fontId="24" type="noConversion"/>
  </si>
  <si>
    <r>
      <t>7/10</t>
    </r>
    <r>
      <rPr>
        <sz val="11"/>
        <color indexed="8"/>
        <rFont val="宋体"/>
        <family val="3"/>
        <charset val="134"/>
      </rPr>
      <t>（高）</t>
    </r>
    <phoneticPr fontId="24" type="noConversion"/>
  </si>
  <si>
    <t>西南</t>
    <phoneticPr fontId="24" type="noConversion"/>
  </si>
  <si>
    <t>西北</t>
    <phoneticPr fontId="24" type="noConversion"/>
  </si>
  <si>
    <t>房号</t>
    <phoneticPr fontId="134" type="noConversion"/>
  </si>
  <si>
    <t>朝向</t>
    <phoneticPr fontId="134" type="noConversion"/>
  </si>
  <si>
    <t>面积</t>
    <phoneticPr fontId="134" type="noConversion"/>
  </si>
  <si>
    <t>单价</t>
    <phoneticPr fontId="134" type="noConversion"/>
  </si>
  <si>
    <t>南北西</t>
    <phoneticPr fontId="134" type="noConversion"/>
  </si>
  <si>
    <t>南北东</t>
    <phoneticPr fontId="134" type="noConversion"/>
  </si>
  <si>
    <r>
      <t>B</t>
    </r>
    <r>
      <rPr>
        <sz val="11"/>
        <color theme="1"/>
        <rFont val="宋体"/>
        <family val="3"/>
        <charset val="134"/>
        <scheme val="minor"/>
      </rPr>
      <t>1</t>
    </r>
    <phoneticPr fontId="134" type="noConversion"/>
  </si>
  <si>
    <t>D</t>
    <phoneticPr fontId="134" type="noConversion"/>
  </si>
  <si>
    <r>
      <t>C</t>
    </r>
    <r>
      <rPr>
        <sz val="11"/>
        <color theme="1"/>
        <rFont val="宋体"/>
        <family val="3"/>
        <charset val="134"/>
        <scheme val="minor"/>
      </rPr>
      <t>1</t>
    </r>
    <phoneticPr fontId="134" type="noConversion"/>
  </si>
  <si>
    <r>
      <t>F</t>
    </r>
    <r>
      <rPr>
        <sz val="11"/>
        <color theme="1"/>
        <rFont val="宋体"/>
        <family val="3"/>
        <charset val="134"/>
        <scheme val="minor"/>
      </rPr>
      <t>1</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</si>
</sst>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yyyy&quot;年&quot;m&quot;月&quot;d&quot;日&quot;;@"/>
    <numFmt numFmtId="192" formatCode="0_ ;[Red]\-0\ "/>
    <numFmt numFmtId="193" formatCode="yyyy/m/d;@"/>
    <numFmt numFmtId="194" formatCode="0.0000_);[Red]\(0.0000\)"/>
    <numFmt numFmtId="195"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1" fontId="0" fillId="0" borderId="0">
      <alignment vertical="center"/>
    </xf>
    <xf numFmtId="191" fontId="95" fillId="0" borderId="0">
      <alignment vertical="center"/>
    </xf>
    <xf numFmtId="191" fontId="95" fillId="0" borderId="0"/>
    <xf numFmtId="191" fontId="95" fillId="0" borderId="0">
      <alignment vertical="center"/>
    </xf>
    <xf numFmtId="191" fontId="36" fillId="0" borderId="0"/>
    <xf numFmtId="191" fontId="95" fillId="0" borderId="0">
      <alignment vertical="center"/>
    </xf>
    <xf numFmtId="191" fontId="95" fillId="0" borderId="0"/>
    <xf numFmtId="191" fontId="95" fillId="0" borderId="0">
      <alignment vertical="center"/>
    </xf>
    <xf numFmtId="191" fontId="95" fillId="0" borderId="0">
      <alignment vertical="center"/>
    </xf>
    <xf numFmtId="191" fontId="2" fillId="0" borderId="0">
      <alignment vertical="center"/>
    </xf>
    <xf numFmtId="191" fontId="95" fillId="0" borderId="0">
      <alignment vertical="center"/>
    </xf>
    <xf numFmtId="191" fontId="1" fillId="0" borderId="0">
      <alignment vertical="center"/>
    </xf>
    <xf numFmtId="191" fontId="159" fillId="0" borderId="0"/>
    <xf numFmtId="191" fontId="1" fillId="0" borderId="0">
      <alignment vertical="center"/>
    </xf>
    <xf numFmtId="9" fontId="36" fillId="0" borderId="0" applyFont="0" applyFill="0" applyBorder="0" applyAlignment="0" applyProtection="0">
      <alignment vertical="center"/>
    </xf>
    <xf numFmtId="191" fontId="95" fillId="0" borderId="0">
      <alignment vertical="center"/>
    </xf>
    <xf numFmtId="191"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3835">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pplyBorder="1" applyAlignment="1" applyProtection="1">
      <alignment vertical="center"/>
    </xf>
    <xf numFmtId="191" fontId="98" fillId="6" borderId="0" xfId="0" applyFont="1" applyFill="1" applyAlignment="1" applyProtection="1">
      <alignment horizontal="center" vertical="center"/>
    </xf>
    <xf numFmtId="191" fontId="98" fillId="6" borderId="0" xfId="0" applyFont="1" applyFill="1" applyProtection="1">
      <alignment vertical="center"/>
    </xf>
    <xf numFmtId="191" fontId="46" fillId="6" borderId="5" xfId="0" applyFont="1" applyFill="1" applyBorder="1" applyAlignment="1" applyProtection="1">
      <alignment vertical="center"/>
    </xf>
    <xf numFmtId="191" fontId="44" fillId="0" borderId="1" xfId="0" applyFont="1" applyBorder="1" applyAlignment="1" applyProtection="1">
      <alignment horizontal="center" vertical="center" wrapText="1"/>
      <protection locked="0"/>
    </xf>
    <xf numFmtId="191" fontId="44" fillId="0" borderId="1" xfId="0" applyFont="1" applyBorder="1" applyAlignment="1" applyProtection="1">
      <alignment vertical="center" wrapText="1"/>
      <protection locked="0"/>
    </xf>
    <xf numFmtId="191" fontId="47" fillId="6" borderId="1" xfId="0" applyFont="1" applyFill="1" applyBorder="1" applyAlignment="1" applyProtection="1">
      <alignment horizontal="center" vertical="center" wrapText="1"/>
    </xf>
    <xf numFmtId="191"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1"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1"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1" fontId="47" fillId="6" borderId="13" xfId="0" applyFont="1" applyFill="1" applyBorder="1" applyAlignment="1" applyProtection="1">
      <alignment horizontal="center" vertical="center" wrapText="1"/>
    </xf>
    <xf numFmtId="191" fontId="47" fillId="6" borderId="1" xfId="0" applyFont="1" applyFill="1" applyBorder="1" applyAlignment="1" applyProtection="1">
      <alignment horizontal="center" vertical="center"/>
    </xf>
    <xf numFmtId="191" fontId="47" fillId="6" borderId="13" xfId="0" applyFont="1" applyFill="1" applyBorder="1" applyAlignment="1" applyProtection="1">
      <alignment horizontal="center" vertical="center"/>
    </xf>
    <xf numFmtId="191" fontId="47" fillId="6" borderId="48" xfId="0" applyFont="1" applyFill="1" applyBorder="1" applyAlignment="1" applyProtection="1">
      <alignment horizontal="center" vertical="center"/>
    </xf>
    <xf numFmtId="191" fontId="47" fillId="0" borderId="0" xfId="0" applyFont="1" applyAlignment="1" applyProtection="1">
      <alignment horizontal="center" vertical="center"/>
      <protection locked="0"/>
    </xf>
    <xf numFmtId="191" fontId="47" fillId="6" borderId="35" xfId="0" applyFont="1" applyFill="1" applyBorder="1" applyAlignment="1" applyProtection="1">
      <alignment horizontal="center" vertical="center"/>
    </xf>
    <xf numFmtId="191" fontId="47" fillId="6" borderId="2" xfId="0" applyFont="1" applyFill="1" applyBorder="1" applyAlignment="1" applyProtection="1">
      <alignment horizontal="center" vertical="center"/>
    </xf>
    <xf numFmtId="191" fontId="47" fillId="6" borderId="2" xfId="0" applyFont="1" applyFill="1" applyBorder="1" applyAlignment="1" applyProtection="1">
      <alignment horizontal="center" vertical="center" wrapText="1"/>
    </xf>
    <xf numFmtId="191"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1"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1"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1" fontId="44" fillId="0" borderId="0" xfId="0" applyFont="1" applyFill="1" applyBorder="1" applyAlignment="1" applyProtection="1">
      <alignment horizontal="center" vertical="center" wrapText="1"/>
      <protection locked="0"/>
    </xf>
    <xf numFmtId="191" fontId="46" fillId="6" borderId="13" xfId="0" applyFont="1" applyFill="1" applyBorder="1" applyAlignment="1" applyProtection="1">
      <alignment vertical="center"/>
    </xf>
    <xf numFmtId="191" fontId="44" fillId="6" borderId="11" xfId="0" applyFont="1" applyFill="1" applyBorder="1" applyAlignment="1" applyProtection="1">
      <alignment vertical="center"/>
    </xf>
    <xf numFmtId="191"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191" fontId="44" fillId="6" borderId="13" xfId="0" applyFont="1" applyFill="1" applyBorder="1" applyAlignment="1" applyProtection="1">
      <alignment vertical="center"/>
    </xf>
    <xf numFmtId="191" fontId="44" fillId="6" borderId="24" xfId="0" applyFont="1" applyFill="1" applyBorder="1" applyAlignment="1" applyProtection="1">
      <alignment vertical="center"/>
    </xf>
    <xf numFmtId="191" fontId="44" fillId="0" borderId="24" xfId="0" applyFont="1" applyFill="1" applyBorder="1" applyAlignment="1" applyProtection="1">
      <alignment vertical="center"/>
      <protection locked="0"/>
    </xf>
    <xf numFmtId="191"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191"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191"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191" fontId="44" fillId="6" borderId="3" xfId="0" applyFont="1" applyFill="1" applyBorder="1" applyProtection="1">
      <alignment vertical="center"/>
    </xf>
    <xf numFmtId="191" fontId="44" fillId="6" borderId="48" xfId="0" applyFont="1" applyFill="1" applyBorder="1" applyProtection="1">
      <alignment vertical="center"/>
    </xf>
    <xf numFmtId="191" fontId="44" fillId="6" borderId="22" xfId="0" applyFont="1" applyFill="1" applyBorder="1" applyProtection="1">
      <alignment vertical="center"/>
    </xf>
    <xf numFmtId="191" fontId="44" fillId="6" borderId="61" xfId="0" applyFont="1" applyFill="1" applyBorder="1" applyProtection="1">
      <alignment vertical="center"/>
    </xf>
    <xf numFmtId="191" fontId="46" fillId="6" borderId="27" xfId="0" applyFont="1" applyFill="1" applyBorder="1" applyAlignment="1" applyProtection="1">
      <alignment vertical="center" wrapText="1"/>
    </xf>
    <xf numFmtId="191" fontId="44" fillId="6" borderId="29" xfId="0" applyFont="1" applyFill="1" applyBorder="1" applyAlignment="1" applyProtection="1">
      <alignment horizontal="center" vertical="center" wrapText="1"/>
    </xf>
    <xf numFmtId="191" fontId="44" fillId="6" borderId="10" xfId="0" applyFont="1" applyFill="1" applyBorder="1" applyAlignment="1" applyProtection="1">
      <alignment horizontal="center" vertical="center" wrapText="1"/>
    </xf>
    <xf numFmtId="191"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191" fontId="44" fillId="6" borderId="1" xfId="1" applyNumberFormat="1" applyFont="1" applyFill="1" applyBorder="1" applyAlignment="1" applyProtection="1">
      <alignment horizontal="center" vertical="center"/>
    </xf>
    <xf numFmtId="191"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91"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91" fontId="44" fillId="0" borderId="23" xfId="0" applyFont="1" applyBorder="1" applyAlignment="1" applyProtection="1">
      <alignment horizontal="center" vertical="center"/>
      <protection locked="0"/>
    </xf>
    <xf numFmtId="191" fontId="44" fillId="0" borderId="24" xfId="0" applyFont="1" applyBorder="1" applyAlignment="1" applyProtection="1">
      <alignment horizontal="center" vertical="center"/>
      <protection locked="0"/>
    </xf>
    <xf numFmtId="191" fontId="44" fillId="5" borderId="3" xfId="0" applyFont="1" applyFill="1" applyBorder="1" applyAlignment="1" applyProtection="1">
      <alignment horizontal="center" vertical="center"/>
      <protection locked="0"/>
    </xf>
    <xf numFmtId="191"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191"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191" fontId="46" fillId="6" borderId="32" xfId="1" applyFont="1" applyFill="1" applyBorder="1" applyAlignment="1" applyProtection="1">
      <alignment vertical="center"/>
    </xf>
    <xf numFmtId="191"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191"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191"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191" fontId="44" fillId="6" borderId="68" xfId="1" applyNumberFormat="1" applyFont="1" applyFill="1" applyBorder="1" applyAlignment="1" applyProtection="1">
      <alignment horizontal="center" vertical="center"/>
    </xf>
    <xf numFmtId="191" fontId="44" fillId="6" borderId="25" xfId="0" applyFont="1" applyFill="1" applyBorder="1" applyAlignment="1" applyProtection="1">
      <alignment vertical="center"/>
    </xf>
    <xf numFmtId="191" fontId="44" fillId="6" borderId="32" xfId="0" applyFont="1" applyFill="1" applyBorder="1" applyAlignment="1" applyProtection="1">
      <alignment vertical="center"/>
    </xf>
    <xf numFmtId="191" fontId="44" fillId="6" borderId="49" xfId="0" applyFont="1" applyFill="1" applyBorder="1" applyAlignment="1" applyProtection="1">
      <alignment vertical="center"/>
    </xf>
    <xf numFmtId="191" fontId="44" fillId="6" borderId="66" xfId="0" applyFont="1" applyFill="1" applyBorder="1" applyAlignment="1" applyProtection="1">
      <alignment vertical="center"/>
    </xf>
    <xf numFmtId="191"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191" fontId="53" fillId="0" borderId="10" xfId="1" applyNumberFormat="1" applyFont="1" applyFill="1" applyBorder="1" applyAlignment="1" applyProtection="1">
      <alignment horizontal="center" vertical="center"/>
      <protection locked="0"/>
    </xf>
    <xf numFmtId="191" fontId="44" fillId="0" borderId="0" xfId="0" applyFont="1" applyFill="1" applyAlignment="1" applyProtection="1">
      <alignment horizontal="center" vertical="center"/>
      <protection locked="0"/>
    </xf>
    <xf numFmtId="191" fontId="47" fillId="0" borderId="0" xfId="0" applyFont="1" applyFill="1" applyAlignment="1" applyProtection="1">
      <alignment horizontal="center" vertical="center"/>
      <protection locked="0"/>
    </xf>
    <xf numFmtId="191" fontId="53" fillId="0" borderId="24" xfId="1" applyNumberFormat="1" applyFont="1" applyFill="1" applyBorder="1" applyAlignment="1" applyProtection="1">
      <alignment horizontal="center" vertical="center"/>
      <protection locked="0"/>
    </xf>
    <xf numFmtId="191" fontId="51" fillId="6" borderId="24" xfId="1" applyNumberFormat="1" applyFont="1" applyFill="1" applyBorder="1" applyAlignment="1" applyProtection="1">
      <alignment horizontal="center" vertical="center"/>
    </xf>
    <xf numFmtId="191"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191" fontId="44" fillId="0" borderId="49" xfId="0" applyFont="1" applyBorder="1" applyAlignment="1" applyProtection="1">
      <alignment vertical="center"/>
      <protection locked="0"/>
    </xf>
    <xf numFmtId="191" fontId="44" fillId="6" borderId="10" xfId="0" applyNumberFormat="1" applyFont="1" applyFill="1" applyBorder="1" applyAlignment="1" applyProtection="1">
      <alignment horizontal="center" vertical="center" wrapText="1"/>
    </xf>
    <xf numFmtId="191" fontId="44" fillId="6" borderId="24" xfId="0" applyNumberFormat="1" applyFont="1" applyFill="1" applyBorder="1" applyAlignment="1" applyProtection="1">
      <alignment horizontal="center" vertical="center" wrapText="1"/>
    </xf>
    <xf numFmtId="191" fontId="44" fillId="6" borderId="49" xfId="0" applyNumberFormat="1" applyFont="1" applyFill="1" applyBorder="1" applyAlignment="1" applyProtection="1">
      <alignment horizontal="center" vertical="center" wrapText="1"/>
    </xf>
    <xf numFmtId="191" fontId="47" fillId="6" borderId="0" xfId="0" applyFont="1" applyFill="1" applyProtection="1">
      <alignment vertical="center"/>
      <protection locked="0"/>
    </xf>
    <xf numFmtId="191" fontId="47" fillId="0" borderId="0" xfId="0" applyFont="1" applyProtection="1">
      <alignment vertical="center"/>
      <protection locked="0"/>
    </xf>
    <xf numFmtId="191" fontId="47" fillId="6" borderId="5" xfId="0" applyFont="1" applyFill="1" applyBorder="1" applyAlignment="1" applyProtection="1">
      <alignment vertical="center"/>
    </xf>
    <xf numFmtId="191"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191" fontId="98" fillId="6" borderId="9" xfId="0" applyFont="1" applyFill="1" applyBorder="1" applyAlignment="1" applyProtection="1">
      <alignment horizontal="center" vertical="center"/>
    </xf>
    <xf numFmtId="191" fontId="98" fillId="6" borderId="10" xfId="0" applyFont="1" applyFill="1" applyBorder="1" applyAlignment="1" applyProtection="1">
      <alignment horizontal="center" vertical="center"/>
    </xf>
    <xf numFmtId="191" fontId="44" fillId="6" borderId="28" xfId="0" applyFont="1" applyFill="1" applyBorder="1" applyAlignment="1" applyProtection="1">
      <alignment horizontal="right" vertical="center"/>
    </xf>
    <xf numFmtId="191" fontId="98" fillId="6" borderId="1" xfId="0" applyFont="1" applyFill="1" applyBorder="1" applyAlignment="1" applyProtection="1">
      <alignment horizontal="center" vertical="center"/>
    </xf>
    <xf numFmtId="191" fontId="98" fillId="6" borderId="24" xfId="0" applyFont="1" applyFill="1" applyBorder="1" applyAlignment="1" applyProtection="1">
      <alignment horizontal="center" vertical="center"/>
    </xf>
    <xf numFmtId="191" fontId="44" fillId="6" borderId="5" xfId="0" applyFont="1" applyFill="1" applyBorder="1" applyAlignment="1" applyProtection="1">
      <alignment horizontal="right" vertical="center"/>
    </xf>
    <xf numFmtId="191" fontId="44" fillId="6" borderId="33" xfId="0" applyFont="1" applyFill="1" applyBorder="1" applyAlignment="1" applyProtection="1">
      <alignment horizontal="right" vertical="center"/>
    </xf>
    <xf numFmtId="191" fontId="44" fillId="6" borderId="4" xfId="0" applyFont="1" applyFill="1" applyBorder="1" applyAlignment="1" applyProtection="1">
      <alignment horizontal="right" vertical="center"/>
    </xf>
    <xf numFmtId="191" fontId="100" fillId="0" borderId="1" xfId="0" applyFont="1" applyFill="1" applyBorder="1" applyAlignment="1" applyProtection="1">
      <alignment horizontal="center" vertical="center"/>
      <protection locked="0"/>
    </xf>
    <xf numFmtId="191" fontId="100" fillId="0" borderId="24" xfId="0" applyFont="1" applyFill="1" applyBorder="1" applyAlignment="1" applyProtection="1">
      <alignment horizontal="center" vertical="center"/>
      <protection locked="0"/>
    </xf>
    <xf numFmtId="191" fontId="44" fillId="6" borderId="29" xfId="0" applyFont="1" applyFill="1" applyBorder="1" applyAlignment="1" applyProtection="1">
      <alignment horizontal="center" vertical="center"/>
    </xf>
    <xf numFmtId="191" fontId="46" fillId="0" borderId="10" xfId="0" applyFont="1" applyFill="1" applyBorder="1" applyAlignment="1" applyProtection="1">
      <alignment horizontal="center" vertical="center"/>
      <protection locked="0"/>
    </xf>
    <xf numFmtId="191" fontId="47" fillId="6" borderId="1" xfId="0" applyFont="1" applyFill="1" applyBorder="1" applyProtection="1">
      <alignment vertical="center"/>
    </xf>
    <xf numFmtId="191" fontId="46" fillId="0" borderId="24" xfId="0" applyFont="1" applyFill="1" applyBorder="1" applyAlignment="1" applyProtection="1">
      <alignment horizontal="center" vertical="center"/>
      <protection locked="0"/>
    </xf>
    <xf numFmtId="191" fontId="46" fillId="6" borderId="4" xfId="0" applyFont="1" applyFill="1" applyBorder="1" applyAlignment="1" applyProtection="1">
      <alignment horizontal="center" vertical="center"/>
    </xf>
    <xf numFmtId="191" fontId="47" fillId="0" borderId="23" xfId="0" applyFont="1" applyBorder="1" applyProtection="1">
      <alignment vertical="center"/>
      <protection locked="0"/>
    </xf>
    <xf numFmtId="191" fontId="47" fillId="0" borderId="1" xfId="0" applyFont="1" applyBorder="1" applyProtection="1">
      <alignment vertical="center"/>
      <protection locked="0"/>
    </xf>
    <xf numFmtId="191" fontId="47" fillId="0" borderId="24" xfId="0" applyFont="1" applyFill="1" applyBorder="1" applyAlignment="1" applyProtection="1">
      <alignment horizontal="center" vertical="center"/>
      <protection locked="0"/>
    </xf>
    <xf numFmtId="191" fontId="47" fillId="0" borderId="25" xfId="0" applyFont="1" applyBorder="1" applyProtection="1">
      <alignment vertical="center"/>
      <protection locked="0"/>
    </xf>
    <xf numFmtId="191" fontId="47" fillId="0" borderId="32" xfId="0" applyFont="1" applyBorder="1" applyProtection="1">
      <alignment vertical="center"/>
      <protection locked="0"/>
    </xf>
    <xf numFmtId="191" fontId="47" fillId="0" borderId="49" xfId="0" applyFont="1" applyBorder="1" applyProtection="1">
      <alignment vertical="center"/>
      <protection locked="0"/>
    </xf>
    <xf numFmtId="191" fontId="47" fillId="6" borderId="13" xfId="0" applyFont="1" applyFill="1" applyBorder="1" applyAlignment="1" applyProtection="1">
      <alignment vertical="center"/>
    </xf>
    <xf numFmtId="191"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191" fontId="47" fillId="6" borderId="22" xfId="0" applyFont="1" applyFill="1" applyBorder="1" applyProtection="1">
      <alignment vertical="center"/>
    </xf>
    <xf numFmtId="191" fontId="47" fillId="6" borderId="0" xfId="0" applyFont="1" applyFill="1" applyAlignment="1" applyProtection="1">
      <alignment horizontal="center" vertical="center"/>
      <protection locked="0"/>
    </xf>
    <xf numFmtId="191" fontId="52" fillId="6" borderId="18" xfId="0" applyFont="1" applyFill="1" applyBorder="1" applyAlignment="1" applyProtection="1">
      <alignment horizontal="left" vertical="center" wrapText="1"/>
    </xf>
    <xf numFmtId="191" fontId="52" fillId="6" borderId="60" xfId="0" applyFont="1" applyFill="1" applyBorder="1" applyAlignment="1" applyProtection="1">
      <alignment horizontal="left" vertical="center" wrapText="1"/>
    </xf>
    <xf numFmtId="191" fontId="52" fillId="6" borderId="7" xfId="0" applyFont="1" applyFill="1" applyBorder="1" applyAlignment="1" applyProtection="1">
      <alignment horizontal="left" vertical="center" wrapText="1"/>
    </xf>
    <xf numFmtId="191" fontId="52" fillId="6" borderId="1" xfId="0" applyFont="1" applyFill="1" applyBorder="1" applyAlignment="1" applyProtection="1">
      <alignment horizontal="left" vertical="center" wrapText="1"/>
    </xf>
    <xf numFmtId="191"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191" fontId="47" fillId="6" borderId="10" xfId="0" applyFont="1" applyFill="1" applyBorder="1" applyAlignment="1" applyProtection="1">
      <alignment horizontal="left" vertical="center" wrapText="1"/>
    </xf>
    <xf numFmtId="191" fontId="54" fillId="6" borderId="2" xfId="0" applyFont="1" applyFill="1" applyBorder="1" applyAlignment="1" applyProtection="1">
      <alignment horizontal="left" vertical="center" wrapText="1"/>
    </xf>
    <xf numFmtId="191"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191" fontId="53" fillId="6" borderId="1" xfId="0" applyFont="1" applyFill="1" applyBorder="1" applyAlignment="1" applyProtection="1">
      <alignment horizontal="left" vertical="center" wrapText="1"/>
    </xf>
    <xf numFmtId="191" fontId="53" fillId="6" borderId="1" xfId="0" applyFont="1" applyFill="1" applyBorder="1" applyAlignment="1" applyProtection="1">
      <alignment horizontal="center" vertical="center" wrapText="1"/>
    </xf>
    <xf numFmtId="191"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191" fontId="54" fillId="6" borderId="1" xfId="0" applyFont="1" applyFill="1" applyBorder="1" applyAlignment="1" applyProtection="1">
      <alignment horizontal="left" vertical="center" wrapText="1"/>
    </xf>
    <xf numFmtId="191"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191" fontId="54" fillId="6" borderId="32" xfId="0" applyFont="1" applyFill="1" applyBorder="1" applyAlignment="1" applyProtection="1">
      <alignment horizontal="left" vertical="center" wrapText="1"/>
    </xf>
    <xf numFmtId="191" fontId="47" fillId="6" borderId="49" xfId="0" applyFont="1" applyFill="1" applyBorder="1" applyAlignment="1" applyProtection="1">
      <alignment horizontal="left" vertical="center"/>
    </xf>
    <xf numFmtId="191" fontId="47" fillId="6" borderId="28" xfId="0" applyFont="1" applyFill="1" applyBorder="1" applyAlignment="1" applyProtection="1">
      <alignment horizontal="left" vertical="center" wrapText="1"/>
    </xf>
    <xf numFmtId="191" fontId="47" fillId="6" borderId="20" xfId="0" applyFont="1" applyFill="1" applyBorder="1" applyAlignment="1" applyProtection="1">
      <alignment horizontal="left" vertical="center" wrapText="1"/>
    </xf>
    <xf numFmtId="191" fontId="44" fillId="6" borderId="21" xfId="2" applyFont="1" applyFill="1" applyBorder="1" applyAlignment="1" applyProtection="1">
      <alignment horizontal="left" vertical="center" wrapText="1"/>
    </xf>
    <xf numFmtId="191" fontId="44" fillId="6" borderId="48" xfId="2" applyFont="1" applyFill="1" applyBorder="1" applyAlignment="1" applyProtection="1">
      <alignment horizontal="left" vertical="center" wrapText="1"/>
    </xf>
    <xf numFmtId="191" fontId="53" fillId="0" borderId="1" xfId="0" applyFont="1" applyFill="1" applyBorder="1" applyAlignment="1" applyProtection="1">
      <alignment horizontal="center" vertical="center" wrapText="1"/>
      <protection locked="0"/>
    </xf>
    <xf numFmtId="191" fontId="44" fillId="6" borderId="1" xfId="2" applyFont="1" applyFill="1" applyBorder="1" applyAlignment="1" applyProtection="1">
      <alignment horizontal="left" vertical="center" wrapText="1"/>
    </xf>
    <xf numFmtId="191" fontId="53" fillId="6" borderId="2" xfId="0" applyFont="1" applyFill="1" applyBorder="1" applyAlignment="1" applyProtection="1">
      <alignment horizontal="left" vertical="center" wrapText="1"/>
    </xf>
    <xf numFmtId="191" fontId="44" fillId="6" borderId="54" xfId="0" applyFont="1" applyFill="1" applyBorder="1" applyAlignment="1" applyProtection="1">
      <alignment horizontal="left" vertical="center"/>
    </xf>
    <xf numFmtId="191" fontId="53" fillId="6" borderId="32" xfId="0" applyFont="1" applyFill="1" applyBorder="1" applyAlignment="1" applyProtection="1">
      <alignment horizontal="center" vertical="center" wrapText="1"/>
    </xf>
    <xf numFmtId="191" fontId="47" fillId="6" borderId="33" xfId="0" applyFont="1" applyFill="1" applyBorder="1" applyAlignment="1" applyProtection="1">
      <alignment horizontal="left" vertical="center"/>
    </xf>
    <xf numFmtId="191" fontId="47" fillId="6" borderId="52" xfId="0" applyFont="1" applyFill="1" applyBorder="1" applyAlignment="1" applyProtection="1">
      <alignment horizontal="left" vertical="center" wrapText="1"/>
    </xf>
    <xf numFmtId="191" fontId="44" fillId="6" borderId="68" xfId="2" applyFont="1" applyFill="1" applyBorder="1" applyAlignment="1" applyProtection="1">
      <alignment horizontal="left" vertical="center" wrapText="1"/>
    </xf>
    <xf numFmtId="191" fontId="47" fillId="6" borderId="21" xfId="2" applyFont="1" applyFill="1" applyBorder="1" applyAlignment="1" applyProtection="1">
      <alignment horizontal="left" vertical="center" wrapText="1"/>
    </xf>
    <xf numFmtId="191"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191" fontId="55" fillId="6" borderId="0" xfId="0" applyFont="1" applyFill="1" applyBorder="1" applyAlignment="1" applyProtection="1">
      <alignment horizontal="left" vertical="center"/>
    </xf>
    <xf numFmtId="191" fontId="47" fillId="6" borderId="68" xfId="2" applyFont="1" applyFill="1" applyBorder="1" applyAlignment="1" applyProtection="1">
      <alignment horizontal="left" vertical="center" wrapText="1"/>
    </xf>
    <xf numFmtId="191" fontId="101" fillId="6" borderId="51" xfId="1" applyFont="1" applyFill="1" applyBorder="1" applyAlignment="1" applyProtection="1">
      <alignment vertical="center"/>
    </xf>
    <xf numFmtId="191" fontId="57" fillId="6" borderId="20" xfId="1" applyFont="1" applyFill="1" applyBorder="1" applyAlignment="1" applyProtection="1">
      <alignment vertical="center"/>
    </xf>
    <xf numFmtId="191" fontId="57" fillId="6" borderId="19" xfId="1" applyFont="1" applyFill="1" applyBorder="1" applyAlignment="1" applyProtection="1">
      <alignment vertical="center"/>
    </xf>
    <xf numFmtId="191" fontId="57" fillId="6" borderId="0" xfId="1" applyFont="1" applyFill="1" applyBorder="1" applyAlignment="1" applyProtection="1">
      <alignment vertical="center"/>
    </xf>
    <xf numFmtId="191" fontId="58" fillId="3" borderId="0" xfId="0" applyFont="1" applyFill="1" applyAlignment="1" applyProtection="1">
      <alignment vertical="center"/>
      <protection locked="0"/>
    </xf>
    <xf numFmtId="191"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1" fontId="57" fillId="6" borderId="13" xfId="1" applyFont="1" applyFill="1" applyBorder="1" applyAlignment="1" applyProtection="1">
      <alignment vertical="center"/>
    </xf>
    <xf numFmtId="191"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1" fontId="57" fillId="3" borderId="0" xfId="0" applyFont="1" applyFill="1" applyAlignment="1" applyProtection="1">
      <alignment vertical="center"/>
      <protection locked="0"/>
    </xf>
    <xf numFmtId="191" fontId="54" fillId="6" borderId="23" xfId="1" applyFont="1" applyFill="1" applyBorder="1" applyAlignment="1" applyProtection="1">
      <alignment horizontal="left"/>
    </xf>
    <xf numFmtId="191"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1" fontId="54" fillId="6" borderId="1" xfId="1" applyFont="1" applyFill="1" applyBorder="1" applyAlignment="1" applyProtection="1">
      <alignment horizontal="center"/>
    </xf>
    <xf numFmtId="191" fontId="54" fillId="6" borderId="24" xfId="1" applyFont="1" applyFill="1" applyBorder="1" applyAlignment="1" applyProtection="1">
      <alignment horizontal="left"/>
    </xf>
    <xf numFmtId="191" fontId="54" fillId="3" borderId="0" xfId="0" applyFont="1" applyFill="1" applyAlignment="1" applyProtection="1">
      <alignment vertical="center"/>
      <protection locked="0"/>
    </xf>
    <xf numFmtId="191"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1" fontId="53" fillId="6" borderId="1" xfId="1" applyFont="1" applyFill="1" applyBorder="1" applyAlignment="1" applyProtection="1">
      <alignment horizontal="center"/>
    </xf>
    <xf numFmtId="191"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1" fontId="54" fillId="0" borderId="0" xfId="0" applyFont="1" applyFill="1" applyAlignment="1" applyProtection="1">
      <alignment vertical="center"/>
      <protection locked="0"/>
    </xf>
    <xf numFmtId="191"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1" fontId="53" fillId="6" borderId="24" xfId="1" applyFont="1" applyFill="1" applyBorder="1" applyAlignment="1" applyProtection="1">
      <alignment vertical="center" wrapText="1"/>
    </xf>
    <xf numFmtId="191" fontId="53" fillId="6" borderId="23" xfId="1" applyFont="1" applyFill="1" applyBorder="1" applyAlignment="1" applyProtection="1">
      <alignment horizontal="left"/>
    </xf>
    <xf numFmtId="191" fontId="53" fillId="6" borderId="0" xfId="1" applyFont="1" applyFill="1" applyBorder="1" applyAlignment="1" applyProtection="1">
      <alignment horizontal="center"/>
    </xf>
    <xf numFmtId="191"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1"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1" fontId="54" fillId="6" borderId="24" xfId="0" applyFont="1" applyFill="1" applyBorder="1" applyAlignment="1" applyProtection="1">
      <alignment vertical="center"/>
    </xf>
    <xf numFmtId="191" fontId="54" fillId="6" borderId="1" xfId="0" applyFont="1" applyFill="1" applyBorder="1" applyAlignment="1" applyProtection="1">
      <alignment horizontal="right" vertical="center"/>
    </xf>
    <xf numFmtId="191"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1"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1" fontId="53" fillId="6" borderId="24" xfId="0" applyFont="1" applyFill="1" applyBorder="1" applyAlignment="1" applyProtection="1">
      <alignment vertical="center"/>
    </xf>
    <xf numFmtId="191" fontId="54" fillId="6" borderId="1" xfId="0" applyFont="1" applyFill="1" applyBorder="1" applyAlignment="1" applyProtection="1">
      <alignment vertical="center"/>
    </xf>
    <xf numFmtId="191" fontId="53" fillId="6" borderId="61" xfId="0" applyFont="1" applyFill="1" applyBorder="1" applyAlignment="1" applyProtection="1">
      <alignment vertical="center" wrapText="1"/>
    </xf>
    <xf numFmtId="191" fontId="53" fillId="6" borderId="8" xfId="0" applyFont="1" applyFill="1" applyBorder="1" applyAlignment="1" applyProtection="1">
      <alignment vertical="center"/>
    </xf>
    <xf numFmtId="191"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1" fontId="54" fillId="6" borderId="24" xfId="0" applyFont="1" applyFill="1" applyBorder="1" applyAlignment="1" applyProtection="1">
      <alignment vertical="center" wrapText="1"/>
    </xf>
    <xf numFmtId="191"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1"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1"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1" fontId="53" fillId="6" borderId="24" xfId="0" applyFont="1" applyFill="1" applyBorder="1" applyAlignment="1" applyProtection="1">
      <alignment vertical="center" wrapText="1"/>
    </xf>
    <xf numFmtId="191"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1" fontId="53" fillId="3" borderId="0" xfId="0" applyFont="1" applyFill="1" applyAlignment="1" applyProtection="1">
      <alignment horizontal="left" vertical="center"/>
      <protection locked="0"/>
    </xf>
    <xf numFmtId="191" fontId="60" fillId="6" borderId="1" xfId="0" applyFont="1" applyFill="1" applyBorder="1" applyAlignment="1" applyProtection="1">
      <alignment horizontal="left"/>
    </xf>
    <xf numFmtId="191" fontId="58" fillId="6" borderId="1" xfId="0" applyFont="1" applyFill="1" applyBorder="1" applyAlignment="1" applyProtection="1">
      <alignment horizontal="center" vertical="center"/>
    </xf>
    <xf numFmtId="191" fontId="53" fillId="3" borderId="0" xfId="0" applyFont="1" applyFill="1" applyAlignment="1" applyProtection="1">
      <alignment horizontal="center" vertical="center"/>
      <protection locked="0"/>
    </xf>
    <xf numFmtId="191"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1"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1"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1"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1"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1" fontId="63" fillId="0" borderId="0" xfId="0" applyFont="1" applyFill="1" applyAlignment="1" applyProtection="1">
      <alignment vertical="center"/>
      <protection locked="0"/>
    </xf>
    <xf numFmtId="191"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1" fontId="47" fillId="6" borderId="9" xfId="0" applyFont="1" applyFill="1" applyBorder="1" applyAlignment="1" applyProtection="1">
      <alignment horizontal="center" vertical="center"/>
    </xf>
    <xf numFmtId="191" fontId="47" fillId="6" borderId="28" xfId="0" applyFont="1" applyFill="1" applyBorder="1" applyAlignment="1" applyProtection="1">
      <alignment horizontal="right" vertical="center"/>
    </xf>
    <xf numFmtId="191"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1" fontId="52" fillId="6" borderId="13" xfId="0" applyFont="1" applyFill="1" applyBorder="1" applyAlignment="1" applyProtection="1">
      <alignment vertical="center" wrapText="1"/>
    </xf>
    <xf numFmtId="191" fontId="52" fillId="6" borderId="13" xfId="0" applyFont="1" applyFill="1" applyBorder="1" applyAlignment="1" applyProtection="1">
      <alignment horizontal="center" vertical="center"/>
    </xf>
    <xf numFmtId="191" fontId="47" fillId="6" borderId="1" xfId="0" applyFont="1" applyFill="1" applyBorder="1" applyAlignment="1" applyProtection="1">
      <alignment horizontal="left" vertical="center"/>
    </xf>
    <xf numFmtId="191"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1" fontId="52" fillId="6" borderId="15" xfId="0" applyFont="1" applyFill="1" applyBorder="1" applyAlignment="1" applyProtection="1">
      <alignment vertical="center" wrapText="1"/>
    </xf>
    <xf numFmtId="191" fontId="52" fillId="6" borderId="15" xfId="0" applyFont="1" applyFill="1" applyBorder="1" applyAlignment="1" applyProtection="1">
      <alignment horizontal="center" vertical="center"/>
    </xf>
    <xf numFmtId="191"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1" fontId="52" fillId="6" borderId="2" xfId="0" applyFont="1" applyFill="1" applyBorder="1" applyAlignment="1" applyProtection="1">
      <alignment vertical="center" wrapText="1"/>
    </xf>
    <xf numFmtId="191" fontId="52" fillId="6" borderId="2" xfId="0" applyFont="1" applyFill="1" applyBorder="1" applyAlignment="1" applyProtection="1">
      <alignment horizontal="center" vertical="center"/>
    </xf>
    <xf numFmtId="191"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1"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1"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191"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1"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1" fontId="47" fillId="6" borderId="1" xfId="0" applyFont="1" applyFill="1" applyBorder="1" applyAlignment="1" applyProtection="1">
      <alignment vertical="center" wrapText="1"/>
    </xf>
    <xf numFmtId="191" fontId="47" fillId="6" borderId="13" xfId="0" applyFont="1" applyFill="1" applyBorder="1" applyAlignment="1" applyProtection="1">
      <alignment horizontal="left" vertical="center" wrapText="1"/>
    </xf>
    <xf numFmtId="191"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1"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1"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1"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1" fontId="52" fillId="6" borderId="32" xfId="0" applyFont="1" applyFill="1" applyBorder="1" applyAlignment="1" applyProtection="1">
      <alignment horizontal="left" vertical="center"/>
    </xf>
    <xf numFmtId="191" fontId="52" fillId="6" borderId="32" xfId="0" applyFont="1" applyFill="1" applyBorder="1" applyAlignment="1" applyProtection="1">
      <alignment horizontal="center" vertical="center"/>
    </xf>
    <xf numFmtId="191" fontId="47" fillId="6" borderId="32" xfId="0" applyFont="1" applyFill="1" applyBorder="1" applyAlignment="1" applyProtection="1">
      <alignment vertical="center"/>
    </xf>
    <xf numFmtId="191"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1"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1"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1" fontId="102" fillId="6" borderId="1" xfId="0" applyFont="1" applyFill="1" applyBorder="1" applyAlignment="1" applyProtection="1">
      <alignment horizontal="left"/>
    </xf>
    <xf numFmtId="191" fontId="102" fillId="6" borderId="1" xfId="0" applyFont="1" applyFill="1" applyBorder="1" applyAlignment="1" applyProtection="1">
      <alignment horizontal="center"/>
    </xf>
    <xf numFmtId="191" fontId="60" fillId="6" borderId="1" xfId="0" applyFont="1" applyFill="1" applyBorder="1" applyAlignment="1" applyProtection="1">
      <alignment horizontal="center"/>
    </xf>
    <xf numFmtId="191" fontId="58" fillId="0" borderId="0" xfId="0" applyFont="1" applyFill="1" applyAlignment="1" applyProtection="1">
      <alignment horizontal="center" vertical="center"/>
      <protection locked="0"/>
    </xf>
    <xf numFmtId="191" fontId="101" fillId="6" borderId="46" xfId="0" applyFont="1" applyFill="1" applyBorder="1" applyAlignment="1" applyProtection="1">
      <alignment vertical="center"/>
    </xf>
    <xf numFmtId="191" fontId="62" fillId="6" borderId="36" xfId="0" applyFont="1" applyFill="1" applyBorder="1" applyAlignment="1" applyProtection="1">
      <alignment horizontal="right" vertical="center"/>
    </xf>
    <xf numFmtId="191" fontId="62" fillId="6" borderId="0" xfId="0" applyFont="1" applyFill="1" applyAlignment="1" applyProtection="1">
      <alignment horizontal="center" vertical="center"/>
    </xf>
    <xf numFmtId="191" fontId="63" fillId="0" borderId="0" xfId="0" applyFont="1" applyFill="1" applyBorder="1" applyAlignment="1" applyProtection="1">
      <alignment horizontal="center" vertical="center"/>
      <protection locked="0"/>
    </xf>
    <xf numFmtId="191" fontId="63" fillId="0" borderId="0" xfId="0" applyFont="1" applyFill="1" applyAlignment="1" applyProtection="1">
      <alignment horizontal="center" vertical="center"/>
      <protection locked="0"/>
    </xf>
    <xf numFmtId="191" fontId="57" fillId="6" borderId="13" xfId="0" applyFont="1" applyFill="1" applyBorder="1" applyAlignment="1" applyProtection="1">
      <alignment horizontal="right" vertical="center"/>
    </xf>
    <xf numFmtId="191" fontId="57" fillId="6" borderId="13" xfId="0" applyFont="1" applyFill="1" applyBorder="1" applyAlignment="1" applyProtection="1">
      <alignment horizontal="center" vertical="center"/>
    </xf>
    <xf numFmtId="191" fontId="50" fillId="6" borderId="16" xfId="0" applyFont="1" applyFill="1" applyBorder="1" applyAlignment="1" applyProtection="1">
      <alignment vertical="center" wrapText="1"/>
    </xf>
    <xf numFmtId="191" fontId="50" fillId="6" borderId="19" xfId="0" applyFont="1" applyFill="1" applyBorder="1" applyAlignment="1" applyProtection="1">
      <alignment vertical="center" wrapText="1"/>
    </xf>
    <xf numFmtId="191" fontId="51" fillId="0" borderId="0" xfId="0" applyFont="1" applyFill="1" applyAlignment="1" applyProtection="1">
      <alignment horizontal="center" vertical="center"/>
      <protection locked="0"/>
    </xf>
    <xf numFmtId="191" fontId="50" fillId="6" borderId="18" xfId="0" applyFont="1" applyFill="1" applyBorder="1" applyAlignment="1" applyProtection="1">
      <alignment vertical="center" wrapText="1"/>
    </xf>
    <xf numFmtId="191" fontId="50" fillId="6" borderId="0" xfId="0" applyFont="1" applyFill="1" applyBorder="1" applyAlignment="1" applyProtection="1">
      <alignment vertical="center" wrapText="1"/>
    </xf>
    <xf numFmtId="191" fontId="50" fillId="6" borderId="42" xfId="0" applyFont="1" applyFill="1" applyBorder="1" applyAlignment="1" applyProtection="1">
      <alignment vertical="center" wrapText="1"/>
    </xf>
    <xf numFmtId="191" fontId="50" fillId="6" borderId="47" xfId="0" applyFont="1" applyFill="1" applyBorder="1" applyAlignment="1" applyProtection="1">
      <alignment vertical="center" wrapText="1"/>
    </xf>
    <xf numFmtId="191" fontId="46" fillId="6" borderId="63" xfId="0" applyFont="1" applyFill="1" applyBorder="1" applyAlignment="1" applyProtection="1">
      <alignment vertical="center" wrapText="1"/>
    </xf>
    <xf numFmtId="191"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1"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1"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1" fontId="46" fillId="6" borderId="40" xfId="0" applyFont="1" applyFill="1" applyBorder="1" applyAlignment="1" applyProtection="1">
      <alignment vertical="center" wrapText="1"/>
    </xf>
    <xf numFmtId="191"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1"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1" fontId="66" fillId="6" borderId="14" xfId="0" applyFont="1" applyFill="1" applyBorder="1" applyAlignment="1" applyProtection="1">
      <alignment vertical="center" wrapText="1"/>
    </xf>
    <xf numFmtId="191" fontId="44" fillId="6" borderId="5" xfId="0" applyFont="1" applyFill="1" applyBorder="1" applyAlignment="1" applyProtection="1">
      <alignment horizontal="center" vertical="center" wrapText="1"/>
    </xf>
    <xf numFmtId="191" fontId="44" fillId="6" borderId="5" xfId="0" applyNumberFormat="1" applyFont="1" applyFill="1" applyBorder="1" applyAlignment="1" applyProtection="1">
      <alignment horizontal="center" vertical="center" wrapText="1"/>
    </xf>
    <xf numFmtId="191" fontId="58" fillId="0" borderId="48" xfId="0" applyNumberFormat="1" applyFont="1" applyFill="1" applyBorder="1" applyAlignment="1" applyProtection="1">
      <alignment horizontal="center" vertical="center" wrapText="1"/>
      <protection locked="0"/>
    </xf>
    <xf numFmtId="191" fontId="67" fillId="0" borderId="0" xfId="0" applyFont="1" applyFill="1" applyAlignment="1" applyProtection="1">
      <alignment horizontal="center" vertical="center"/>
      <protection locked="0"/>
    </xf>
    <xf numFmtId="191" fontId="50" fillId="6" borderId="14" xfId="0" applyFont="1" applyFill="1" applyBorder="1" applyAlignment="1" applyProtection="1">
      <alignment vertical="center" wrapText="1"/>
    </xf>
    <xf numFmtId="191" fontId="44" fillId="0" borderId="23" xfId="0" applyNumberFormat="1" applyFont="1" applyFill="1" applyBorder="1" applyAlignment="1" applyProtection="1">
      <alignment horizontal="center" vertical="center" wrapText="1"/>
      <protection locked="0"/>
    </xf>
    <xf numFmtId="191" fontId="44" fillId="0" borderId="3" xfId="0" applyNumberFormat="1" applyFont="1" applyFill="1" applyBorder="1" applyAlignment="1" applyProtection="1">
      <alignment horizontal="center" vertical="center" wrapText="1"/>
      <protection locked="0"/>
    </xf>
    <xf numFmtId="191" fontId="46" fillId="6" borderId="14" xfId="0" applyFont="1" applyFill="1" applyBorder="1" applyAlignment="1" applyProtection="1">
      <alignment vertical="center" wrapText="1"/>
    </xf>
    <xf numFmtId="191" fontId="44" fillId="0" borderId="41" xfId="0" applyNumberFormat="1" applyFont="1" applyFill="1" applyBorder="1" applyAlignment="1" applyProtection="1">
      <alignment horizontal="center" vertical="center" wrapText="1"/>
      <protection locked="0"/>
    </xf>
    <xf numFmtId="191" fontId="44" fillId="6" borderId="71" xfId="0" applyNumberFormat="1" applyFont="1" applyFill="1" applyBorder="1" applyAlignment="1" applyProtection="1">
      <alignment horizontal="center" vertical="center" wrapText="1"/>
    </xf>
    <xf numFmtId="191" fontId="51" fillId="0" borderId="37" xfId="0" applyNumberFormat="1" applyFont="1" applyFill="1" applyBorder="1" applyAlignment="1" applyProtection="1">
      <alignment horizontal="center" vertical="center" wrapText="1"/>
      <protection locked="0"/>
    </xf>
    <xf numFmtId="191" fontId="51" fillId="6" borderId="24" xfId="0" applyNumberFormat="1" applyFont="1" applyFill="1" applyBorder="1" applyAlignment="1" applyProtection="1">
      <alignment horizontal="center" vertical="center" wrapText="1"/>
    </xf>
    <xf numFmtId="191" fontId="50" fillId="6" borderId="12" xfId="0" applyFont="1" applyFill="1" applyBorder="1" applyAlignment="1" applyProtection="1">
      <alignment vertical="center" wrapText="1"/>
    </xf>
    <xf numFmtId="191" fontId="51" fillId="0" borderId="38" xfId="0" applyNumberFormat="1" applyFont="1" applyFill="1" applyBorder="1" applyAlignment="1" applyProtection="1">
      <alignment horizontal="center" vertical="center" wrapText="1"/>
      <protection locked="0"/>
    </xf>
    <xf numFmtId="191" fontId="51" fillId="6" borderId="49" xfId="0" applyNumberFormat="1" applyFont="1" applyFill="1" applyBorder="1" applyAlignment="1" applyProtection="1">
      <alignment horizontal="center" vertical="center" wrapText="1"/>
    </xf>
    <xf numFmtId="191" fontId="51" fillId="6" borderId="33" xfId="0" applyNumberFormat="1" applyFont="1" applyFill="1" applyBorder="1" applyAlignment="1" applyProtection="1">
      <alignment horizontal="center" vertical="center" wrapText="1"/>
    </xf>
    <xf numFmtId="191" fontId="50" fillId="6" borderId="40" xfId="0" applyFont="1" applyFill="1" applyBorder="1" applyAlignment="1" applyProtection="1">
      <alignment vertical="center" wrapText="1"/>
    </xf>
    <xf numFmtId="191"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1"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1" fontId="58" fillId="0" borderId="72" xfId="0" applyNumberFormat="1" applyFont="1" applyFill="1" applyBorder="1" applyAlignment="1" applyProtection="1">
      <alignment horizontal="center" vertical="center" wrapText="1"/>
      <protection locked="0"/>
    </xf>
    <xf numFmtId="191" fontId="51" fillId="6" borderId="0" xfId="0" applyFont="1" applyFill="1" applyBorder="1" applyAlignment="1" applyProtection="1">
      <alignment horizontal="center" vertical="center"/>
    </xf>
    <xf numFmtId="191" fontId="51" fillId="2" borderId="41" xfId="0" applyNumberFormat="1" applyFont="1" applyFill="1" applyBorder="1" applyAlignment="1" applyProtection="1">
      <alignment horizontal="center" vertical="center" wrapText="1"/>
      <protection locked="0"/>
    </xf>
    <xf numFmtId="191" fontId="51" fillId="6" borderId="8" xfId="0" applyNumberFormat="1" applyFont="1" applyFill="1" applyBorder="1" applyAlignment="1" applyProtection="1">
      <alignment horizontal="center" vertical="center" wrapText="1"/>
    </xf>
    <xf numFmtId="191" fontId="51" fillId="6" borderId="4" xfId="0" applyNumberFormat="1" applyFont="1" applyFill="1" applyBorder="1" applyAlignment="1" applyProtection="1">
      <alignment horizontal="center" vertical="center" wrapText="1"/>
    </xf>
    <xf numFmtId="191" fontId="51" fillId="6" borderId="53" xfId="0" applyNumberFormat="1" applyFont="1" applyFill="1" applyBorder="1" applyAlignment="1" applyProtection="1">
      <alignment horizontal="center" vertical="center" wrapText="1"/>
    </xf>
    <xf numFmtId="191"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1"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1" fontId="51" fillId="6" borderId="61" xfId="0" applyNumberFormat="1" applyFont="1" applyFill="1" applyBorder="1" applyAlignment="1" applyProtection="1">
      <alignment horizontal="center" vertical="center" wrapText="1"/>
    </xf>
    <xf numFmtId="191"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1"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1" fontId="51" fillId="2" borderId="23" xfId="0" applyNumberFormat="1" applyFont="1" applyFill="1" applyBorder="1" applyAlignment="1" applyProtection="1">
      <alignment horizontal="center" vertical="center" wrapText="1"/>
      <protection locked="0"/>
    </xf>
    <xf numFmtId="191" fontId="51" fillId="6" borderId="5" xfId="0" applyNumberFormat="1" applyFont="1" applyFill="1" applyBorder="1" applyAlignment="1" applyProtection="1">
      <alignment horizontal="center" vertical="center" wrapText="1"/>
    </xf>
    <xf numFmtId="191"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1"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1" fontId="50" fillId="6" borderId="40" xfId="0" applyFont="1" applyFill="1" applyBorder="1" applyAlignment="1" applyProtection="1">
      <alignment vertical="center" textRotation="255" wrapText="1"/>
    </xf>
    <xf numFmtId="191" fontId="51" fillId="6" borderId="10" xfId="0" applyNumberFormat="1" applyFont="1" applyFill="1" applyBorder="1" applyAlignment="1" applyProtection="1">
      <alignment horizontal="center" vertical="center" wrapText="1"/>
    </xf>
    <xf numFmtId="191" fontId="69" fillId="6" borderId="14" xfId="0" applyFont="1" applyFill="1" applyBorder="1" applyAlignment="1" applyProtection="1">
      <alignment vertical="center" textRotation="255" wrapText="1"/>
    </xf>
    <xf numFmtId="191" fontId="44" fillId="0" borderId="37"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horizontal="center" vertical="center"/>
      <protection locked="0"/>
    </xf>
    <xf numFmtId="191" fontId="49" fillId="0" borderId="0" xfId="0" applyFont="1" applyFill="1" applyAlignment="1" applyProtection="1">
      <alignment horizontal="center" vertical="center"/>
      <protection locked="0"/>
    </xf>
    <xf numFmtId="191" fontId="50" fillId="6" borderId="14" xfId="0" applyFont="1" applyFill="1" applyBorder="1" applyAlignment="1" applyProtection="1">
      <alignment vertical="center" textRotation="255" wrapText="1"/>
    </xf>
    <xf numFmtId="191"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1" fontId="51" fillId="0" borderId="3" xfId="0" applyNumberFormat="1" applyFont="1" applyFill="1" applyBorder="1" applyAlignment="1" applyProtection="1">
      <alignment horizontal="center" vertical="center" wrapText="1"/>
      <protection locked="0"/>
    </xf>
    <xf numFmtId="191"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1" fontId="50" fillId="6" borderId="21" xfId="0" applyFont="1" applyFill="1" applyBorder="1" applyAlignment="1" applyProtection="1">
      <alignment vertical="center" wrapText="1"/>
    </xf>
    <xf numFmtId="191" fontId="70" fillId="3" borderId="20" xfId="0" applyFont="1" applyFill="1" applyBorder="1" applyAlignment="1" applyProtection="1">
      <alignment vertical="center" wrapText="1"/>
      <protection locked="0"/>
    </xf>
    <xf numFmtId="191" fontId="70" fillId="6" borderId="20" xfId="0" applyFont="1" applyFill="1" applyBorder="1" applyAlignment="1" applyProtection="1">
      <alignment vertical="center" wrapText="1"/>
    </xf>
    <xf numFmtId="191" fontId="70" fillId="3" borderId="51" xfId="0" applyFont="1" applyFill="1" applyBorder="1" applyAlignment="1" applyProtection="1">
      <alignment vertical="center" wrapText="1"/>
      <protection locked="0"/>
    </xf>
    <xf numFmtId="191"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1" fontId="50" fillId="6" borderId="1" xfId="0" applyFont="1" applyFill="1" applyBorder="1" applyAlignment="1" applyProtection="1">
      <alignment horizontal="left" vertical="center"/>
    </xf>
    <xf numFmtId="191"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1" fontId="50" fillId="6" borderId="3" xfId="0" applyFont="1" applyFill="1" applyBorder="1" applyAlignment="1" applyProtection="1">
      <alignment horizontal="center" vertical="center" wrapText="1"/>
    </xf>
    <xf numFmtId="191" fontId="68" fillId="0" borderId="0" xfId="0" applyFont="1" applyFill="1" applyAlignment="1" applyProtection="1">
      <alignment horizontal="center" vertical="center"/>
      <protection locked="0"/>
    </xf>
    <xf numFmtId="191"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1" fontId="46" fillId="6" borderId="16" xfId="0" applyNumberFormat="1" applyFont="1" applyFill="1" applyBorder="1" applyAlignment="1" applyProtection="1">
      <alignment vertical="center" wrapText="1"/>
    </xf>
    <xf numFmtId="191"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1" fontId="46" fillId="6" borderId="18" xfId="0" applyNumberFormat="1" applyFont="1" applyFill="1" applyBorder="1" applyAlignment="1" applyProtection="1">
      <alignment vertical="center" wrapText="1"/>
    </xf>
    <xf numFmtId="191" fontId="46" fillId="6" borderId="35" xfId="0" applyNumberFormat="1" applyFont="1" applyFill="1" applyBorder="1" applyAlignment="1" applyProtection="1">
      <alignment vertical="center" wrapText="1"/>
    </xf>
    <xf numFmtId="191" fontId="44" fillId="0" borderId="22" xfId="0" applyNumberFormat="1" applyFont="1" applyFill="1" applyBorder="1" applyAlignment="1" applyProtection="1">
      <alignment horizontal="center" vertical="center" wrapText="1"/>
      <protection locked="0"/>
    </xf>
    <xf numFmtId="191" fontId="44" fillId="0" borderId="13" xfId="0" applyNumberFormat="1" applyFont="1" applyFill="1" applyBorder="1" applyAlignment="1" applyProtection="1">
      <alignment horizontal="center" vertical="center" wrapText="1"/>
      <protection locked="0"/>
    </xf>
    <xf numFmtId="191" fontId="44" fillId="0" borderId="46" xfId="0" applyNumberFormat="1" applyFont="1" applyFill="1" applyBorder="1" applyAlignment="1" applyProtection="1">
      <alignment horizontal="center" vertical="center" wrapText="1"/>
      <protection locked="0"/>
    </xf>
    <xf numFmtId="191" fontId="44" fillId="0" borderId="61" xfId="0" applyNumberFormat="1" applyFont="1" applyFill="1" applyBorder="1" applyAlignment="1" applyProtection="1">
      <alignment horizontal="center" vertical="center" wrapText="1"/>
      <protection locked="0"/>
    </xf>
    <xf numFmtId="191" fontId="46" fillId="6" borderId="42" xfId="0" applyNumberFormat="1" applyFont="1" applyFill="1" applyBorder="1" applyAlignment="1" applyProtection="1">
      <alignment vertical="center"/>
    </xf>
    <xf numFmtId="191" fontId="46" fillId="6" borderId="73" xfId="0" applyNumberFormat="1" applyFont="1" applyFill="1" applyBorder="1" applyAlignment="1" applyProtection="1">
      <alignment vertical="center" wrapText="1"/>
    </xf>
    <xf numFmtId="191" fontId="44" fillId="0" borderId="73" xfId="0" applyNumberFormat="1" applyFont="1" applyFill="1" applyBorder="1" applyAlignment="1" applyProtection="1">
      <alignment horizontal="center" vertical="center" wrapText="1"/>
      <protection locked="0"/>
    </xf>
    <xf numFmtId="191" fontId="44" fillId="0" borderId="74" xfId="0" applyNumberFormat="1" applyFont="1" applyFill="1" applyBorder="1" applyAlignment="1" applyProtection="1">
      <alignment horizontal="center" vertical="center" wrapText="1"/>
      <protection locked="0"/>
    </xf>
    <xf numFmtId="191" fontId="44" fillId="0" borderId="75" xfId="0" applyNumberFormat="1" applyFont="1" applyFill="1" applyBorder="1" applyAlignment="1" applyProtection="1">
      <alignment horizontal="center" vertical="center" wrapText="1"/>
      <protection locked="0"/>
    </xf>
    <xf numFmtId="191" fontId="44" fillId="0" borderId="76" xfId="0" applyNumberFormat="1" applyFont="1" applyFill="1" applyBorder="1" applyAlignment="1" applyProtection="1">
      <alignment horizontal="center" vertical="center" wrapText="1"/>
      <protection locked="0"/>
    </xf>
    <xf numFmtId="191" fontId="46" fillId="6" borderId="58" xfId="0" applyNumberFormat="1" applyFont="1" applyFill="1" applyBorder="1" applyAlignment="1" applyProtection="1">
      <alignment vertical="center" wrapText="1"/>
    </xf>
    <xf numFmtId="191" fontId="44" fillId="6" borderId="7" xfId="0" applyNumberFormat="1" applyFont="1" applyFill="1" applyBorder="1" applyAlignment="1" applyProtection="1">
      <alignment horizontal="center" vertical="center" wrapText="1"/>
    </xf>
    <xf numFmtId="191" fontId="44" fillId="0" borderId="2" xfId="0" applyNumberFormat="1" applyFont="1" applyFill="1" applyBorder="1" applyAlignment="1" applyProtection="1">
      <alignment horizontal="center" vertical="center" wrapText="1"/>
      <protection locked="0"/>
    </xf>
    <xf numFmtId="191" fontId="44" fillId="0" borderId="2" xfId="0" applyNumberFormat="1" applyFont="1" applyFill="1" applyBorder="1" applyAlignment="1" applyProtection="1">
      <alignment horizontal="left" vertical="center" wrapText="1"/>
      <protection locked="0"/>
    </xf>
    <xf numFmtId="191" fontId="44" fillId="0" borderId="8" xfId="0" applyNumberFormat="1" applyFont="1" applyFill="1" applyBorder="1" applyAlignment="1" applyProtection="1">
      <alignment horizontal="center" vertical="center" wrapText="1"/>
      <protection locked="0"/>
    </xf>
    <xf numFmtId="191" fontId="98" fillId="0" borderId="0" xfId="0" applyFont="1" applyFill="1" applyBorder="1" applyAlignment="1" applyProtection="1">
      <alignment vertical="center"/>
      <protection locked="0"/>
    </xf>
    <xf numFmtId="191" fontId="50" fillId="6" borderId="40" xfId="0" applyNumberFormat="1" applyFont="1" applyFill="1" applyBorder="1" applyAlignment="1" applyProtection="1">
      <alignment vertical="center" wrapText="1"/>
    </xf>
    <xf numFmtId="191" fontId="44" fillId="6" borderId="17" xfId="0" applyNumberFormat="1" applyFont="1" applyFill="1" applyBorder="1" applyAlignment="1" applyProtection="1">
      <alignment horizontal="center" vertical="center" wrapText="1"/>
    </xf>
    <xf numFmtId="191" fontId="51" fillId="6" borderId="9" xfId="0" applyNumberFormat="1" applyFont="1" applyFill="1" applyBorder="1" applyAlignment="1" applyProtection="1">
      <alignment horizontal="center" vertical="center" wrapText="1"/>
    </xf>
    <xf numFmtId="191" fontId="51" fillId="0" borderId="9" xfId="0" applyNumberFormat="1" applyFont="1" applyFill="1" applyBorder="1" applyAlignment="1" applyProtection="1">
      <alignment horizontal="center" vertical="center" wrapText="1"/>
      <protection locked="0"/>
    </xf>
    <xf numFmtId="191" fontId="68" fillId="0" borderId="9" xfId="0" applyNumberFormat="1" applyFont="1" applyFill="1" applyBorder="1" applyAlignment="1" applyProtection="1">
      <alignment horizontal="center" vertical="center" wrapText="1"/>
      <protection locked="0"/>
    </xf>
    <xf numFmtId="191" fontId="68" fillId="0" borderId="9" xfId="0" applyNumberFormat="1" applyFont="1" applyFill="1" applyBorder="1" applyAlignment="1" applyProtection="1">
      <alignment horizontal="left" vertical="center" wrapText="1"/>
      <protection locked="0"/>
    </xf>
    <xf numFmtId="191" fontId="68" fillId="0" borderId="10" xfId="0" applyNumberFormat="1" applyFont="1" applyFill="1" applyBorder="1" applyAlignment="1" applyProtection="1">
      <alignment horizontal="center" vertical="center" wrapText="1"/>
      <protection locked="0"/>
    </xf>
    <xf numFmtId="191" fontId="50" fillId="6" borderId="14" xfId="0" applyNumberFormat="1" applyFont="1" applyFill="1" applyBorder="1" applyAlignment="1" applyProtection="1">
      <alignment vertical="center" wrapText="1"/>
    </xf>
    <xf numFmtId="191" fontId="49" fillId="6" borderId="77" xfId="0" applyNumberFormat="1" applyFont="1" applyFill="1" applyBorder="1" applyAlignment="1" applyProtection="1">
      <alignment horizontal="center" vertical="center" wrapText="1"/>
    </xf>
    <xf numFmtId="191" fontId="51" fillId="0" borderId="78" xfId="0" applyNumberFormat="1" applyFont="1" applyFill="1" applyBorder="1" applyAlignment="1" applyProtection="1">
      <alignment horizontal="center" vertical="center" wrapText="1"/>
      <protection locked="0"/>
    </xf>
    <xf numFmtId="191" fontId="51" fillId="0" borderId="79" xfId="0" applyNumberFormat="1" applyFont="1" applyFill="1" applyBorder="1" applyAlignment="1" applyProtection="1">
      <alignment horizontal="center" vertical="center" wrapText="1"/>
      <protection locked="0"/>
    </xf>
    <xf numFmtId="191" fontId="44" fillId="6" borderId="57" xfId="0" applyNumberFormat="1" applyFont="1" applyFill="1" applyBorder="1" applyAlignment="1" applyProtection="1">
      <alignment horizontal="center" vertical="center" wrapText="1"/>
    </xf>
    <xf numFmtId="191" fontId="51" fillId="6" borderId="44" xfId="0" applyNumberFormat="1" applyFont="1" applyFill="1" applyBorder="1" applyAlignment="1" applyProtection="1">
      <alignment horizontal="center" vertical="center" wrapText="1"/>
    </xf>
    <xf numFmtId="191" fontId="68" fillId="6" borderId="44" xfId="0" applyNumberFormat="1" applyFont="1" applyFill="1" applyBorder="1" applyAlignment="1" applyProtection="1">
      <alignment horizontal="center" vertical="center" wrapText="1"/>
    </xf>
    <xf numFmtId="191" fontId="68" fillId="6" borderId="44" xfId="0" applyNumberFormat="1" applyFont="1" applyFill="1" applyBorder="1" applyAlignment="1" applyProtection="1">
      <alignment horizontal="left" vertical="center" wrapText="1"/>
    </xf>
    <xf numFmtId="191" fontId="68" fillId="6" borderId="45" xfId="0" applyNumberFormat="1" applyFont="1" applyFill="1" applyBorder="1" applyAlignment="1" applyProtection="1">
      <alignment horizontal="center" vertical="center" wrapText="1"/>
    </xf>
    <xf numFmtId="191" fontId="44" fillId="6" borderId="77" xfId="0" applyNumberFormat="1" applyFont="1" applyFill="1" applyBorder="1" applyAlignment="1" applyProtection="1">
      <alignment horizontal="center" vertical="center" wrapText="1"/>
    </xf>
    <xf numFmtId="191" fontId="51" fillId="6" borderId="78" xfId="0" applyNumberFormat="1" applyFont="1" applyFill="1" applyBorder="1" applyAlignment="1" applyProtection="1">
      <alignment horizontal="center" vertical="center" wrapText="1"/>
    </xf>
    <xf numFmtId="191" fontId="51" fillId="6" borderId="79" xfId="0" applyNumberFormat="1" applyFont="1" applyFill="1" applyBorder="1" applyAlignment="1" applyProtection="1">
      <alignment horizontal="center" vertical="center" wrapText="1"/>
    </xf>
    <xf numFmtId="191" fontId="44" fillId="6" borderId="15" xfId="0" applyNumberFormat="1" applyFont="1" applyFill="1" applyBorder="1" applyAlignment="1" applyProtection="1">
      <alignment horizontal="center" vertical="center" wrapText="1"/>
    </xf>
    <xf numFmtId="191" fontId="51" fillId="6" borderId="2" xfId="0" applyNumberFormat="1" applyFont="1" applyFill="1" applyBorder="1" applyAlignment="1" applyProtection="1">
      <alignment horizontal="center" vertical="center" wrapText="1"/>
    </xf>
    <xf numFmtId="191" fontId="49" fillId="6" borderId="15" xfId="0" applyNumberFormat="1" applyFont="1" applyFill="1" applyBorder="1" applyAlignment="1" applyProtection="1">
      <alignment horizontal="center" vertical="center" wrapText="1"/>
    </xf>
    <xf numFmtId="191" fontId="51"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left" vertical="center" wrapText="1"/>
      <protection locked="0"/>
    </xf>
    <xf numFmtId="191" fontId="68" fillId="0" borderId="24" xfId="0" applyNumberFormat="1" applyFont="1" applyFill="1" applyBorder="1" applyAlignment="1" applyProtection="1">
      <alignment horizontal="center" vertical="center" wrapText="1"/>
      <protection locked="0"/>
    </xf>
    <xf numFmtId="191" fontId="69" fillId="6" borderId="14" xfId="0" applyNumberFormat="1" applyFont="1" applyFill="1" applyBorder="1" applyAlignment="1" applyProtection="1">
      <alignment vertical="center" wrapText="1"/>
    </xf>
    <xf numFmtId="191" fontId="44" fillId="0" borderId="44" xfId="0" applyNumberFormat="1" applyFont="1" applyFill="1" applyBorder="1" applyAlignment="1" applyProtection="1">
      <alignment horizontal="center" vertical="center" wrapText="1"/>
      <protection locked="0"/>
    </xf>
    <xf numFmtId="191" fontId="49" fillId="0" borderId="44" xfId="0" applyNumberFormat="1" applyFont="1" applyFill="1" applyBorder="1" applyAlignment="1" applyProtection="1">
      <alignment horizontal="center" vertical="center" wrapText="1"/>
      <protection locked="0"/>
    </xf>
    <xf numFmtId="191" fontId="49" fillId="0" borderId="44" xfId="0" applyNumberFormat="1" applyFont="1" applyFill="1" applyBorder="1" applyAlignment="1" applyProtection="1">
      <alignment horizontal="left" vertical="center" wrapText="1"/>
      <protection locked="0"/>
    </xf>
    <xf numFmtId="191" fontId="49" fillId="0" borderId="45"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1"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1" fontId="49" fillId="0" borderId="78" xfId="0" applyNumberFormat="1" applyFont="1" applyFill="1" applyBorder="1" applyAlignment="1" applyProtection="1">
      <alignment horizontal="center" vertical="center" wrapText="1"/>
      <protection locked="0"/>
    </xf>
    <xf numFmtId="191" fontId="49" fillId="0" borderId="79" xfId="0" applyNumberFormat="1" applyFont="1" applyFill="1" applyBorder="1" applyAlignment="1" applyProtection="1">
      <alignment horizontal="center" vertical="center" wrapText="1"/>
      <protection locked="0"/>
    </xf>
    <xf numFmtId="191" fontId="49" fillId="0" borderId="2" xfId="0" applyNumberFormat="1" applyFont="1" applyFill="1" applyBorder="1" applyAlignment="1" applyProtection="1">
      <alignment horizontal="center" vertical="center" wrapText="1"/>
      <protection locked="0"/>
    </xf>
    <xf numFmtId="191" fontId="49" fillId="0" borderId="2" xfId="0" applyNumberFormat="1" applyFont="1" applyFill="1" applyBorder="1" applyAlignment="1" applyProtection="1">
      <alignment horizontal="left" vertical="center" wrapText="1"/>
      <protection locked="0"/>
    </xf>
    <xf numFmtId="191" fontId="49" fillId="0" borderId="8"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vertical="center" wrapText="1"/>
      <protection locked="0"/>
    </xf>
    <xf numFmtId="191" fontId="69" fillId="6" borderId="12" xfId="0" applyNumberFormat="1" applyFont="1" applyFill="1" applyBorder="1" applyAlignment="1" applyProtection="1">
      <alignment vertical="center" wrapText="1"/>
    </xf>
    <xf numFmtId="191" fontId="44" fillId="6" borderId="74" xfId="0" applyNumberFormat="1" applyFont="1" applyFill="1" applyBorder="1" applyAlignment="1" applyProtection="1">
      <alignment horizontal="center" vertical="center" wrapText="1"/>
    </xf>
    <xf numFmtId="191" fontId="44" fillId="0" borderId="32" xfId="0" applyNumberFormat="1" applyFont="1" applyFill="1" applyBorder="1" applyAlignment="1" applyProtection="1">
      <alignment horizontal="center" vertical="center" wrapText="1"/>
      <protection locked="0"/>
    </xf>
    <xf numFmtId="191" fontId="49" fillId="0" borderId="32" xfId="0" applyNumberFormat="1" applyFont="1" applyFill="1" applyBorder="1" applyAlignment="1" applyProtection="1">
      <alignment horizontal="center" vertical="center" wrapText="1"/>
      <protection locked="0"/>
    </xf>
    <xf numFmtId="191" fontId="49" fillId="0" borderId="49" xfId="0" applyNumberFormat="1" applyFont="1" applyFill="1" applyBorder="1" applyAlignment="1" applyProtection="1">
      <alignment horizontal="center" vertical="center" wrapText="1"/>
      <protection locked="0"/>
    </xf>
    <xf numFmtId="191" fontId="44" fillId="6" borderId="9" xfId="0" applyNumberFormat="1" applyFont="1" applyFill="1" applyBorder="1" applyAlignment="1" applyProtection="1">
      <alignment horizontal="center" vertical="center" wrapText="1"/>
    </xf>
    <xf numFmtId="191" fontId="68" fillId="6" borderId="9" xfId="0" applyNumberFormat="1" applyFont="1" applyFill="1" applyBorder="1" applyAlignment="1" applyProtection="1">
      <alignment horizontal="center" vertical="center" wrapText="1"/>
    </xf>
    <xf numFmtId="191" fontId="68" fillId="6" borderId="9" xfId="0" applyNumberFormat="1" applyFont="1" applyFill="1" applyBorder="1" applyAlignment="1" applyProtection="1">
      <alignment horizontal="left" vertical="center" wrapText="1"/>
    </xf>
    <xf numFmtId="191" fontId="68" fillId="6" borderId="10" xfId="0" applyNumberFormat="1" applyFont="1" applyFill="1" applyBorder="1" applyAlignment="1" applyProtection="1">
      <alignment horizontal="center" vertical="center" wrapText="1"/>
    </xf>
    <xf numFmtId="191" fontId="44" fillId="0" borderId="0" xfId="0" applyFont="1" applyFill="1" applyBorder="1" applyAlignment="1" applyProtection="1">
      <alignment vertical="center" wrapText="1"/>
      <protection locked="0"/>
    </xf>
    <xf numFmtId="191" fontId="44" fillId="6" borderId="44" xfId="0" applyNumberFormat="1" applyFont="1" applyFill="1" applyBorder="1" applyAlignment="1" applyProtection="1">
      <alignment horizontal="center" vertical="center" wrapText="1"/>
    </xf>
    <xf numFmtId="191" fontId="46" fillId="6" borderId="14" xfId="0" applyNumberFormat="1" applyFont="1" applyFill="1" applyBorder="1" applyAlignment="1" applyProtection="1">
      <alignment vertical="center" wrapText="1"/>
    </xf>
    <xf numFmtId="191" fontId="44" fillId="0" borderId="44" xfId="0" applyNumberFormat="1" applyFont="1" applyFill="1" applyBorder="1" applyAlignment="1" applyProtection="1">
      <alignment horizontal="left" vertical="center" wrapText="1"/>
      <protection locked="0"/>
    </xf>
    <xf numFmtId="191" fontId="44" fillId="0" borderId="45" xfId="0" applyNumberFormat="1" applyFont="1" applyFill="1" applyBorder="1" applyAlignment="1" applyProtection="1">
      <alignment horizontal="center" vertical="center" wrapText="1"/>
      <protection locked="0"/>
    </xf>
    <xf numFmtId="191" fontId="44" fillId="6" borderId="78" xfId="0" applyNumberFormat="1" applyFont="1" applyFill="1" applyBorder="1" applyAlignment="1" applyProtection="1">
      <alignment horizontal="center" vertical="center" wrapText="1"/>
    </xf>
    <xf numFmtId="191" fontId="51" fillId="0" borderId="44" xfId="0" applyNumberFormat="1" applyFont="1" applyFill="1" applyBorder="1" applyAlignment="1" applyProtection="1">
      <alignment horizontal="center" vertical="center" wrapText="1"/>
      <protection locked="0"/>
    </xf>
    <xf numFmtId="191" fontId="68" fillId="0" borderId="44" xfId="0" applyNumberFormat="1" applyFont="1" applyFill="1" applyBorder="1" applyAlignment="1" applyProtection="1">
      <alignment horizontal="center" vertical="center" wrapText="1"/>
      <protection locked="0"/>
    </xf>
    <xf numFmtId="191" fontId="68" fillId="0" borderId="44" xfId="0" applyNumberFormat="1" applyFont="1" applyFill="1" applyBorder="1" applyAlignment="1" applyProtection="1">
      <alignment horizontal="left" vertical="center" wrapText="1"/>
      <protection locked="0"/>
    </xf>
    <xf numFmtId="191" fontId="68" fillId="0" borderId="45" xfId="0" applyNumberFormat="1" applyFont="1" applyFill="1" applyBorder="1" applyAlignment="1" applyProtection="1">
      <alignment horizontal="center" vertical="center" wrapText="1"/>
      <protection locked="0"/>
    </xf>
    <xf numFmtId="191" fontId="51" fillId="0" borderId="2" xfId="0" applyNumberFormat="1" applyFont="1" applyFill="1" applyBorder="1" applyAlignment="1" applyProtection="1">
      <alignment horizontal="center" vertical="center" wrapText="1"/>
      <protection locked="0"/>
    </xf>
    <xf numFmtId="191" fontId="68" fillId="0" borderId="2" xfId="0" applyNumberFormat="1" applyFont="1" applyFill="1" applyBorder="1" applyAlignment="1" applyProtection="1">
      <alignment horizontal="center" vertical="center" wrapText="1"/>
      <protection locked="0"/>
    </xf>
    <xf numFmtId="191" fontId="68" fillId="0" borderId="2" xfId="0" applyNumberFormat="1" applyFont="1" applyFill="1" applyBorder="1" applyAlignment="1" applyProtection="1">
      <alignment horizontal="left" vertical="center" wrapText="1"/>
      <protection locked="0"/>
    </xf>
    <xf numFmtId="191" fontId="68" fillId="0" borderId="8" xfId="0" applyNumberFormat="1" applyFont="1" applyFill="1" applyBorder="1" applyAlignment="1" applyProtection="1">
      <alignment horizontal="center" vertical="center" wrapText="1"/>
      <protection locked="0"/>
    </xf>
    <xf numFmtId="191" fontId="51" fillId="0" borderId="32" xfId="0" applyNumberFormat="1" applyFont="1" applyFill="1" applyBorder="1" applyAlignment="1" applyProtection="1">
      <alignment horizontal="center" vertical="center" wrapText="1"/>
      <protection locked="0"/>
    </xf>
    <xf numFmtId="191" fontId="51" fillId="0" borderId="49" xfId="0" applyNumberFormat="1" applyFont="1" applyFill="1" applyBorder="1" applyAlignment="1" applyProtection="1">
      <alignment horizontal="center" vertical="center" wrapText="1"/>
      <protection locked="0"/>
    </xf>
    <xf numFmtId="191" fontId="69" fillId="6" borderId="14" xfId="0" applyNumberFormat="1" applyFont="1" applyFill="1" applyBorder="1" applyAlignment="1" applyProtection="1">
      <alignment vertical="center" textRotation="255" wrapText="1"/>
    </xf>
    <xf numFmtId="191" fontId="44" fillId="6" borderId="58" xfId="0" applyNumberFormat="1" applyFont="1" applyFill="1" applyBorder="1" applyAlignment="1" applyProtection="1">
      <alignment horizontal="center" vertical="center"/>
    </xf>
    <xf numFmtId="191" fontId="44" fillId="0" borderId="1" xfId="0" applyNumberFormat="1" applyFont="1" applyFill="1" applyBorder="1" applyAlignment="1" applyProtection="1">
      <alignment horizontal="center" vertical="center" wrapText="1"/>
      <protection locked="0"/>
    </xf>
    <xf numFmtId="191" fontId="49" fillId="0" borderId="1" xfId="0" applyNumberFormat="1" applyFont="1" applyFill="1" applyBorder="1" applyAlignment="1" applyProtection="1">
      <alignment horizontal="center" vertical="center" wrapText="1"/>
      <protection locked="0"/>
    </xf>
    <xf numFmtId="191" fontId="49" fillId="0" borderId="1" xfId="0" applyNumberFormat="1" applyFont="1" applyFill="1" applyBorder="1" applyAlignment="1" applyProtection="1">
      <alignment horizontal="left" vertical="center" wrapText="1"/>
      <protection locked="0"/>
    </xf>
    <xf numFmtId="191" fontId="49" fillId="0" borderId="24" xfId="0" applyNumberFormat="1" applyFont="1" applyFill="1" applyBorder="1" applyAlignment="1" applyProtection="1">
      <alignment horizontal="center" vertical="center" wrapText="1"/>
      <protection locked="0"/>
    </xf>
    <xf numFmtId="191" fontId="50" fillId="6" borderId="14" xfId="0" applyNumberFormat="1" applyFont="1" applyFill="1" applyBorder="1" applyAlignment="1" applyProtection="1">
      <alignment vertical="center" textRotation="255" wrapText="1"/>
    </xf>
    <xf numFmtId="191" fontId="49" fillId="6" borderId="44" xfId="0" applyNumberFormat="1" applyFont="1" applyFill="1" applyBorder="1" applyAlignment="1" applyProtection="1">
      <alignment horizontal="center" vertical="center" wrapText="1"/>
    </xf>
    <xf numFmtId="191" fontId="49" fillId="6" borderId="44" xfId="0" applyNumberFormat="1" applyFont="1" applyFill="1" applyBorder="1" applyAlignment="1" applyProtection="1">
      <alignment horizontal="left" vertical="center" wrapText="1"/>
    </xf>
    <xf numFmtId="191" fontId="49" fillId="6" borderId="45" xfId="0" applyNumberFormat="1" applyFont="1" applyFill="1" applyBorder="1" applyAlignment="1" applyProtection="1">
      <alignment horizontal="center" vertical="center" wrapText="1"/>
    </xf>
    <xf numFmtId="191" fontId="44" fillId="6" borderId="1" xfId="0" applyNumberFormat="1" applyFont="1" applyFill="1" applyBorder="1" applyAlignment="1" applyProtection="1">
      <alignment horizontal="center" vertical="center" wrapText="1"/>
    </xf>
    <xf numFmtId="191" fontId="49" fillId="6" borderId="1" xfId="0" applyNumberFormat="1" applyFont="1" applyFill="1" applyBorder="1" applyAlignment="1" applyProtection="1">
      <alignment horizontal="center" vertical="center" wrapText="1"/>
    </xf>
    <xf numFmtId="191" fontId="49" fillId="6" borderId="1" xfId="0" applyNumberFormat="1" applyFont="1" applyFill="1" applyBorder="1" applyAlignment="1" applyProtection="1">
      <alignment horizontal="left" vertical="center" wrapText="1"/>
    </xf>
    <xf numFmtId="191" fontId="49" fillId="6" borderId="24" xfId="0" applyNumberFormat="1" applyFont="1" applyFill="1" applyBorder="1" applyAlignment="1" applyProtection="1">
      <alignment horizontal="center" vertical="center" wrapText="1"/>
    </xf>
    <xf numFmtId="191" fontId="49" fillId="6" borderId="78" xfId="0" applyNumberFormat="1" applyFont="1" applyFill="1" applyBorder="1" applyAlignment="1" applyProtection="1">
      <alignment horizontal="center" vertical="center" wrapText="1"/>
    </xf>
    <xf numFmtId="191"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1" fontId="44" fillId="6" borderId="3" xfId="0" applyNumberFormat="1" applyFont="1" applyFill="1" applyBorder="1" applyAlignment="1" applyProtection="1">
      <alignment horizontal="center" vertical="center" wrapText="1"/>
    </xf>
    <xf numFmtId="191" fontId="58" fillId="0" borderId="3" xfId="0" applyNumberFormat="1" applyFont="1" applyFill="1" applyBorder="1" applyAlignment="1" applyProtection="1">
      <alignment horizontal="center" vertical="center" wrapText="1"/>
      <protection locked="0"/>
    </xf>
    <xf numFmtId="191" fontId="58" fillId="6" borderId="3" xfId="0" applyNumberFormat="1" applyFont="1" applyFill="1" applyBorder="1" applyAlignment="1" applyProtection="1">
      <alignment horizontal="center" vertical="center" wrapText="1"/>
    </xf>
    <xf numFmtId="191" fontId="58" fillId="0" borderId="11" xfId="0" applyNumberFormat="1" applyFont="1" applyFill="1" applyBorder="1" applyAlignment="1" applyProtection="1">
      <alignment horizontal="center" vertical="center" wrapText="1"/>
      <protection locked="0"/>
    </xf>
    <xf numFmtId="191" fontId="58" fillId="6" borderId="41" xfId="0" applyNumberFormat="1" applyFont="1" applyFill="1" applyBorder="1" applyAlignment="1" applyProtection="1">
      <alignment horizontal="center" vertical="center" wrapText="1"/>
    </xf>
    <xf numFmtId="191"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1"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1" fontId="44" fillId="6" borderId="45" xfId="0" applyNumberFormat="1" applyFont="1" applyFill="1" applyBorder="1" applyAlignment="1" applyProtection="1">
      <alignment horizontal="center" vertical="center" wrapText="1"/>
    </xf>
    <xf numFmtId="191" fontId="51" fillId="0" borderId="15" xfId="0" applyNumberFormat="1" applyFont="1" applyFill="1" applyBorder="1" applyAlignment="1" applyProtection="1">
      <alignment horizontal="center" vertical="center" wrapText="1"/>
      <protection locked="0"/>
    </xf>
    <xf numFmtId="191" fontId="68" fillId="0" borderId="15" xfId="0" applyNumberFormat="1" applyFont="1" applyFill="1" applyBorder="1" applyAlignment="1" applyProtection="1">
      <alignment horizontal="center" vertical="center" wrapText="1"/>
      <protection locked="0"/>
    </xf>
    <xf numFmtId="191" fontId="68" fillId="0" borderId="15" xfId="0" applyNumberFormat="1" applyFont="1" applyFill="1" applyBorder="1" applyAlignment="1" applyProtection="1">
      <alignment horizontal="left" vertical="center" wrapText="1"/>
      <protection locked="0"/>
    </xf>
    <xf numFmtId="191" fontId="68" fillId="0" borderId="53" xfId="0" applyNumberFormat="1" applyFont="1" applyFill="1" applyBorder="1" applyAlignment="1" applyProtection="1">
      <alignment horizontal="center" vertical="center" wrapText="1"/>
      <protection locked="0"/>
    </xf>
    <xf numFmtId="191" fontId="98" fillId="0" borderId="44" xfId="0" applyNumberFormat="1" applyFont="1" applyFill="1" applyBorder="1" applyAlignment="1" applyProtection="1">
      <alignment horizontal="center" vertical="center" wrapText="1"/>
      <protection locked="0"/>
    </xf>
    <xf numFmtId="191" fontId="44" fillId="0" borderId="12" xfId="0" applyNumberFormat="1" applyFont="1" applyFill="1" applyBorder="1" applyAlignment="1" applyProtection="1">
      <alignment horizontal="center" vertical="center" wrapText="1"/>
      <protection locked="0"/>
    </xf>
    <xf numFmtId="191" fontId="44" fillId="6" borderId="62" xfId="0" applyFont="1" applyFill="1" applyBorder="1" applyAlignment="1" applyProtection="1">
      <alignment horizontal="center" vertical="center" wrapText="1"/>
    </xf>
    <xf numFmtId="191" fontId="51" fillId="6" borderId="56" xfId="0" applyFont="1" applyFill="1" applyBorder="1" applyAlignment="1" applyProtection="1">
      <alignment horizontal="center" vertical="center"/>
    </xf>
    <xf numFmtId="191" fontId="44" fillId="6" borderId="61" xfId="0" applyFont="1" applyFill="1" applyBorder="1" applyAlignment="1" applyProtection="1">
      <alignment horizontal="center" vertical="center" wrapText="1"/>
    </xf>
    <xf numFmtId="191" fontId="44" fillId="6" borderId="8" xfId="0" applyFont="1" applyFill="1" applyBorder="1" applyAlignment="1" applyProtection="1">
      <alignment horizontal="center" vertical="center" wrapText="1"/>
    </xf>
    <xf numFmtId="191" fontId="44" fillId="6" borderId="53" xfId="0" applyFont="1" applyFill="1" applyBorder="1" applyAlignment="1" applyProtection="1">
      <alignment horizontal="center" vertical="center" wrapText="1"/>
    </xf>
    <xf numFmtId="191" fontId="51" fillId="2" borderId="54" xfId="0" applyNumberFormat="1" applyFont="1" applyFill="1" applyBorder="1" applyAlignment="1" applyProtection="1">
      <alignment horizontal="center" vertical="center" wrapText="1"/>
      <protection locked="0"/>
    </xf>
    <xf numFmtId="191" fontId="44" fillId="0" borderId="49" xfId="0" applyFont="1" applyFill="1" applyBorder="1" applyAlignment="1" applyProtection="1">
      <alignment horizontal="center" vertical="center" wrapText="1"/>
      <protection locked="0"/>
    </xf>
    <xf numFmtId="191" fontId="51" fillId="6" borderId="57" xfId="0" applyNumberFormat="1" applyFont="1" applyFill="1" applyBorder="1" applyAlignment="1" applyProtection="1">
      <alignment horizontal="center" vertical="center" wrapText="1"/>
    </xf>
    <xf numFmtId="191"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1" fontId="44" fillId="6" borderId="22" xfId="0" applyNumberFormat="1" applyFont="1" applyFill="1" applyBorder="1" applyAlignment="1" applyProtection="1">
      <alignment horizontal="center" vertical="center" wrapText="1"/>
    </xf>
    <xf numFmtId="191" fontId="44" fillId="6" borderId="20" xfId="0" applyFont="1" applyFill="1" applyBorder="1" applyAlignment="1" applyProtection="1">
      <alignment horizontal="center" vertical="center" wrapText="1"/>
    </xf>
    <xf numFmtId="191" fontId="66" fillId="6" borderId="80" xfId="0" applyFont="1" applyFill="1" applyBorder="1" applyAlignment="1" applyProtection="1">
      <alignment vertical="center" wrapText="1"/>
    </xf>
    <xf numFmtId="191" fontId="44" fillId="6" borderId="54" xfId="0" applyFont="1" applyFill="1" applyBorder="1" applyAlignment="1" applyProtection="1">
      <alignment horizontal="center" vertical="center" wrapText="1"/>
    </xf>
    <xf numFmtId="191" fontId="50" fillId="6" borderId="80" xfId="0" applyFont="1" applyFill="1" applyBorder="1" applyAlignment="1" applyProtection="1">
      <alignment vertical="center" wrapText="1"/>
    </xf>
    <xf numFmtId="191" fontId="44" fillId="0" borderId="36" xfId="0" applyFont="1" applyFill="1" applyBorder="1" applyAlignment="1" applyProtection="1">
      <alignment horizontal="center" vertical="center" wrapText="1"/>
      <protection locked="0"/>
    </xf>
    <xf numFmtId="191" fontId="46" fillId="6" borderId="80" xfId="0" applyFont="1" applyFill="1" applyBorder="1" applyAlignment="1" applyProtection="1">
      <alignment vertical="center" wrapText="1"/>
    </xf>
    <xf numFmtId="191" fontId="50" fillId="6" borderId="81" xfId="0" applyFont="1" applyFill="1" applyBorder="1" applyAlignment="1" applyProtection="1">
      <alignment vertical="center" wrapText="1"/>
    </xf>
    <xf numFmtId="191" fontId="51" fillId="6" borderId="53" xfId="0" applyFont="1" applyFill="1" applyBorder="1" applyAlignment="1" applyProtection="1">
      <alignment horizontal="center" vertical="center"/>
    </xf>
    <xf numFmtId="191" fontId="44" fillId="0" borderId="61" xfId="0" applyFont="1" applyFill="1" applyBorder="1" applyAlignment="1" applyProtection="1">
      <alignment horizontal="center" vertical="center" wrapText="1"/>
      <protection locked="0"/>
    </xf>
    <xf numFmtId="191" fontId="46" fillId="6" borderId="18" xfId="0" applyFont="1" applyFill="1" applyBorder="1" applyAlignment="1" applyProtection="1">
      <alignment vertical="center" wrapText="1"/>
    </xf>
    <xf numFmtId="191" fontId="44" fillId="6" borderId="76" xfId="0" applyNumberFormat="1" applyFont="1" applyFill="1" applyBorder="1" applyAlignment="1" applyProtection="1">
      <alignment horizontal="center" vertical="center" wrapText="1"/>
    </xf>
    <xf numFmtId="191" fontId="44" fillId="6" borderId="75" xfId="0" applyNumberFormat="1" applyFont="1" applyFill="1" applyBorder="1" applyAlignment="1" applyProtection="1">
      <alignment horizontal="center" vertical="center" wrapText="1"/>
    </xf>
    <xf numFmtId="191" fontId="50" fillId="6" borderId="16" xfId="0" applyFont="1" applyFill="1" applyBorder="1" applyAlignment="1" applyProtection="1">
      <alignment vertical="center" textRotation="255" wrapText="1"/>
    </xf>
    <xf numFmtId="191" fontId="69" fillId="6" borderId="18" xfId="0" applyFont="1" applyFill="1" applyBorder="1" applyAlignment="1" applyProtection="1">
      <alignment vertical="center" textRotation="255" wrapText="1"/>
    </xf>
    <xf numFmtId="191"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1" fontId="50" fillId="6" borderId="18" xfId="0" applyFont="1" applyFill="1" applyBorder="1" applyAlignment="1" applyProtection="1">
      <alignment vertical="center" textRotation="255" wrapText="1"/>
    </xf>
    <xf numFmtId="191" fontId="44" fillId="2" borderId="37" xfId="0" applyNumberFormat="1" applyFont="1" applyFill="1" applyBorder="1" applyAlignment="1" applyProtection="1">
      <alignment horizontal="center" vertical="center" wrapText="1"/>
      <protection locked="0"/>
    </xf>
    <xf numFmtId="191" fontId="46" fillId="6" borderId="18" xfId="0" applyFont="1" applyFill="1" applyBorder="1" applyAlignment="1" applyProtection="1">
      <alignment vertical="center" textRotation="255" wrapText="1"/>
    </xf>
    <xf numFmtId="191" fontId="50" fillId="6" borderId="42" xfId="0" applyFont="1" applyFill="1" applyBorder="1" applyAlignment="1" applyProtection="1">
      <alignment vertical="center" textRotation="255" wrapText="1"/>
    </xf>
    <xf numFmtId="191"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1" fontId="44" fillId="6" borderId="53" xfId="0" applyNumberFormat="1" applyFont="1" applyFill="1" applyBorder="1" applyAlignment="1" applyProtection="1">
      <alignment horizontal="center" vertical="center" wrapText="1"/>
    </xf>
    <xf numFmtId="191" fontId="44" fillId="6" borderId="58" xfId="0" applyNumberFormat="1" applyFont="1" applyFill="1" applyBorder="1" applyAlignment="1" applyProtection="1">
      <alignment horizontal="center" vertical="center" wrapText="1"/>
    </xf>
    <xf numFmtId="191" fontId="51" fillId="6" borderId="28" xfId="0" applyNumberFormat="1" applyFont="1" applyFill="1" applyBorder="1" applyAlignment="1" applyProtection="1">
      <alignment horizontal="center" vertical="center" wrapText="1"/>
    </xf>
    <xf numFmtId="191" fontId="68" fillId="6" borderId="15" xfId="0" applyNumberFormat="1" applyFont="1" applyFill="1" applyBorder="1" applyAlignment="1" applyProtection="1">
      <alignment horizontal="center" vertical="center" wrapText="1"/>
    </xf>
    <xf numFmtId="191" fontId="68" fillId="6" borderId="15" xfId="0" applyNumberFormat="1" applyFont="1" applyFill="1" applyBorder="1" applyAlignment="1" applyProtection="1">
      <alignment horizontal="left" vertical="center" wrapText="1"/>
    </xf>
    <xf numFmtId="191"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1" fontId="61" fillId="6" borderId="3" xfId="0" applyNumberFormat="1" applyFont="1" applyFill="1" applyBorder="1" applyAlignment="1" applyProtection="1">
      <alignment horizontal="center" vertical="center" wrapText="1"/>
    </xf>
    <xf numFmtId="191" fontId="61" fillId="0" borderId="3" xfId="0" applyNumberFormat="1" applyFont="1" applyFill="1" applyBorder="1" applyAlignment="1" applyProtection="1">
      <alignment horizontal="center" vertical="center" wrapText="1"/>
      <protection locked="0"/>
    </xf>
    <xf numFmtId="191" fontId="51" fillId="0" borderId="23" xfId="0" applyNumberFormat="1" applyFont="1" applyFill="1" applyBorder="1" applyAlignment="1" applyProtection="1">
      <alignment horizontal="center" vertical="center" wrapText="1"/>
      <protection locked="0"/>
    </xf>
    <xf numFmtId="191" fontId="51" fillId="6" borderId="18" xfId="0" applyFont="1" applyFill="1" applyBorder="1" applyAlignment="1" applyProtection="1">
      <alignment horizontal="center" vertical="center"/>
    </xf>
    <xf numFmtId="191" fontId="69" fillId="6" borderId="42" xfId="0" applyFont="1" applyFill="1" applyBorder="1" applyAlignment="1" applyProtection="1">
      <alignment vertical="center" textRotation="255" wrapText="1"/>
    </xf>
    <xf numFmtId="191" fontId="51" fillId="0" borderId="13" xfId="0" applyNumberFormat="1" applyFont="1" applyFill="1" applyBorder="1" applyAlignment="1" applyProtection="1">
      <alignment horizontal="center" vertical="center" wrapText="1"/>
      <protection locked="0"/>
    </xf>
    <xf numFmtId="191" fontId="51" fillId="0" borderId="25" xfId="0" applyNumberFormat="1" applyFont="1" applyFill="1" applyBorder="1" applyAlignment="1" applyProtection="1">
      <alignment horizontal="center" vertical="center" wrapText="1"/>
      <protection locked="0"/>
    </xf>
    <xf numFmtId="191" fontId="51" fillId="0" borderId="6" xfId="0" applyNumberFormat="1" applyFont="1" applyFill="1" applyBorder="1" applyAlignment="1" applyProtection="1">
      <alignment horizontal="center" vertical="center" wrapText="1"/>
      <protection locked="0"/>
    </xf>
    <xf numFmtId="191" fontId="49" fillId="6" borderId="49" xfId="0" applyNumberFormat="1" applyFont="1" applyFill="1" applyBorder="1" applyAlignment="1" applyProtection="1">
      <alignment horizontal="center" vertical="center" wrapText="1"/>
    </xf>
    <xf numFmtId="191" fontId="71" fillId="6" borderId="3" xfId="0" applyNumberFormat="1" applyFont="1" applyFill="1" applyBorder="1" applyAlignment="1" applyProtection="1">
      <alignment horizontal="center" vertical="center" wrapText="1"/>
    </xf>
    <xf numFmtId="191"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1" fontId="51" fillId="6" borderId="9" xfId="0" applyFont="1" applyFill="1" applyBorder="1" applyAlignment="1" applyProtection="1">
      <alignment horizontal="center" vertical="center"/>
    </xf>
    <xf numFmtId="191" fontId="51" fillId="6" borderId="10" xfId="0" applyFont="1" applyFill="1" applyBorder="1" applyAlignment="1" applyProtection="1">
      <alignment horizontal="center" vertical="center"/>
    </xf>
    <xf numFmtId="191"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1"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1" fontId="72" fillId="0" borderId="0" xfId="0" applyFont="1" applyFill="1" applyAlignment="1" applyProtection="1">
      <alignment horizontal="center" vertical="center"/>
      <protection locked="0"/>
    </xf>
    <xf numFmtId="191"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1" fontId="54" fillId="6" borderId="25" xfId="1" applyFont="1" applyFill="1" applyBorder="1" applyAlignment="1" applyProtection="1"/>
    <xf numFmtId="191"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1" fontId="44" fillId="6" borderId="44" xfId="0" applyNumberFormat="1" applyFont="1" applyFill="1" applyBorder="1" applyAlignment="1" applyProtection="1">
      <alignment horizontal="left" vertical="center" wrapText="1"/>
    </xf>
    <xf numFmtId="191" fontId="51" fillId="0" borderId="61" xfId="0" applyNumberFormat="1" applyFont="1" applyFill="1" applyBorder="1" applyAlignment="1" applyProtection="1">
      <alignment horizontal="center" vertical="center" wrapText="1"/>
      <protection locked="0"/>
    </xf>
    <xf numFmtId="191" fontId="49" fillId="6" borderId="74" xfId="0" applyNumberFormat="1" applyFont="1" applyFill="1" applyBorder="1" applyAlignment="1" applyProtection="1">
      <alignment horizontal="center" vertical="center" wrapText="1"/>
    </xf>
    <xf numFmtId="191" fontId="51" fillId="0" borderId="66" xfId="0" applyNumberFormat="1" applyFont="1" applyFill="1" applyBorder="1" applyAlignment="1" applyProtection="1">
      <alignment horizontal="center" vertical="center" wrapText="1"/>
      <protection locked="0"/>
    </xf>
    <xf numFmtId="191" fontId="47" fillId="0" borderId="0" xfId="0" applyNumberFormat="1" applyFont="1" applyAlignment="1" applyProtection="1">
      <alignment horizontal="center" vertical="center"/>
      <protection locked="0"/>
    </xf>
    <xf numFmtId="191" fontId="47" fillId="6" borderId="16" xfId="0" applyNumberFormat="1" applyFont="1" applyFill="1" applyBorder="1" applyAlignment="1" applyProtection="1">
      <alignment horizontal="center" vertical="center" wrapText="1"/>
    </xf>
    <xf numFmtId="191" fontId="47" fillId="6" borderId="6"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1" xfId="0" applyNumberFormat="1" applyFont="1" applyFill="1" applyBorder="1" applyAlignment="1" applyProtection="1">
      <alignment horizontal="center" vertical="center" wrapText="1"/>
    </xf>
    <xf numFmtId="191" fontId="53" fillId="0" borderId="0" xfId="0" applyFont="1" applyFill="1" applyAlignment="1" applyProtection="1">
      <alignment horizontal="center" vertical="center"/>
      <protection locked="0"/>
    </xf>
    <xf numFmtId="191" fontId="47" fillId="6" borderId="18" xfId="0" applyNumberFormat="1" applyFont="1" applyFill="1" applyBorder="1" applyAlignment="1" applyProtection="1">
      <alignment horizontal="center" vertical="center"/>
    </xf>
    <xf numFmtId="191" fontId="47" fillId="0" borderId="23" xfId="0" applyNumberFormat="1" applyFont="1" applyFill="1" applyBorder="1" applyAlignment="1" applyProtection="1">
      <alignment horizontal="center" vertical="center" wrapText="1"/>
      <protection locked="0"/>
    </xf>
    <xf numFmtId="191" fontId="47" fillId="0" borderId="1" xfId="0" applyNumberFormat="1" applyFont="1" applyFill="1" applyBorder="1" applyAlignment="1" applyProtection="1">
      <alignment horizontal="center" vertical="center" wrapText="1"/>
      <protection locked="0"/>
    </xf>
    <xf numFmtId="191" fontId="48" fillId="6" borderId="59" xfId="0" applyNumberFormat="1" applyFont="1" applyFill="1" applyBorder="1" applyAlignment="1" applyProtection="1">
      <alignment horizontal="center" vertical="center" wrapText="1"/>
    </xf>
    <xf numFmtId="191" fontId="48" fillId="0" borderId="0" xfId="0" applyFont="1" applyFill="1" applyAlignment="1" applyProtection="1">
      <alignment horizontal="center" vertical="center"/>
      <protection locked="0"/>
    </xf>
    <xf numFmtId="191" fontId="47" fillId="0" borderId="56" xfId="0" applyNumberFormat="1" applyFont="1" applyFill="1" applyBorder="1" applyAlignment="1" applyProtection="1">
      <alignment horizontal="center" vertical="center" wrapText="1"/>
      <protection locked="0"/>
    </xf>
    <xf numFmtId="191" fontId="45" fillId="6" borderId="1" xfId="0" applyFont="1" applyFill="1" applyBorder="1" applyProtection="1">
      <alignment vertical="center"/>
    </xf>
    <xf numFmtId="191" fontId="47" fillId="6" borderId="1" xfId="0" applyNumberFormat="1" applyFont="1" applyFill="1" applyBorder="1" applyAlignment="1" applyProtection="1">
      <alignment horizontal="center" vertical="center"/>
    </xf>
    <xf numFmtId="191" fontId="47" fillId="6" borderId="1" xfId="0" applyNumberFormat="1" applyFont="1" applyFill="1" applyBorder="1" applyAlignment="1" applyProtection="1">
      <alignment horizontal="center" vertical="center" wrapText="1"/>
    </xf>
    <xf numFmtId="191" fontId="60" fillId="0" borderId="1" xfId="0" applyFont="1" applyFill="1" applyBorder="1" applyAlignment="1" applyProtection="1">
      <alignment horizontal="center" vertical="center"/>
      <protection locked="0"/>
    </xf>
    <xf numFmtId="191" fontId="60" fillId="6" borderId="1" xfId="0" applyFont="1" applyFill="1" applyBorder="1" applyAlignment="1" applyProtection="1">
      <alignment horizontal="center" vertical="center"/>
    </xf>
    <xf numFmtId="191" fontId="60" fillId="2" borderId="1" xfId="0" applyFont="1" applyFill="1" applyBorder="1" applyAlignment="1" applyProtection="1">
      <alignment horizontal="center" vertical="center"/>
      <protection locked="0"/>
    </xf>
    <xf numFmtId="191" fontId="60" fillId="0" borderId="1" xfId="0" applyNumberFormat="1" applyFont="1" applyBorder="1" applyAlignment="1" applyProtection="1">
      <alignment horizontal="center" vertical="center"/>
      <protection locked="0"/>
    </xf>
    <xf numFmtId="191" fontId="60" fillId="0" borderId="0" xfId="0" applyFont="1" applyProtection="1">
      <alignment vertical="center"/>
      <protection locked="0"/>
    </xf>
    <xf numFmtId="191" fontId="44" fillId="6" borderId="23" xfId="0" applyFont="1" applyFill="1" applyBorder="1" applyAlignment="1" applyProtection="1">
      <alignment vertical="center"/>
    </xf>
    <xf numFmtId="191" fontId="53" fillId="0" borderId="8" xfId="1" applyNumberFormat="1" applyFont="1" applyFill="1" applyBorder="1" applyAlignment="1" applyProtection="1">
      <alignment horizontal="center" vertical="center"/>
      <protection locked="0"/>
    </xf>
    <xf numFmtId="191"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191" fontId="46" fillId="0" borderId="32" xfId="0" applyFont="1" applyFill="1" applyBorder="1" applyAlignment="1" applyProtection="1">
      <alignment horizontal="center" vertical="center"/>
      <protection locked="0"/>
    </xf>
    <xf numFmtId="191"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191" fontId="47" fillId="6" borderId="0" xfId="0" applyFont="1" applyFill="1" applyAlignment="1" applyProtection="1">
      <alignment vertical="center"/>
    </xf>
    <xf numFmtId="191" fontId="98" fillId="6" borderId="0" xfId="0" applyFont="1" applyFill="1" applyAlignment="1" applyProtection="1">
      <alignment vertical="center"/>
    </xf>
    <xf numFmtId="191" fontId="98" fillId="6" borderId="0" xfId="0" applyFont="1" applyFill="1" applyAlignment="1" applyProtection="1">
      <alignment horizontal="left" vertical="center"/>
    </xf>
    <xf numFmtId="191"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191" fontId="47" fillId="6" borderId="0" xfId="0" applyFont="1" applyFill="1" applyBorder="1" applyAlignment="1" applyProtection="1">
      <alignment vertical="center"/>
    </xf>
    <xf numFmtId="191" fontId="65" fillId="6" borderId="36" xfId="0" applyFont="1" applyFill="1" applyBorder="1" applyAlignment="1" applyProtection="1">
      <alignment vertical="center"/>
    </xf>
    <xf numFmtId="191"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1" fontId="62" fillId="6" borderId="36" xfId="0" applyFont="1" applyFill="1" applyBorder="1" applyAlignment="1" applyProtection="1">
      <alignment horizontal="center" vertical="center"/>
    </xf>
    <xf numFmtId="191" fontId="51" fillId="6" borderId="0" xfId="0" applyFont="1" applyFill="1" applyAlignment="1" applyProtection="1">
      <alignment horizontal="center" vertical="center"/>
    </xf>
    <xf numFmtId="191"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1" fontId="56" fillId="6" borderId="0" xfId="0" applyFont="1" applyFill="1" applyBorder="1" applyAlignment="1" applyProtection="1"/>
    <xf numFmtId="191" fontId="51" fillId="6" borderId="0" xfId="0" applyFont="1" applyFill="1" applyBorder="1" applyAlignment="1" applyProtection="1"/>
    <xf numFmtId="191"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1" fontId="62" fillId="6" borderId="0" xfId="0" applyFont="1" applyFill="1" applyBorder="1" applyAlignment="1" applyProtection="1">
      <alignment horizontal="center" vertical="center"/>
    </xf>
    <xf numFmtId="191"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1" fontId="44" fillId="6" borderId="15" xfId="0" applyFont="1" applyFill="1" applyBorder="1" applyAlignment="1" applyProtection="1">
      <alignment horizontal="center" vertical="center"/>
    </xf>
    <xf numFmtId="191"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1"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1" fontId="49" fillId="6" borderId="15" xfId="0" applyFont="1" applyFill="1" applyBorder="1" applyAlignment="1" applyProtection="1">
      <alignment horizontal="center" vertical="center"/>
    </xf>
    <xf numFmtId="191" fontId="49" fillId="6" borderId="1" xfId="0" applyFont="1" applyFill="1" applyBorder="1" applyAlignment="1" applyProtection="1">
      <alignment horizontal="center" vertical="center"/>
    </xf>
    <xf numFmtId="191" fontId="51" fillId="6" borderId="2" xfId="0" applyFont="1" applyFill="1" applyBorder="1" applyAlignment="1" applyProtection="1">
      <alignment vertical="center" textRotation="255" wrapText="1"/>
    </xf>
    <xf numFmtId="191"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1" fontId="62" fillId="6" borderId="60" xfId="0" applyFont="1" applyFill="1" applyBorder="1" applyAlignment="1" applyProtection="1">
      <alignment horizontal="center" vertical="center"/>
    </xf>
    <xf numFmtId="191" fontId="53" fillId="6" borderId="0" xfId="0" applyFont="1" applyFill="1" applyAlignment="1" applyProtection="1"/>
    <xf numFmtId="191" fontId="47" fillId="6" borderId="0" xfId="0" applyNumberFormat="1" applyFont="1" applyFill="1" applyAlignment="1" applyProtection="1">
      <alignment horizontal="center" vertical="center"/>
      <protection locked="0"/>
    </xf>
    <xf numFmtId="191" fontId="44" fillId="6" borderId="32" xfId="0" applyFont="1" applyFill="1" applyBorder="1" applyAlignment="1" applyProtection="1">
      <alignment horizontal="center" vertical="center"/>
    </xf>
    <xf numFmtId="191"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1" fontId="63" fillId="7" borderId="0" xfId="0" applyFont="1" applyFill="1" applyAlignment="1" applyProtection="1">
      <alignment vertical="center"/>
      <protection locked="0"/>
    </xf>
    <xf numFmtId="191" fontId="47" fillId="7" borderId="0" xfId="0" applyFont="1" applyFill="1" applyProtection="1">
      <alignment vertical="center"/>
      <protection locked="0"/>
    </xf>
    <xf numFmtId="191" fontId="53" fillId="7" borderId="0" xfId="0" applyFont="1" applyFill="1" applyAlignment="1" applyProtection="1">
      <alignment horizontal="center" vertical="center"/>
      <protection locked="0"/>
    </xf>
    <xf numFmtId="191" fontId="48"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wrapText="1"/>
      <protection locked="0"/>
    </xf>
    <xf numFmtId="191"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191"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91" fontId="61" fillId="6" borderId="3" xfId="0" applyNumberFormat="1" applyFont="1" applyFill="1" applyBorder="1" applyAlignment="1" applyProtection="1">
      <alignment horizontal="center" vertical="center" wrapText="1"/>
      <protection locked="0"/>
    </xf>
    <xf numFmtId="191" fontId="109" fillId="6" borderId="20" xfId="0" applyFont="1" applyFill="1" applyBorder="1" applyAlignment="1" applyProtection="1">
      <alignment vertical="center"/>
    </xf>
    <xf numFmtId="191" fontId="109" fillId="6" borderId="21" xfId="0" applyFont="1" applyFill="1" applyBorder="1" applyAlignment="1" applyProtection="1">
      <alignment horizontal="center" vertical="center"/>
    </xf>
    <xf numFmtId="191"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1" fontId="78" fillId="0" borderId="60" xfId="3" applyNumberFormat="1" applyFont="1" applyBorder="1" applyAlignment="1" applyProtection="1">
      <alignment vertical="center"/>
    </xf>
    <xf numFmtId="191" fontId="0" fillId="0" borderId="0" xfId="0" applyNumberFormat="1" applyProtection="1">
      <alignment vertical="center"/>
    </xf>
    <xf numFmtId="191"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1" fontId="50" fillId="6" borderId="36" xfId="0" applyFont="1" applyFill="1" applyBorder="1" applyAlignment="1" applyProtection="1">
      <alignment horizontal="center" vertical="center"/>
    </xf>
    <xf numFmtId="191" fontId="54" fillId="6" borderId="34" xfId="0" applyFont="1" applyFill="1" applyBorder="1" applyAlignment="1" applyProtection="1">
      <alignment horizontal="center" vertical="center"/>
    </xf>
    <xf numFmtId="191" fontId="54" fillId="6" borderId="28" xfId="0" applyNumberFormat="1" applyFont="1" applyFill="1" applyBorder="1" applyAlignment="1" applyProtection="1">
      <alignment horizontal="center" vertical="center" wrapText="1"/>
    </xf>
    <xf numFmtId="191" fontId="53" fillId="6" borderId="2" xfId="0" applyFont="1" applyFill="1" applyBorder="1" applyAlignment="1" applyProtection="1">
      <alignment horizontal="center" vertical="center" wrapText="1"/>
    </xf>
    <xf numFmtId="191"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1"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1"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1" fontId="54" fillId="6" borderId="20" xfId="0" applyFont="1" applyFill="1" applyBorder="1" applyAlignment="1" applyProtection="1">
      <alignment horizontal="center" vertical="center" wrapText="1"/>
    </xf>
    <xf numFmtId="191" fontId="54" fillId="6" borderId="15" xfId="0" applyFont="1" applyFill="1" applyBorder="1" applyAlignment="1" applyProtection="1">
      <alignment horizontal="center" vertical="center" wrapText="1"/>
    </xf>
    <xf numFmtId="191"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1" fontId="53" fillId="6" borderId="29" xfId="0" applyFont="1" applyFill="1" applyBorder="1" applyAlignment="1" applyProtection="1">
      <alignment horizontal="center" vertical="center" wrapText="1"/>
    </xf>
    <xf numFmtId="191" fontId="53" fillId="6" borderId="62" xfId="0" applyFont="1" applyFill="1" applyBorder="1" applyAlignment="1" applyProtection="1">
      <alignment horizontal="center" vertical="center" wrapText="1"/>
    </xf>
    <xf numFmtId="191" fontId="51" fillId="6" borderId="9" xfId="0" applyFont="1" applyFill="1" applyBorder="1" applyAlignment="1" applyProtection="1">
      <alignment horizontal="center" vertical="center" wrapText="1"/>
    </xf>
    <xf numFmtId="191" fontId="51" fillId="6" borderId="24" xfId="0" applyFont="1" applyFill="1" applyBorder="1" applyAlignment="1" applyProtection="1">
      <alignment horizontal="center" vertical="center" wrapText="1"/>
    </xf>
    <xf numFmtId="191" fontId="99" fillId="6" borderId="1" xfId="0" applyFont="1" applyFill="1" applyBorder="1" applyAlignment="1" applyProtection="1">
      <alignment horizontal="center" vertical="center"/>
    </xf>
    <xf numFmtId="191"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1"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1" fontId="59" fillId="6" borderId="23" xfId="1" applyFont="1" applyFill="1" applyBorder="1" applyAlignment="1" applyProtection="1">
      <alignment horizontal="right"/>
    </xf>
    <xf numFmtId="191" fontId="53" fillId="6" borderId="23" xfId="0" applyFont="1" applyFill="1" applyBorder="1" applyAlignment="1" applyProtection="1">
      <alignment horizontal="center" vertical="center"/>
    </xf>
    <xf numFmtId="191" fontId="47" fillId="3" borderId="0" xfId="0" applyFont="1" applyFill="1" applyAlignment="1" applyProtection="1">
      <alignment vertical="center"/>
      <protection locked="0"/>
    </xf>
    <xf numFmtId="191" fontId="45" fillId="6" borderId="51" xfId="0" applyFont="1" applyFill="1" applyBorder="1" applyAlignment="1" applyProtection="1">
      <alignment vertical="center"/>
    </xf>
    <xf numFmtId="191" fontId="45" fillId="6" borderId="20" xfId="0" applyFont="1" applyFill="1" applyBorder="1" applyAlignment="1" applyProtection="1">
      <alignment vertical="center"/>
    </xf>
    <xf numFmtId="191" fontId="45" fillId="6" borderId="21" xfId="0" applyFont="1" applyFill="1" applyBorder="1" applyAlignment="1" applyProtection="1">
      <alignment vertical="center"/>
    </xf>
    <xf numFmtId="191" fontId="61" fillId="7" borderId="0" xfId="0" applyFont="1" applyFill="1" applyAlignment="1" applyProtection="1">
      <alignment vertical="center"/>
      <protection locked="0"/>
    </xf>
    <xf numFmtId="191" fontId="46" fillId="6" borderId="23" xfId="0" applyFont="1" applyFill="1" applyBorder="1" applyAlignment="1" applyProtection="1">
      <alignment horizontal="center" vertical="center"/>
    </xf>
    <xf numFmtId="191" fontId="46" fillId="6" borderId="46" xfId="0" applyFont="1" applyFill="1" applyBorder="1" applyAlignment="1" applyProtection="1">
      <alignment vertical="center"/>
    </xf>
    <xf numFmtId="191" fontId="46" fillId="7" borderId="0" xfId="0" applyFont="1" applyFill="1" applyAlignment="1" applyProtection="1">
      <alignment vertical="center"/>
      <protection locked="0"/>
    </xf>
    <xf numFmtId="191"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1" fontId="47" fillId="7" borderId="0" xfId="0" applyFont="1" applyFill="1" applyAlignment="1" applyProtection="1">
      <alignment vertical="center"/>
      <protection locked="0"/>
    </xf>
    <xf numFmtId="191"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1" fontId="46" fillId="6" borderId="1" xfId="0" applyFont="1" applyFill="1" applyBorder="1" applyAlignment="1" applyProtection="1">
      <alignment horizontal="center" vertical="center"/>
    </xf>
    <xf numFmtId="191" fontId="46" fillId="6" borderId="54" xfId="0" applyFont="1" applyFill="1" applyBorder="1" applyAlignment="1" applyProtection="1">
      <alignment vertical="center"/>
    </xf>
    <xf numFmtId="191" fontId="46" fillId="6" borderId="48" xfId="0" applyFont="1" applyFill="1" applyBorder="1" applyAlignment="1" applyProtection="1">
      <alignment vertical="center"/>
    </xf>
    <xf numFmtId="191" fontId="44" fillId="7" borderId="0" xfId="0" applyFont="1" applyFill="1" applyAlignment="1" applyProtection="1">
      <alignment vertical="center"/>
      <protection locked="0"/>
    </xf>
    <xf numFmtId="191" fontId="47" fillId="6" borderId="23" xfId="1" applyFont="1" applyFill="1" applyBorder="1" applyAlignment="1" applyProtection="1">
      <alignment horizontal="right" vertical="center"/>
    </xf>
    <xf numFmtId="191"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1"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1"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1" fontId="47" fillId="6" borderId="54" xfId="0" applyFont="1" applyFill="1" applyBorder="1" applyAlignment="1" applyProtection="1">
      <alignment vertical="center"/>
    </xf>
    <xf numFmtId="191" fontId="47" fillId="6" borderId="48" xfId="0" applyFont="1" applyFill="1" applyBorder="1" applyAlignment="1" applyProtection="1">
      <alignment vertical="center"/>
    </xf>
    <xf numFmtId="191" fontId="47" fillId="6" borderId="54" xfId="0" applyFont="1" applyFill="1" applyBorder="1" applyAlignment="1" applyProtection="1">
      <alignment horizontal="left" vertical="center"/>
    </xf>
    <xf numFmtId="191"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1"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1"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1" fontId="44" fillId="6" borderId="5" xfId="0" applyFont="1" applyFill="1" applyBorder="1" applyAlignment="1" applyProtection="1">
      <alignment vertical="center"/>
    </xf>
    <xf numFmtId="191" fontId="44" fillId="6" borderId="54" xfId="0" applyFont="1" applyFill="1" applyBorder="1" applyAlignment="1" applyProtection="1">
      <alignment vertical="center"/>
    </xf>
    <xf numFmtId="191" fontId="44" fillId="6" borderId="48" xfId="0" applyFont="1" applyFill="1" applyBorder="1" applyAlignment="1" applyProtection="1">
      <alignment vertical="center"/>
    </xf>
    <xf numFmtId="191" fontId="47" fillId="6" borderId="1" xfId="1" applyFont="1" applyFill="1" applyBorder="1" applyAlignment="1" applyProtection="1">
      <alignment horizontal="left" vertical="center"/>
    </xf>
    <xf numFmtId="191" fontId="48" fillId="3" borderId="0" xfId="0" applyFont="1" applyFill="1" applyAlignment="1" applyProtection="1">
      <alignment vertical="center"/>
      <protection locked="0"/>
    </xf>
    <xf numFmtId="191"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1" fontId="46" fillId="6" borderId="42" xfId="0" applyFont="1" applyFill="1" applyBorder="1" applyAlignment="1" applyProtection="1">
      <alignment vertical="center"/>
    </xf>
    <xf numFmtId="191"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1" fontId="45" fillId="6" borderId="75" xfId="0" applyFont="1" applyFill="1" applyBorder="1" applyAlignment="1" applyProtection="1">
      <alignment vertical="center"/>
    </xf>
    <xf numFmtId="191" fontId="46" fillId="6" borderId="43" xfId="0" applyFont="1" applyFill="1" applyBorder="1" applyAlignment="1" applyProtection="1">
      <alignment vertical="center"/>
    </xf>
    <xf numFmtId="191"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1"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1" fontId="50" fillId="6" borderId="15" xfId="0" applyFont="1" applyFill="1" applyBorder="1" applyAlignment="1" applyProtection="1">
      <alignment horizontal="center" vertical="center" wrapText="1"/>
    </xf>
    <xf numFmtId="191" fontId="115" fillId="0" borderId="0" xfId="5" applyFont="1">
      <alignment vertical="center"/>
    </xf>
    <xf numFmtId="191" fontId="95" fillId="0" borderId="0" xfId="5">
      <alignment vertical="center"/>
    </xf>
    <xf numFmtId="191" fontId="115" fillId="0" borderId="0" xfId="5" applyFont="1" applyAlignment="1">
      <alignment vertical="top" wrapText="1"/>
    </xf>
    <xf numFmtId="191" fontId="59" fillId="6" borderId="1" xfId="1" applyNumberFormat="1" applyFont="1" applyFill="1" applyBorder="1" applyAlignment="1" applyProtection="1"/>
    <xf numFmtId="191" fontId="47" fillId="6" borderId="1" xfId="1" applyNumberFormat="1" applyFont="1" applyFill="1" applyBorder="1" applyAlignment="1" applyProtection="1">
      <alignment horizontal="center" vertical="center"/>
    </xf>
    <xf numFmtId="191" fontId="53" fillId="6" borderId="1" xfId="1" applyNumberFormat="1" applyFont="1" applyFill="1" applyBorder="1" applyAlignment="1" applyProtection="1">
      <alignment horizontal="center"/>
    </xf>
    <xf numFmtId="191" fontId="53" fillId="6" borderId="1" xfId="0" applyNumberFormat="1" applyFont="1" applyFill="1" applyBorder="1" applyProtection="1">
      <alignment vertical="center"/>
    </xf>
    <xf numFmtId="191" fontId="54" fillId="6" borderId="1" xfId="1" applyNumberFormat="1" applyFont="1" applyFill="1" applyBorder="1" applyAlignment="1" applyProtection="1">
      <alignment horizontal="center"/>
    </xf>
    <xf numFmtId="191" fontId="45" fillId="0" borderId="2" xfId="7" applyFont="1" applyFill="1" applyBorder="1" applyAlignment="1" applyProtection="1">
      <alignment horizontal="center" vertical="center" wrapText="1"/>
    </xf>
    <xf numFmtId="191" fontId="45" fillId="0" borderId="1" xfId="7" applyFont="1" applyFill="1" applyBorder="1" applyAlignment="1" applyProtection="1">
      <alignment horizontal="center" vertical="center" wrapText="1"/>
    </xf>
    <xf numFmtId="191" fontId="61" fillId="0" borderId="1" xfId="7" applyFont="1" applyFill="1" applyBorder="1" applyAlignment="1" applyProtection="1">
      <alignment horizontal="center" vertical="center" wrapText="1"/>
    </xf>
    <xf numFmtId="191" fontId="45" fillId="0" borderId="3" xfId="7" applyFont="1" applyFill="1" applyBorder="1" applyAlignment="1" applyProtection="1">
      <alignment horizontal="center" vertical="center" wrapText="1"/>
    </xf>
    <xf numFmtId="191" fontId="61" fillId="0" borderId="1" xfId="0" applyFont="1" applyFill="1" applyBorder="1" applyAlignment="1" applyProtection="1">
      <alignment horizontal="center" vertical="center" wrapText="1"/>
    </xf>
    <xf numFmtId="191"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191" fontId="61" fillId="0" borderId="3" xfId="7" applyFont="1" applyFill="1" applyBorder="1" applyAlignment="1" applyProtection="1">
      <alignment horizontal="center" vertical="center" wrapText="1"/>
    </xf>
    <xf numFmtId="191"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191" fontId="98" fillId="6" borderId="28" xfId="0" applyNumberFormat="1" applyFont="1" applyFill="1" applyBorder="1" applyProtection="1">
      <alignment vertical="center"/>
    </xf>
    <xf numFmtId="191" fontId="98" fillId="6" borderId="5" xfId="0" applyNumberFormat="1" applyFont="1" applyFill="1" applyBorder="1" applyProtection="1">
      <alignment vertical="center"/>
    </xf>
    <xf numFmtId="191"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1" fontId="58" fillId="6" borderId="41" xfId="0" applyFont="1" applyFill="1" applyBorder="1" applyAlignment="1" applyProtection="1">
      <alignment horizontal="center" vertical="center"/>
    </xf>
    <xf numFmtId="191" fontId="58" fillId="0" borderId="2" xfId="0" applyFont="1" applyBorder="1" applyAlignment="1" applyProtection="1">
      <alignment horizontal="center" vertical="center"/>
      <protection locked="0"/>
    </xf>
    <xf numFmtId="191" fontId="58" fillId="0" borderId="4" xfId="0" applyFont="1" applyBorder="1" applyAlignment="1" applyProtection="1">
      <alignment horizontal="center" vertical="center"/>
      <protection locked="0"/>
    </xf>
    <xf numFmtId="191" fontId="58" fillId="0" borderId="93" xfId="0" applyFont="1" applyFill="1" applyBorder="1" applyAlignment="1" applyProtection="1">
      <alignment horizontal="center" vertical="center"/>
      <protection locked="0"/>
    </xf>
    <xf numFmtId="191"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1" fontId="58" fillId="6" borderId="23" xfId="0" applyFont="1" applyFill="1" applyBorder="1" applyAlignment="1" applyProtection="1">
      <alignment horizontal="center" vertical="center"/>
    </xf>
    <xf numFmtId="191" fontId="58" fillId="0" borderId="1" xfId="0" applyFont="1" applyBorder="1" applyAlignment="1" applyProtection="1">
      <alignment horizontal="center" vertical="center"/>
      <protection locked="0"/>
    </xf>
    <xf numFmtId="191" fontId="58" fillId="0" borderId="5" xfId="0" applyFont="1" applyBorder="1" applyAlignment="1" applyProtection="1">
      <alignment horizontal="center" vertical="center"/>
      <protection locked="0"/>
    </xf>
    <xf numFmtId="191" fontId="58" fillId="0" borderId="92" xfId="0" applyFont="1" applyFill="1" applyBorder="1" applyAlignment="1" applyProtection="1">
      <alignment horizontal="center" vertical="center"/>
      <protection locked="0"/>
    </xf>
    <xf numFmtId="191" fontId="58" fillId="0" borderId="24" xfId="0" applyFont="1" applyBorder="1" applyAlignment="1" applyProtection="1">
      <alignment horizontal="center" vertical="center"/>
      <protection locked="0"/>
    </xf>
    <xf numFmtId="191"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1" fontId="98" fillId="0" borderId="92" xfId="0" applyFont="1" applyFill="1" applyBorder="1" applyAlignment="1" applyProtection="1">
      <alignment horizontal="center" vertical="center"/>
      <protection locked="0"/>
    </xf>
    <xf numFmtId="191" fontId="58" fillId="6" borderId="32" xfId="0" applyFont="1" applyFill="1" applyBorder="1" applyAlignment="1" applyProtection="1">
      <alignment horizontal="center" vertical="center"/>
    </xf>
    <xf numFmtId="191" fontId="58" fillId="6" borderId="47" xfId="0" applyFont="1" applyFill="1" applyBorder="1" applyAlignment="1" applyProtection="1">
      <alignment horizontal="center" vertical="center"/>
    </xf>
    <xf numFmtId="191"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1"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1" fontId="51" fillId="6" borderId="28" xfId="0" applyFont="1" applyFill="1" applyBorder="1" applyAlignment="1" applyProtection="1">
      <alignment horizontal="center" vertical="center"/>
    </xf>
    <xf numFmtId="191" fontId="99" fillId="6" borderId="24" xfId="0" applyFont="1" applyFill="1" applyBorder="1" applyAlignment="1" applyProtection="1">
      <alignment horizontal="center" vertical="center"/>
    </xf>
    <xf numFmtId="191" fontId="72" fillId="5" borderId="23" xfId="0" applyFont="1" applyFill="1" applyBorder="1" applyAlignment="1" applyProtection="1">
      <alignment horizontal="center" vertical="center"/>
      <protection locked="0"/>
    </xf>
    <xf numFmtId="191" fontId="99" fillId="6" borderId="49" xfId="0" applyFont="1" applyFill="1" applyBorder="1" applyAlignment="1" applyProtection="1">
      <alignment horizontal="center" vertical="center"/>
    </xf>
    <xf numFmtId="191" fontId="99" fillId="6" borderId="86" xfId="0" applyFont="1" applyFill="1" applyBorder="1" applyAlignment="1" applyProtection="1">
      <alignment horizontal="center" vertical="center"/>
    </xf>
    <xf numFmtId="191" fontId="99" fillId="0" borderId="86" xfId="0" applyFont="1" applyFill="1" applyBorder="1" applyAlignment="1" applyProtection="1">
      <alignment horizontal="center" vertical="center"/>
      <protection locked="0"/>
    </xf>
    <xf numFmtId="191" fontId="99" fillId="0" borderId="96" xfId="0" applyFont="1" applyFill="1" applyBorder="1" applyAlignment="1" applyProtection="1">
      <alignment horizontal="center" vertical="center"/>
      <protection locked="0"/>
    </xf>
    <xf numFmtId="191" fontId="72" fillId="6" borderId="32" xfId="0" applyFont="1" applyFill="1" applyBorder="1" applyAlignment="1" applyProtection="1">
      <alignment horizontal="center" vertical="center"/>
    </xf>
    <xf numFmtId="191" fontId="47" fillId="0" borderId="2" xfId="0" applyNumberFormat="1" applyFont="1" applyFill="1" applyBorder="1" applyAlignment="1" applyProtection="1">
      <alignment horizontal="center" vertical="center" wrapText="1"/>
      <protection locked="0"/>
    </xf>
    <xf numFmtId="191" fontId="47" fillId="6" borderId="97" xfId="0" applyNumberFormat="1" applyFont="1" applyFill="1" applyBorder="1" applyAlignment="1" applyProtection="1">
      <alignment horizontal="center" vertical="center" wrapText="1"/>
    </xf>
    <xf numFmtId="191" fontId="53" fillId="0" borderId="98" xfId="0" applyNumberFormat="1" applyFont="1" applyFill="1" applyBorder="1" applyAlignment="1" applyProtection="1">
      <alignment horizontal="center" vertical="center" wrapText="1"/>
      <protection locked="0"/>
    </xf>
    <xf numFmtId="191" fontId="53" fillId="6" borderId="99" xfId="0" applyNumberFormat="1" applyFont="1" applyFill="1" applyBorder="1" applyAlignment="1" applyProtection="1">
      <alignment horizontal="center" vertical="center" wrapText="1"/>
    </xf>
    <xf numFmtId="191" fontId="53" fillId="6" borderId="98" xfId="0" applyNumberFormat="1" applyFont="1" applyFill="1" applyBorder="1" applyAlignment="1" applyProtection="1">
      <alignment horizontal="center" vertical="center" wrapText="1"/>
    </xf>
    <xf numFmtId="191" fontId="47" fillId="0" borderId="100" xfId="0" applyNumberFormat="1" applyFont="1" applyFill="1" applyBorder="1" applyAlignment="1" applyProtection="1">
      <alignment horizontal="center" vertical="center" wrapText="1"/>
      <protection locked="0"/>
    </xf>
    <xf numFmtId="191" fontId="47" fillId="0" borderId="41" xfId="0" applyNumberFormat="1" applyFont="1" applyFill="1" applyBorder="1" applyAlignment="1" applyProtection="1">
      <alignment horizontal="center" vertical="center" wrapText="1"/>
      <protection locked="0"/>
    </xf>
    <xf numFmtId="191" fontId="47" fillId="6" borderId="100" xfId="0" applyNumberFormat="1" applyFont="1" applyFill="1" applyBorder="1" applyAlignment="1" applyProtection="1">
      <alignment horizontal="center" vertical="center" wrapText="1"/>
    </xf>
    <xf numFmtId="191" fontId="51" fillId="0" borderId="58" xfId="0" applyFont="1" applyFill="1" applyBorder="1" applyAlignment="1" applyProtection="1">
      <alignment horizontal="center" vertical="center"/>
      <protection locked="0"/>
    </xf>
    <xf numFmtId="191" fontId="57" fillId="6" borderId="0" xfId="0" applyFont="1" applyFill="1" applyBorder="1" applyAlignment="1" applyProtection="1">
      <alignment vertical="center"/>
      <protection locked="0"/>
    </xf>
    <xf numFmtId="191" fontId="62" fillId="6" borderId="0" xfId="0" applyFont="1" applyFill="1" applyBorder="1" applyAlignment="1" applyProtection="1">
      <alignment vertical="center"/>
      <protection locked="0"/>
    </xf>
    <xf numFmtId="191"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1"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1"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1" fontId="44" fillId="6" borderId="0" xfId="0" applyFont="1" applyFill="1" applyBorder="1" applyAlignment="1" applyProtection="1">
      <alignment horizontal="center" vertical="center"/>
      <protection locked="0"/>
    </xf>
    <xf numFmtId="191"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1" fontId="67" fillId="6" borderId="0" xfId="0" applyFont="1" applyFill="1" applyBorder="1" applyAlignment="1" applyProtection="1">
      <alignment horizontal="center" vertical="center"/>
      <protection locked="0"/>
    </xf>
    <xf numFmtId="191"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1"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1" fontId="49" fillId="6" borderId="0" xfId="0" applyFont="1" applyFill="1" applyBorder="1" applyAlignment="1" applyProtection="1">
      <alignment horizontal="center" vertical="center"/>
      <protection locked="0"/>
    </xf>
    <xf numFmtId="191"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1" fontId="51" fillId="6" borderId="0" xfId="0" applyFont="1" applyFill="1" applyAlignment="1" applyProtection="1">
      <alignment horizontal="center" vertical="center"/>
      <protection locked="0"/>
    </xf>
    <xf numFmtId="191"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1" fontId="44" fillId="6" borderId="0" xfId="0" applyNumberFormat="1" applyFont="1" applyFill="1" applyBorder="1" applyAlignment="1" applyProtection="1">
      <alignment horizontal="center" vertical="center" wrapText="1"/>
      <protection locked="0"/>
    </xf>
    <xf numFmtId="191" fontId="68" fillId="6" borderId="0" xfId="0" applyNumberFormat="1" applyFont="1" applyFill="1" applyBorder="1" applyAlignment="1" applyProtection="1">
      <alignment horizontal="center" vertical="center" wrapText="1"/>
      <protection locked="0"/>
    </xf>
    <xf numFmtId="191" fontId="51" fillId="6" borderId="0" xfId="0" applyNumberFormat="1" applyFont="1" applyFill="1" applyBorder="1" applyAlignment="1" applyProtection="1">
      <alignment horizontal="center" vertical="center" wrapText="1"/>
      <protection locked="0"/>
    </xf>
    <xf numFmtId="191" fontId="49" fillId="6" borderId="0" xfId="0" applyNumberFormat="1" applyFont="1" applyFill="1" applyBorder="1" applyAlignment="1" applyProtection="1">
      <alignment horizontal="center" vertical="center" wrapText="1"/>
      <protection locked="0"/>
    </xf>
    <xf numFmtId="191"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1" fontId="53" fillId="6" borderId="0" xfId="0" applyFont="1" applyFill="1" applyAlignment="1" applyProtection="1">
      <protection locked="0"/>
    </xf>
    <xf numFmtId="191"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1" fontId="44" fillId="0" borderId="43" xfId="0" applyNumberFormat="1" applyFont="1" applyFill="1" applyBorder="1" applyAlignment="1" applyProtection="1">
      <alignment horizontal="center" vertical="center" wrapText="1"/>
      <protection locked="0"/>
    </xf>
    <xf numFmtId="191"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1" fontId="52" fillId="6" borderId="13" xfId="0" applyFont="1" applyFill="1" applyBorder="1" applyAlignment="1" applyProtection="1">
      <alignment vertical="center" wrapText="1"/>
      <protection locked="0"/>
    </xf>
    <xf numFmtId="191" fontId="47" fillId="6" borderId="13" xfId="0" applyFont="1" applyFill="1" applyBorder="1" applyAlignment="1" applyProtection="1">
      <alignment vertical="center"/>
      <protection locked="0"/>
    </xf>
    <xf numFmtId="191"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1" fontId="52" fillId="6" borderId="15" xfId="0" applyFont="1" applyFill="1" applyBorder="1" applyAlignment="1" applyProtection="1">
      <alignment vertical="center" wrapText="1"/>
      <protection locked="0"/>
    </xf>
    <xf numFmtId="191"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1" fontId="52" fillId="6" borderId="2" xfId="0" applyFont="1" applyFill="1" applyBorder="1" applyAlignment="1" applyProtection="1">
      <alignment vertical="center" wrapText="1"/>
      <protection locked="0"/>
    </xf>
    <xf numFmtId="191"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1" fontId="52" fillId="6" borderId="1" xfId="0" applyFont="1" applyFill="1" applyBorder="1" applyAlignment="1" applyProtection="1">
      <alignment horizontal="left" vertical="center"/>
      <protection locked="0"/>
    </xf>
    <xf numFmtId="191" fontId="52" fillId="6" borderId="1"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protection locked="0"/>
    </xf>
    <xf numFmtId="191" fontId="47" fillId="6" borderId="54" xfId="0" applyFont="1" applyFill="1" applyBorder="1" applyAlignment="1" applyProtection="1">
      <alignment horizontal="center" vertical="center"/>
      <protection locked="0"/>
    </xf>
    <xf numFmtId="191" fontId="47" fillId="6" borderId="48"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wrapText="1"/>
      <protection locked="0"/>
    </xf>
    <xf numFmtId="191" fontId="47" fillId="6" borderId="1" xfId="0" applyFont="1" applyFill="1" applyBorder="1" applyAlignment="1" applyProtection="1">
      <alignment horizontal="left" vertical="center" wrapText="1"/>
      <protection locked="0"/>
    </xf>
    <xf numFmtId="191" fontId="47" fillId="6" borderId="13" xfId="0" applyFont="1" applyFill="1" applyBorder="1" applyAlignment="1" applyProtection="1">
      <alignment horizontal="left" vertical="center" wrapText="1"/>
      <protection locked="0"/>
    </xf>
    <xf numFmtId="191" fontId="47" fillId="6" borderId="2" xfId="0" applyFont="1" applyFill="1" applyBorder="1" applyAlignment="1" applyProtection="1">
      <alignment horizontal="left" vertical="center" wrapText="1"/>
      <protection locked="0"/>
    </xf>
    <xf numFmtId="191" fontId="52" fillId="6" borderId="1" xfId="0" applyFont="1" applyFill="1" applyBorder="1" applyAlignment="1" applyProtection="1">
      <alignment horizontal="left" vertical="center" wrapText="1"/>
      <protection locked="0"/>
    </xf>
    <xf numFmtId="191" fontId="47" fillId="6" borderId="54" xfId="0" applyFont="1" applyFill="1" applyBorder="1" applyAlignment="1" applyProtection="1">
      <alignment horizontal="center" vertical="center" wrapText="1"/>
      <protection locked="0"/>
    </xf>
    <xf numFmtId="191" fontId="47" fillId="6" borderId="48" xfId="0" applyFont="1" applyFill="1" applyBorder="1" applyAlignment="1" applyProtection="1">
      <alignment horizontal="center" vertical="center" wrapText="1"/>
      <protection locked="0"/>
    </xf>
    <xf numFmtId="191"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1" fontId="52" fillId="6" borderId="32" xfId="0" applyFont="1" applyFill="1" applyBorder="1" applyAlignment="1" applyProtection="1">
      <alignment horizontal="left" vertical="center"/>
      <protection locked="0"/>
    </xf>
    <xf numFmtId="191" fontId="47" fillId="6" borderId="32" xfId="0" applyFont="1" applyFill="1" applyBorder="1" applyAlignment="1" applyProtection="1">
      <alignment vertical="center"/>
      <protection locked="0"/>
    </xf>
    <xf numFmtId="191"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1" fontId="47" fillId="6" borderId="17" xfId="0" applyFont="1" applyFill="1" applyBorder="1" applyAlignment="1" applyProtection="1">
      <alignment horizontal="center" vertical="center"/>
      <protection locked="0"/>
    </xf>
    <xf numFmtId="191" fontId="52" fillId="6" borderId="58" xfId="0" applyFont="1" applyFill="1" applyBorder="1" applyAlignment="1" applyProtection="1">
      <alignment vertical="center" wrapText="1"/>
      <protection locked="0"/>
    </xf>
    <xf numFmtId="191" fontId="52" fillId="6" borderId="58" xfId="0" applyFont="1" applyFill="1" applyBorder="1" applyAlignment="1" applyProtection="1">
      <alignment horizontal="center" vertical="center"/>
      <protection locked="0"/>
    </xf>
    <xf numFmtId="191"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1" fontId="47" fillId="6" borderId="32" xfId="0" applyFont="1" applyFill="1" applyBorder="1" applyAlignment="1" applyProtection="1">
      <alignment horizontal="center" vertical="center"/>
    </xf>
    <xf numFmtId="191" fontId="54" fillId="6" borderId="46" xfId="0" applyNumberFormat="1" applyFont="1" applyFill="1" applyBorder="1" applyAlignment="1" applyProtection="1">
      <alignment vertical="center" wrapText="1"/>
      <protection locked="0"/>
    </xf>
    <xf numFmtId="191" fontId="47" fillId="6" borderId="21" xfId="0" applyNumberFormat="1" applyFont="1" applyFill="1" applyBorder="1" applyAlignment="1" applyProtection="1">
      <alignment horizontal="center" vertical="center" wrapText="1"/>
    </xf>
    <xf numFmtId="191" fontId="60" fillId="6" borderId="58" xfId="0" applyNumberFormat="1" applyFont="1" applyFill="1" applyBorder="1" applyAlignment="1" applyProtection="1">
      <alignment vertical="center" textRotation="255" wrapText="1"/>
      <protection locked="0"/>
    </xf>
    <xf numFmtId="191" fontId="60" fillId="6" borderId="58" xfId="0" applyNumberFormat="1" applyFont="1" applyFill="1" applyBorder="1" applyAlignment="1" applyProtection="1">
      <alignment vertical="center" wrapText="1"/>
      <protection locked="0"/>
    </xf>
    <xf numFmtId="191" fontId="47" fillId="6" borderId="18" xfId="0" applyNumberFormat="1" applyFont="1" applyFill="1" applyBorder="1" applyAlignment="1" applyProtection="1">
      <alignment horizontal="center" vertical="center" wrapText="1"/>
    </xf>
    <xf numFmtId="191" fontId="47" fillId="0" borderId="11" xfId="0" applyNumberFormat="1" applyFont="1" applyFill="1" applyBorder="1" applyAlignment="1" applyProtection="1">
      <alignment horizontal="center" vertical="center" wrapText="1"/>
      <protection locked="0"/>
    </xf>
    <xf numFmtId="191" fontId="53" fillId="0" borderId="13" xfId="0" applyNumberFormat="1" applyFont="1" applyFill="1" applyBorder="1" applyAlignment="1" applyProtection="1">
      <alignment horizontal="center" vertical="center" wrapText="1"/>
      <protection locked="0"/>
    </xf>
    <xf numFmtId="191" fontId="53" fillId="0" borderId="46" xfId="0" applyNumberFormat="1" applyFont="1" applyFill="1" applyBorder="1" applyAlignment="1" applyProtection="1">
      <alignment horizontal="center" vertical="center" wrapText="1"/>
      <protection locked="0"/>
    </xf>
    <xf numFmtId="191" fontId="53" fillId="0" borderId="59" xfId="0" applyNumberFormat="1" applyFont="1" applyFill="1" applyBorder="1" applyAlignment="1" applyProtection="1">
      <alignment horizontal="center" vertical="center" wrapText="1"/>
      <protection locked="0"/>
    </xf>
    <xf numFmtId="191" fontId="53" fillId="6" borderId="56" xfId="0" applyNumberFormat="1" applyFont="1" applyFill="1" applyBorder="1" applyAlignment="1" applyProtection="1">
      <alignment horizontal="center" vertical="center" wrapText="1"/>
    </xf>
    <xf numFmtId="191" fontId="52" fillId="6" borderId="58" xfId="0" applyNumberFormat="1" applyFont="1" applyFill="1" applyBorder="1" applyAlignment="1" applyProtection="1">
      <alignment vertical="center" wrapText="1"/>
      <protection locked="0"/>
    </xf>
    <xf numFmtId="191" fontId="47" fillId="0" borderId="109" xfId="0" applyNumberFormat="1" applyFont="1" applyFill="1" applyBorder="1" applyAlignment="1" applyProtection="1">
      <alignment horizontal="center" vertical="center" wrapText="1"/>
      <protection locked="0"/>
    </xf>
    <xf numFmtId="191" fontId="47" fillId="0" borderId="110" xfId="0" applyNumberFormat="1" applyFont="1" applyFill="1" applyBorder="1" applyAlignment="1" applyProtection="1">
      <alignment horizontal="center" vertical="center" wrapText="1"/>
      <protection locked="0"/>
    </xf>
    <xf numFmtId="191" fontId="47" fillId="0" borderId="111" xfId="0" applyNumberFormat="1" applyFont="1" applyFill="1" applyBorder="1" applyAlignment="1" applyProtection="1">
      <alignment horizontal="center" vertical="center" wrapText="1"/>
      <protection locked="0"/>
    </xf>
    <xf numFmtId="191" fontId="47" fillId="0" borderId="113" xfId="0" applyNumberFormat="1" applyFont="1" applyFill="1" applyBorder="1" applyAlignment="1" applyProtection="1">
      <alignment horizontal="center" vertical="center" wrapText="1"/>
      <protection locked="0"/>
    </xf>
    <xf numFmtId="191" fontId="47" fillId="6" borderId="11" xfId="0" applyNumberFormat="1" applyFont="1" applyFill="1" applyBorder="1" applyAlignment="1" applyProtection="1">
      <alignment horizontal="center" vertical="center" wrapText="1"/>
    </xf>
    <xf numFmtId="191" fontId="53" fillId="6" borderId="13" xfId="0" applyNumberFormat="1" applyFont="1" applyFill="1" applyBorder="1" applyAlignment="1" applyProtection="1">
      <alignment horizontal="center" vertical="center" wrapText="1"/>
    </xf>
    <xf numFmtId="191" fontId="47" fillId="0" borderId="116" xfId="0" applyFont="1" applyFill="1" applyBorder="1" applyAlignment="1" applyProtection="1">
      <alignment horizontal="center" vertical="center"/>
      <protection locked="0"/>
    </xf>
    <xf numFmtId="191" fontId="47" fillId="0" borderId="117" xfId="0" applyNumberFormat="1" applyFont="1" applyFill="1" applyBorder="1" applyAlignment="1" applyProtection="1">
      <alignment horizontal="center" vertical="center" wrapText="1"/>
      <protection locked="0"/>
    </xf>
    <xf numFmtId="191"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1" fontId="47" fillId="0" borderId="117" xfId="0" applyFont="1" applyFill="1" applyBorder="1" applyAlignment="1" applyProtection="1">
      <alignment horizontal="center" vertical="center"/>
      <protection locked="0"/>
    </xf>
    <xf numFmtId="191" fontId="47" fillId="0" borderId="113" xfId="0" applyFont="1" applyFill="1" applyBorder="1" applyAlignment="1" applyProtection="1">
      <alignment horizontal="center" vertical="center"/>
      <protection locked="0"/>
    </xf>
    <xf numFmtId="191" fontId="47" fillId="6" borderId="113" xfId="0" applyNumberFormat="1" applyFont="1" applyFill="1" applyBorder="1" applyAlignment="1" applyProtection="1">
      <alignment horizontal="center" vertical="center" wrapText="1"/>
    </xf>
    <xf numFmtId="191" fontId="53" fillId="0" borderId="114" xfId="0" applyNumberFormat="1" applyFont="1" applyFill="1" applyBorder="1" applyAlignment="1" applyProtection="1">
      <alignment horizontal="center" vertical="center" wrapText="1"/>
      <protection locked="0"/>
    </xf>
    <xf numFmtId="191" fontId="53" fillId="0" borderId="115" xfId="0" applyNumberFormat="1" applyFont="1" applyFill="1" applyBorder="1" applyAlignment="1" applyProtection="1">
      <alignment horizontal="center" vertical="center" wrapText="1"/>
      <protection locked="0"/>
    </xf>
    <xf numFmtId="191" fontId="47" fillId="10" borderId="6" xfId="0" applyNumberFormat="1" applyFont="1" applyFill="1" applyBorder="1" applyAlignment="1" applyProtection="1">
      <alignment horizontal="center" vertical="center" wrapText="1"/>
      <protection locked="0"/>
    </xf>
    <xf numFmtId="191" fontId="47" fillId="10" borderId="9" xfId="0" applyNumberFormat="1" applyFont="1" applyFill="1" applyBorder="1" applyAlignment="1" applyProtection="1">
      <alignment horizontal="center" vertical="center" wrapText="1"/>
      <protection locked="0"/>
    </xf>
    <xf numFmtId="191" fontId="47" fillId="10" borderId="9" xfId="0" applyNumberFormat="1" applyFont="1" applyFill="1" applyBorder="1" applyAlignment="1" applyProtection="1">
      <alignment horizontal="left" vertical="center" wrapText="1"/>
      <protection locked="0"/>
    </xf>
    <xf numFmtId="191" fontId="47" fillId="10" borderId="28" xfId="0" applyNumberFormat="1" applyFont="1" applyFill="1" applyBorder="1" applyAlignment="1" applyProtection="1">
      <alignment horizontal="center" vertical="center" wrapText="1"/>
      <protection locked="0"/>
    </xf>
    <xf numFmtId="191" fontId="47" fillId="10" borderId="29" xfId="0" applyFont="1" applyFill="1" applyBorder="1" applyAlignment="1" applyProtection="1">
      <alignment horizontal="center" vertical="center"/>
      <protection locked="0"/>
    </xf>
    <xf numFmtId="191" fontId="47" fillId="10" borderId="17" xfId="0" applyNumberFormat="1" applyFont="1" applyFill="1" applyBorder="1" applyAlignment="1" applyProtection="1">
      <alignment horizontal="center" vertical="center" wrapText="1"/>
      <protection locked="0"/>
    </xf>
    <xf numFmtId="191"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1" fontId="47" fillId="10" borderId="17" xfId="0" applyFont="1" applyFill="1" applyBorder="1" applyAlignment="1" applyProtection="1">
      <alignment horizontal="center" vertical="center"/>
      <protection locked="0"/>
    </xf>
    <xf numFmtId="191" fontId="47" fillId="10" borderId="31" xfId="0" applyFont="1" applyFill="1" applyBorder="1" applyAlignment="1" applyProtection="1">
      <alignment horizontal="center" vertical="center"/>
      <protection locked="0"/>
    </xf>
    <xf numFmtId="191" fontId="52" fillId="10" borderId="96" xfId="0" applyNumberFormat="1" applyFont="1" applyFill="1" applyBorder="1" applyAlignment="1" applyProtection="1">
      <alignment vertical="center" wrapText="1"/>
      <protection locked="0"/>
    </xf>
    <xf numFmtId="191" fontId="47" fillId="10" borderId="42" xfId="0" applyNumberFormat="1" applyFont="1" applyFill="1" applyBorder="1" applyAlignment="1" applyProtection="1">
      <alignment horizontal="center" vertical="center" wrapText="1"/>
    </xf>
    <xf numFmtId="191" fontId="47" fillId="10" borderId="25" xfId="0" applyNumberFormat="1" applyFont="1" applyFill="1" applyBorder="1" applyAlignment="1" applyProtection="1">
      <alignment horizontal="center" vertical="center" wrapText="1"/>
      <protection locked="0"/>
    </xf>
    <xf numFmtId="191" fontId="53" fillId="10" borderId="32" xfId="0" applyNumberFormat="1" applyFont="1" applyFill="1" applyBorder="1" applyAlignment="1" applyProtection="1">
      <alignment horizontal="center" vertical="center" wrapText="1"/>
      <protection locked="0"/>
    </xf>
    <xf numFmtId="191" fontId="53" fillId="10" borderId="33" xfId="0" applyNumberFormat="1" applyFont="1" applyFill="1" applyBorder="1" applyAlignment="1" applyProtection="1">
      <alignment horizontal="center" vertical="center" wrapText="1"/>
      <protection locked="0"/>
    </xf>
    <xf numFmtId="191" fontId="53" fillId="10" borderId="68" xfId="0" applyNumberFormat="1" applyFont="1" applyFill="1" applyBorder="1" applyAlignment="1" applyProtection="1">
      <alignment horizontal="center" vertical="center" wrapText="1"/>
      <protection locked="0"/>
    </xf>
    <xf numFmtId="191" fontId="44" fillId="6" borderId="1" xfId="0" applyFont="1" applyFill="1" applyBorder="1" applyProtection="1">
      <alignment vertical="center"/>
    </xf>
    <xf numFmtId="176" fontId="44" fillId="6" borderId="1" xfId="0" applyNumberFormat="1" applyFont="1" applyFill="1" applyBorder="1" applyProtection="1">
      <alignment vertical="center"/>
    </xf>
    <xf numFmtId="191"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191"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191"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191" fontId="44" fillId="6" borderId="6" xfId="0" applyFont="1" applyFill="1" applyBorder="1" applyAlignment="1" applyProtection="1">
      <alignment horizontal="center" vertical="center" wrapText="1"/>
    </xf>
    <xf numFmtId="191" fontId="44" fillId="6" borderId="9" xfId="0" applyFont="1" applyFill="1" applyBorder="1" applyAlignment="1" applyProtection="1">
      <alignment horizontal="center" vertical="center" wrapText="1"/>
    </xf>
    <xf numFmtId="191" fontId="47" fillId="6" borderId="46" xfId="0" applyFont="1" applyFill="1" applyBorder="1" applyAlignment="1" applyProtection="1">
      <alignment horizontal="center" vertical="center" wrapText="1"/>
    </xf>
    <xf numFmtId="191" fontId="99" fillId="6" borderId="1" xfId="0" applyFont="1" applyFill="1" applyBorder="1" applyAlignment="1" applyProtection="1">
      <alignment horizontal="left" vertical="center" wrapText="1"/>
      <protection locked="0"/>
    </xf>
    <xf numFmtId="191" fontId="47" fillId="3" borderId="5" xfId="0" applyFont="1" applyFill="1" applyBorder="1" applyAlignment="1" applyProtection="1">
      <alignment horizontal="center" vertical="center" wrapText="1"/>
      <protection locked="0"/>
    </xf>
    <xf numFmtId="191"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191" fontId="47" fillId="6" borderId="46" xfId="0" applyFont="1" applyFill="1" applyBorder="1" applyAlignment="1" applyProtection="1">
      <alignment vertical="center"/>
      <protection locked="0"/>
    </xf>
    <xf numFmtId="191" fontId="47" fillId="6" borderId="7" xfId="0" applyFont="1" applyFill="1" applyBorder="1" applyAlignment="1" applyProtection="1">
      <alignment horizontal="left" vertical="center"/>
      <protection locked="0"/>
    </xf>
    <xf numFmtId="191" fontId="52" fillId="6" borderId="8" xfId="0" applyFont="1" applyFill="1" applyBorder="1" applyAlignment="1" applyProtection="1">
      <alignment horizontal="center" vertical="center"/>
    </xf>
    <xf numFmtId="191" fontId="47" fillId="6" borderId="29" xfId="0" applyFont="1" applyFill="1" applyBorder="1" applyAlignment="1" applyProtection="1">
      <alignment horizontal="right" vertical="center"/>
      <protection locked="0"/>
    </xf>
    <xf numFmtId="191" fontId="47" fillId="6" borderId="31" xfId="0" applyFont="1" applyFill="1" applyBorder="1" applyAlignment="1" applyProtection="1">
      <alignment horizontal="center" vertical="center"/>
      <protection locked="0"/>
    </xf>
    <xf numFmtId="191" fontId="54" fillId="7" borderId="24" xfId="0" applyFont="1" applyFill="1" applyBorder="1" applyAlignment="1" applyProtection="1">
      <alignment horizontal="center" vertical="center"/>
      <protection locked="0"/>
    </xf>
    <xf numFmtId="191" fontId="58" fillId="6" borderId="0" xfId="0" applyFont="1" applyFill="1" applyAlignment="1" applyProtection="1">
      <alignment horizontal="center" vertical="center"/>
    </xf>
    <xf numFmtId="191"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1" fontId="12" fillId="6" borderId="24" xfId="0" applyFont="1" applyFill="1" applyBorder="1" applyAlignment="1" applyProtection="1">
      <alignment vertical="center"/>
    </xf>
    <xf numFmtId="191"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1" fontId="47" fillId="6" borderId="15" xfId="0" applyFont="1" applyFill="1" applyBorder="1" applyAlignment="1" applyProtection="1">
      <alignment horizontal="center" vertical="center"/>
    </xf>
    <xf numFmtId="191" fontId="47" fillId="6" borderId="4" xfId="0" applyFont="1" applyFill="1" applyBorder="1" applyAlignment="1" applyProtection="1">
      <alignment horizontal="right" vertical="center"/>
    </xf>
    <xf numFmtId="191"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1" fontId="52" fillId="6" borderId="22" xfId="0" applyFont="1" applyFill="1" applyBorder="1" applyAlignment="1" applyProtection="1">
      <alignment horizontal="center" vertical="center"/>
    </xf>
    <xf numFmtId="191" fontId="52" fillId="6" borderId="0" xfId="0" applyFont="1" applyFill="1" applyBorder="1" applyAlignment="1" applyProtection="1">
      <alignment horizontal="center" vertical="center"/>
    </xf>
    <xf numFmtId="191"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191" fontId="52" fillId="6" borderId="2" xfId="0" applyFont="1" applyFill="1" applyBorder="1" applyAlignment="1" applyProtection="1">
      <alignment horizontal="left" vertical="center"/>
    </xf>
    <xf numFmtId="191"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1" fontId="52" fillId="0" borderId="78" xfId="0" applyFont="1" applyFill="1" applyBorder="1" applyAlignment="1" applyProtection="1">
      <alignment horizontal="center" vertical="center"/>
      <protection locked="0"/>
    </xf>
    <xf numFmtId="191"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1" fontId="47" fillId="6" borderId="4" xfId="0" applyFont="1" applyFill="1" applyBorder="1" applyAlignment="1" applyProtection="1">
      <alignment horizontal="left" vertical="center"/>
    </xf>
    <xf numFmtId="191"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1" fontId="47" fillId="6" borderId="78" xfId="0" applyFont="1" applyFill="1" applyBorder="1" applyAlignment="1" applyProtection="1">
      <alignment horizontal="left" vertical="center"/>
    </xf>
    <xf numFmtId="191" fontId="47" fillId="6" borderId="78" xfId="0" applyFont="1" applyFill="1" applyBorder="1" applyAlignment="1" applyProtection="1">
      <alignment horizontal="center" vertical="center"/>
    </xf>
    <xf numFmtId="191"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1" fontId="52" fillId="6" borderId="2" xfId="0" applyFont="1" applyFill="1" applyBorder="1" applyAlignment="1" applyProtection="1">
      <alignment horizontal="left" vertical="center" wrapText="1"/>
    </xf>
    <xf numFmtId="191" fontId="47" fillId="6" borderId="4" xfId="0" applyFont="1" applyFill="1" applyBorder="1" applyAlignment="1" applyProtection="1">
      <alignment horizontal="left" vertical="center" wrapText="1"/>
    </xf>
    <xf numFmtId="191" fontId="47" fillId="6" borderId="60" xfId="0" applyFont="1" applyFill="1" applyBorder="1" applyAlignment="1" applyProtection="1">
      <alignment horizontal="center" vertical="center" wrapText="1"/>
    </xf>
    <xf numFmtId="191" fontId="47" fillId="6" borderId="71" xfId="0" applyFont="1" applyFill="1" applyBorder="1" applyAlignment="1" applyProtection="1">
      <alignment horizontal="center" vertical="center" wrapText="1"/>
    </xf>
    <xf numFmtId="191"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1" fontId="47" fillId="6" borderId="85" xfId="0" applyFont="1" applyFill="1" applyBorder="1" applyAlignment="1" applyProtection="1">
      <alignment horizontal="left" vertical="center"/>
    </xf>
    <xf numFmtId="191"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1"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1" fontId="47" fillId="6" borderId="5" xfId="0" applyFont="1" applyFill="1" applyBorder="1" applyAlignment="1" applyProtection="1">
      <alignment horizontal="center" vertical="center"/>
      <protection locked="0"/>
    </xf>
    <xf numFmtId="191" fontId="47" fillId="6" borderId="5" xfId="0" applyFont="1" applyFill="1" applyBorder="1" applyAlignment="1" applyProtection="1">
      <alignment horizontal="right" vertical="center"/>
      <protection locked="0"/>
    </xf>
    <xf numFmtId="191" fontId="52" fillId="6" borderId="46" xfId="0" applyFont="1" applyFill="1" applyBorder="1" applyAlignment="1" applyProtection="1">
      <alignment horizontal="center" vertical="center"/>
    </xf>
    <xf numFmtId="191"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1" fontId="47" fillId="6" borderId="17" xfId="0" applyFont="1" applyFill="1" applyBorder="1" applyAlignment="1" applyProtection="1">
      <alignment horizontal="center" vertical="center"/>
    </xf>
    <xf numFmtId="191" fontId="52" fillId="6" borderId="58" xfId="0" applyFont="1" applyFill="1" applyBorder="1" applyAlignment="1" applyProtection="1">
      <alignment horizontal="center" vertical="center"/>
    </xf>
    <xf numFmtId="191" fontId="53" fillId="7" borderId="0" xfId="0" applyFont="1" applyFill="1" applyAlignment="1" applyProtection="1">
      <alignment vertical="center" wrapText="1"/>
      <protection locked="0"/>
    </xf>
    <xf numFmtId="191" fontId="53" fillId="7" borderId="0" xfId="0" applyFont="1" applyFill="1" applyAlignment="1" applyProtection="1">
      <alignment horizontal="center" vertical="center" wrapText="1"/>
      <protection locked="0"/>
    </xf>
    <xf numFmtId="191" fontId="53" fillId="7" borderId="0" xfId="0" applyFont="1" applyFill="1" applyAlignment="1" applyProtection="1">
      <alignment horizontal="center" vertical="center" wrapText="1"/>
    </xf>
    <xf numFmtId="191"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1"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1" fontId="54" fillId="6" borderId="1" xfId="0" applyNumberFormat="1" applyFont="1" applyFill="1" applyBorder="1" applyAlignment="1" applyProtection="1">
      <alignment horizontal="center" vertical="center"/>
    </xf>
    <xf numFmtId="191" fontId="53" fillId="6" borderId="1" xfId="0" applyNumberFormat="1" applyFont="1" applyFill="1" applyBorder="1" applyAlignment="1" applyProtection="1">
      <alignment horizontal="center" vertical="center"/>
    </xf>
    <xf numFmtId="191" fontId="51" fillId="6" borderId="45" xfId="0" applyNumberFormat="1" applyFont="1" applyFill="1" applyBorder="1" applyAlignment="1" applyProtection="1">
      <alignment horizontal="center" vertical="center" wrapText="1"/>
    </xf>
    <xf numFmtId="191" fontId="58" fillId="6" borderId="14" xfId="0" applyNumberFormat="1" applyFont="1" applyFill="1" applyBorder="1" applyAlignment="1" applyProtection="1">
      <alignment horizontal="center" vertical="center" wrapText="1"/>
    </xf>
    <xf numFmtId="191" fontId="44" fillId="6" borderId="58" xfId="0" applyFont="1" applyFill="1" applyBorder="1" applyAlignment="1" applyProtection="1">
      <alignment horizontal="center" vertical="center" wrapText="1"/>
    </xf>
    <xf numFmtId="191" fontId="49" fillId="6" borderId="53" xfId="0" applyNumberFormat="1" applyFont="1" applyFill="1" applyBorder="1" applyAlignment="1" applyProtection="1">
      <alignment horizontal="center" vertical="center" wrapText="1"/>
    </xf>
    <xf numFmtId="191" fontId="44" fillId="0" borderId="5" xfId="0" applyFont="1" applyFill="1" applyBorder="1" applyAlignment="1" applyProtection="1">
      <alignment horizontal="center" vertical="center" wrapText="1"/>
      <protection locked="0"/>
    </xf>
    <xf numFmtId="191" fontId="51" fillId="0" borderId="5" xfId="0" applyFont="1" applyFill="1" applyBorder="1" applyAlignment="1" applyProtection="1">
      <alignment horizontal="center" vertical="center"/>
      <protection locked="0"/>
    </xf>
    <xf numFmtId="191" fontId="49" fillId="0" borderId="33" xfId="0" applyFont="1" applyFill="1" applyBorder="1" applyAlignment="1" applyProtection="1">
      <alignment horizontal="center" vertical="center"/>
      <protection locked="0"/>
    </xf>
    <xf numFmtId="191" fontId="51" fillId="6" borderId="37" xfId="0" applyNumberFormat="1" applyFont="1" applyFill="1" applyBorder="1" applyAlignment="1" applyProtection="1">
      <alignment horizontal="center" vertical="center" wrapText="1"/>
    </xf>
    <xf numFmtId="191" fontId="139" fillId="3" borderId="3" xfId="0" applyFont="1" applyFill="1" applyBorder="1" applyAlignment="1" applyProtection="1">
      <alignment vertical="center"/>
      <protection locked="0"/>
    </xf>
    <xf numFmtId="191" fontId="44" fillId="6" borderId="23" xfId="0" applyFont="1" applyFill="1" applyBorder="1" applyProtection="1">
      <alignment vertical="center"/>
    </xf>
    <xf numFmtId="191"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191" fontId="44" fillId="6" borderId="11" xfId="0" applyFont="1" applyFill="1" applyBorder="1" applyProtection="1">
      <alignment vertical="center"/>
    </xf>
    <xf numFmtId="191" fontId="44" fillId="6" borderId="13" xfId="0" applyFont="1" applyFill="1" applyBorder="1" applyProtection="1">
      <alignment vertical="center"/>
    </xf>
    <xf numFmtId="191" fontId="46" fillId="6" borderId="25" xfId="0" applyFont="1" applyFill="1" applyBorder="1" applyProtection="1">
      <alignment vertical="center"/>
    </xf>
    <xf numFmtId="191" fontId="46" fillId="6" borderId="32" xfId="0" applyFont="1" applyFill="1" applyBorder="1" applyProtection="1">
      <alignment vertical="center"/>
    </xf>
    <xf numFmtId="191" fontId="44" fillId="6" borderId="49" xfId="0" applyFont="1" applyFill="1" applyBorder="1" applyProtection="1">
      <alignment vertical="center"/>
    </xf>
    <xf numFmtId="191" fontId="44" fillId="6" borderId="24" xfId="0" applyFont="1" applyFill="1" applyBorder="1" applyProtection="1">
      <alignment vertical="center"/>
    </xf>
    <xf numFmtId="191"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1" fontId="50" fillId="6" borderId="51" xfId="0" applyNumberFormat="1" applyFont="1" applyFill="1" applyBorder="1" applyAlignment="1" applyProtection="1">
      <alignment horizontal="right" vertical="center" wrapText="1"/>
    </xf>
    <xf numFmtId="191" fontId="50" fillId="6" borderId="21" xfId="0" applyNumberFormat="1" applyFont="1" applyFill="1" applyBorder="1" applyAlignment="1" applyProtection="1">
      <alignment vertical="center" wrapText="1"/>
    </xf>
    <xf numFmtId="191" fontId="70" fillId="3" borderId="20" xfId="0" applyNumberFormat="1" applyFont="1" applyFill="1" applyBorder="1" applyAlignment="1" applyProtection="1">
      <alignment vertical="center" wrapText="1"/>
      <protection locked="0"/>
    </xf>
    <xf numFmtId="191" fontId="70" fillId="6" borderId="20" xfId="0" applyNumberFormat="1" applyFont="1" applyFill="1" applyBorder="1" applyAlignment="1" applyProtection="1">
      <alignment vertical="center" wrapText="1"/>
    </xf>
    <xf numFmtId="191" fontId="70" fillId="3" borderId="51" xfId="0" applyNumberFormat="1" applyFont="1" applyFill="1" applyBorder="1" applyAlignment="1" applyProtection="1">
      <alignment vertical="center" wrapText="1"/>
      <protection locked="0"/>
    </xf>
    <xf numFmtId="191" fontId="70" fillId="6" borderId="21" xfId="0" applyNumberFormat="1" applyFont="1" applyFill="1" applyBorder="1" applyAlignment="1" applyProtection="1">
      <alignment vertical="center" wrapText="1"/>
    </xf>
    <xf numFmtId="191" fontId="50" fillId="6" borderId="38" xfId="0" applyNumberFormat="1" applyFont="1" applyFill="1" applyBorder="1" applyAlignment="1" applyProtection="1">
      <alignment vertical="center" wrapText="1"/>
    </xf>
    <xf numFmtId="191" fontId="50" fillId="6" borderId="52" xfId="0" applyNumberFormat="1" applyFont="1" applyFill="1" applyBorder="1" applyAlignment="1" applyProtection="1">
      <alignment vertical="center" wrapText="1"/>
    </xf>
    <xf numFmtId="191" fontId="50" fillId="6" borderId="47" xfId="0" applyNumberFormat="1" applyFont="1" applyFill="1" applyBorder="1" applyAlignment="1" applyProtection="1">
      <alignment vertical="center" wrapText="1"/>
      <protection locked="0"/>
    </xf>
    <xf numFmtId="191" fontId="50" fillId="6" borderId="47" xfId="0" applyNumberFormat="1" applyFont="1" applyFill="1" applyBorder="1" applyAlignment="1" applyProtection="1">
      <alignment vertical="center" wrapText="1"/>
    </xf>
    <xf numFmtId="191" fontId="57" fillId="6" borderId="2" xfId="0" applyFont="1" applyFill="1" applyBorder="1" applyAlignment="1" applyProtection="1">
      <alignment horizontal="right" vertical="center"/>
    </xf>
    <xf numFmtId="191" fontId="62" fillId="6" borderId="58" xfId="0" applyFont="1" applyFill="1" applyBorder="1" applyAlignment="1" applyProtection="1">
      <alignment horizontal="center" vertical="center"/>
    </xf>
    <xf numFmtId="191" fontId="56" fillId="6" borderId="0" xfId="0" applyFont="1" applyFill="1" applyBorder="1" applyAlignment="1" applyProtection="1">
      <protection locked="0"/>
    </xf>
    <xf numFmtId="191" fontId="51" fillId="6" borderId="0" xfId="0" applyFont="1" applyFill="1" applyBorder="1" applyAlignment="1" applyProtection="1">
      <alignment horizontal="center"/>
      <protection locked="0"/>
    </xf>
    <xf numFmtId="191" fontId="44" fillId="6" borderId="0" xfId="0" applyFont="1" applyFill="1" applyAlignment="1" applyProtection="1">
      <alignment horizontal="center" vertical="center"/>
      <protection locked="0"/>
    </xf>
    <xf numFmtId="191" fontId="57" fillId="6" borderId="5" xfId="1" applyFont="1" applyFill="1" applyBorder="1" applyAlignment="1" applyProtection="1">
      <alignment horizontal="right" vertical="center"/>
    </xf>
    <xf numFmtId="191"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191"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1" fontId="44" fillId="6" borderId="22" xfId="0" applyNumberFormat="1" applyFont="1" applyFill="1" applyBorder="1" applyAlignment="1" applyProtection="1">
      <alignment horizontal="center" vertical="center" wrapText="1"/>
      <protection locked="0"/>
    </xf>
    <xf numFmtId="191" fontId="44" fillId="0" borderId="5" xfId="0" applyNumberFormat="1" applyFont="1" applyFill="1" applyBorder="1" applyAlignment="1" applyProtection="1">
      <alignment horizontal="center" vertical="center" wrapText="1"/>
      <protection locked="0"/>
    </xf>
    <xf numFmtId="191" fontId="44" fillId="0" borderId="48" xfId="0" applyNumberFormat="1" applyFont="1" applyFill="1" applyBorder="1" applyAlignment="1" applyProtection="1">
      <alignment horizontal="center" vertical="center" wrapText="1"/>
      <protection locked="0"/>
    </xf>
    <xf numFmtId="191"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1" fontId="44" fillId="6" borderId="30" xfId="0" applyNumberFormat="1" applyFont="1" applyFill="1" applyBorder="1" applyAlignment="1" applyProtection="1">
      <alignment horizontal="center" vertical="center" wrapText="1"/>
    </xf>
    <xf numFmtId="191"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1" fontId="47" fillId="0" borderId="54" xfId="0" applyFont="1" applyFill="1" applyBorder="1" applyAlignment="1" applyProtection="1">
      <alignment vertical="center"/>
      <protection locked="0"/>
    </xf>
    <xf numFmtId="191" fontId="47" fillId="6" borderId="36" xfId="0" applyFont="1" applyFill="1" applyBorder="1" applyAlignment="1" applyProtection="1">
      <alignment vertical="center"/>
    </xf>
    <xf numFmtId="191" fontId="47" fillId="6" borderId="60" xfId="0" applyFont="1" applyFill="1" applyBorder="1" applyAlignment="1" applyProtection="1">
      <alignment horizontal="left" vertical="center"/>
    </xf>
    <xf numFmtId="191" fontId="45" fillId="5" borderId="3" xfId="1" applyFont="1" applyFill="1" applyBorder="1" applyAlignment="1" applyProtection="1">
      <alignment vertical="center"/>
    </xf>
    <xf numFmtId="191" fontId="47" fillId="6" borderId="0" xfId="0" applyFont="1" applyFill="1" applyAlignment="1" applyProtection="1">
      <alignment vertical="center"/>
      <protection locked="0"/>
    </xf>
    <xf numFmtId="191" fontId="45" fillId="5" borderId="5" xfId="1" applyFont="1" applyFill="1" applyBorder="1" applyAlignment="1" applyProtection="1">
      <alignment horizontal="left" vertical="center"/>
      <protection locked="0"/>
    </xf>
    <xf numFmtId="191" fontId="62" fillId="0" borderId="32" xfId="0" applyFont="1" applyFill="1" applyBorder="1" applyAlignment="1" applyProtection="1">
      <alignment vertical="center"/>
      <protection locked="0"/>
    </xf>
    <xf numFmtId="191" fontId="147" fillId="0" borderId="0" xfId="11" applyFont="1" applyBorder="1" applyAlignment="1" applyProtection="1">
      <alignment vertical="center" wrapText="1"/>
    </xf>
    <xf numFmtId="191" fontId="124" fillId="0" borderId="78" xfId="0" applyFont="1" applyBorder="1" applyAlignment="1" applyProtection="1">
      <alignment horizontal="left" vertical="center"/>
    </xf>
    <xf numFmtId="191" fontId="147" fillId="0" borderId="78" xfId="11" applyFont="1" applyBorder="1" applyAlignment="1" applyProtection="1">
      <alignment horizontal="left" vertical="center" wrapText="1"/>
    </xf>
    <xf numFmtId="191" fontId="147" fillId="0" borderId="87" xfId="0" applyFont="1" applyBorder="1" applyProtection="1">
      <alignment vertical="center"/>
    </xf>
    <xf numFmtId="191" fontId="147" fillId="0" borderId="44" xfId="11" applyFont="1" applyBorder="1" applyAlignment="1" applyProtection="1">
      <alignment vertical="center" wrapText="1"/>
    </xf>
    <xf numFmtId="191" fontId="147" fillId="0" borderId="44" xfId="0" applyFont="1" applyBorder="1" applyAlignment="1" applyProtection="1">
      <alignment horizontal="left" vertical="center"/>
    </xf>
    <xf numFmtId="191" fontId="147" fillId="0" borderId="83" xfId="0" applyFont="1" applyBorder="1" applyProtection="1">
      <alignment vertical="center"/>
    </xf>
    <xf numFmtId="191" fontId="147" fillId="0" borderId="1" xfId="11" applyFont="1" applyBorder="1" applyAlignment="1" applyProtection="1">
      <alignment vertical="center" wrapText="1"/>
    </xf>
    <xf numFmtId="191" fontId="147" fillId="0" borderId="1" xfId="0" applyFont="1" applyBorder="1" applyAlignment="1" applyProtection="1">
      <alignment horizontal="left" vertical="center"/>
    </xf>
    <xf numFmtId="191" fontId="147" fillId="0" borderId="0" xfId="0" applyFont="1" applyBorder="1" applyProtection="1">
      <alignment vertical="center"/>
    </xf>
    <xf numFmtId="191" fontId="147" fillId="0" borderId="78" xfId="11" applyFont="1" applyBorder="1" applyAlignment="1" applyProtection="1">
      <alignment vertical="center" wrapText="1"/>
    </xf>
    <xf numFmtId="191" fontId="147" fillId="0" borderId="78" xfId="0" applyFont="1" applyBorder="1" applyAlignment="1" applyProtection="1">
      <alignment horizontal="left" vertical="center"/>
    </xf>
    <xf numFmtId="191" fontId="147" fillId="0" borderId="78" xfId="0" applyNumberFormat="1" applyFont="1" applyBorder="1" applyAlignment="1" applyProtection="1">
      <alignment horizontal="left" vertical="center"/>
    </xf>
    <xf numFmtId="191"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1" fontId="147" fillId="0" borderId="0" xfId="0" applyFont="1" applyProtection="1">
      <alignment vertical="center"/>
    </xf>
    <xf numFmtId="14" fontId="147" fillId="0" borderId="1" xfId="0" applyNumberFormat="1" applyFont="1" applyBorder="1" applyAlignment="1" applyProtection="1">
      <alignment horizontal="left" vertical="center"/>
    </xf>
    <xf numFmtId="191" fontId="147" fillId="0" borderId="0" xfId="0" applyFont="1" applyAlignment="1" applyProtection="1">
      <alignment horizontal="left" vertical="center"/>
    </xf>
    <xf numFmtId="191" fontId="58" fillId="6" borderId="1" xfId="8" applyFont="1" applyFill="1" applyBorder="1" applyAlignment="1" applyProtection="1">
      <alignment horizontal="center" vertical="center" wrapText="1"/>
    </xf>
    <xf numFmtId="191" fontId="58" fillId="0" borderId="1" xfId="8" applyFont="1" applyFill="1" applyBorder="1" applyAlignment="1" applyProtection="1">
      <alignment horizontal="center" vertical="center" wrapText="1"/>
      <protection locked="0"/>
    </xf>
    <xf numFmtId="191"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1" fontId="53" fillId="6" borderId="0" xfId="8" applyFont="1" applyFill="1" applyAlignment="1" applyProtection="1">
      <alignment vertical="center" wrapText="1"/>
      <protection locked="0"/>
    </xf>
    <xf numFmtId="191" fontId="53" fillId="6" borderId="0" xfId="8" applyFont="1" applyFill="1" applyAlignment="1" applyProtection="1">
      <alignment horizontal="center" vertical="center" wrapText="1"/>
      <protection locked="0"/>
    </xf>
    <xf numFmtId="191" fontId="53" fillId="7" borderId="0" xfId="8" applyFont="1" applyFill="1" applyAlignment="1" applyProtection="1">
      <alignment horizontal="center" vertical="center" wrapText="1"/>
    </xf>
    <xf numFmtId="191" fontId="53" fillId="0" borderId="0" xfId="8" applyFont="1" applyAlignment="1" applyProtection="1">
      <alignment horizontal="center" vertical="center" wrapText="1"/>
    </xf>
    <xf numFmtId="191" fontId="99" fillId="6" borderId="1" xfId="8" applyFont="1" applyFill="1" applyBorder="1" applyAlignment="1" applyProtection="1">
      <alignment horizontal="center" vertical="center"/>
    </xf>
    <xf numFmtId="191" fontId="57" fillId="6" borderId="2" xfId="1" applyFont="1" applyFill="1" applyBorder="1" applyAlignment="1" applyProtection="1">
      <alignment vertical="center"/>
    </xf>
    <xf numFmtId="191" fontId="101" fillId="6" borderId="85" xfId="0" applyFont="1" applyFill="1" applyBorder="1" applyAlignment="1" applyProtection="1">
      <alignment vertical="center"/>
    </xf>
    <xf numFmtId="191" fontId="62" fillId="2" borderId="88" xfId="0" applyFont="1" applyFill="1" applyBorder="1" applyAlignment="1" applyProtection="1">
      <alignment horizontal="right" vertical="center"/>
      <protection locked="0"/>
    </xf>
    <xf numFmtId="191" fontId="62" fillId="6" borderId="87" xfId="0" applyFont="1" applyFill="1" applyBorder="1" applyAlignment="1" applyProtection="1">
      <alignment horizontal="center" vertical="center"/>
    </xf>
    <xf numFmtId="191" fontId="62" fillId="2" borderId="88" xfId="0" applyFont="1" applyFill="1" applyBorder="1" applyAlignment="1" applyProtection="1">
      <alignment vertical="center"/>
      <protection locked="0"/>
    </xf>
    <xf numFmtId="191" fontId="62" fillId="6" borderId="88" xfId="0" applyFont="1" applyFill="1" applyBorder="1" applyAlignment="1" applyProtection="1">
      <alignment vertical="center"/>
      <protection locked="0"/>
    </xf>
    <xf numFmtId="191"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1" fontId="62" fillId="6" borderId="88" xfId="0" applyFont="1" applyFill="1" applyBorder="1" applyAlignment="1" applyProtection="1">
      <alignment horizontal="center" vertical="center"/>
      <protection locked="0"/>
    </xf>
    <xf numFmtId="191" fontId="62" fillId="6" borderId="103" xfId="0" applyFont="1" applyFill="1" applyBorder="1" applyAlignment="1" applyProtection="1">
      <alignment horizontal="center" vertical="center"/>
    </xf>
    <xf numFmtId="191" fontId="63" fillId="6" borderId="87" xfId="0" applyFont="1" applyFill="1" applyBorder="1" applyAlignment="1" applyProtection="1">
      <alignment horizontal="center" vertical="center"/>
    </xf>
    <xf numFmtId="191" fontId="63" fillId="0" borderId="87" xfId="0" applyFont="1" applyFill="1" applyBorder="1" applyAlignment="1" applyProtection="1">
      <alignment horizontal="center" vertical="center"/>
      <protection locked="0"/>
    </xf>
    <xf numFmtId="191" fontId="62" fillId="6" borderId="88" xfId="0" applyFont="1" applyFill="1" applyBorder="1" applyAlignment="1" applyProtection="1">
      <alignment vertical="center"/>
    </xf>
    <xf numFmtId="191"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1" fontId="62" fillId="6" borderId="88" xfId="0" applyFont="1" applyFill="1" applyBorder="1" applyAlignment="1" applyProtection="1">
      <alignment horizontal="center" vertical="center"/>
    </xf>
    <xf numFmtId="191" fontId="0" fillId="0" borderId="0" xfId="0" applyAlignment="1"/>
    <xf numFmtId="191" fontId="96" fillId="6" borderId="0" xfId="0" applyFont="1" applyFill="1" applyAlignment="1"/>
    <xf numFmtId="191" fontId="80" fillId="6" borderId="0" xfId="2" applyFont="1" applyFill="1"/>
    <xf numFmtId="191" fontId="19" fillId="6" borderId="0" xfId="2" applyFont="1" applyFill="1"/>
    <xf numFmtId="191" fontId="19" fillId="6" borderId="6" xfId="2" applyFont="1" applyFill="1" applyBorder="1"/>
    <xf numFmtId="191" fontId="122"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22" fillId="6" borderId="6" xfId="2" applyFont="1" applyFill="1" applyBorder="1" applyAlignment="1">
      <alignment horizontal="center" vertical="center" wrapText="1"/>
    </xf>
    <xf numFmtId="191" fontId="19" fillId="6" borderId="9" xfId="2" applyNumberFormat="1" applyFont="1" applyFill="1" applyBorder="1" applyAlignment="1">
      <alignment horizontal="center"/>
    </xf>
    <xf numFmtId="191" fontId="19" fillId="0" borderId="0" xfId="2" applyFont="1"/>
    <xf numFmtId="191" fontId="19" fillId="6" borderId="23" xfId="2" applyFont="1" applyFill="1" applyBorder="1"/>
    <xf numFmtId="191" fontId="122"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22" fillId="6" borderId="23" xfId="2" applyFont="1" applyFill="1" applyBorder="1" applyAlignment="1">
      <alignment horizontal="center" vertical="center" wrapText="1"/>
    </xf>
    <xf numFmtId="191" fontId="19" fillId="6" borderId="1" xfId="2" applyNumberFormat="1" applyFont="1" applyFill="1" applyBorder="1" applyAlignment="1">
      <alignment horizontal="center"/>
    </xf>
    <xf numFmtId="191" fontId="19" fillId="6" borderId="25" xfId="2" applyFont="1" applyFill="1" applyBorder="1"/>
    <xf numFmtId="191" fontId="122"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22" fillId="6" borderId="25" xfId="2" applyFont="1" applyFill="1" applyBorder="1" applyAlignment="1">
      <alignment horizontal="center" vertical="center" wrapText="1"/>
    </xf>
    <xf numFmtId="191" fontId="19" fillId="6" borderId="32" xfId="2" applyNumberFormat="1" applyFont="1" applyFill="1" applyBorder="1" applyAlignment="1">
      <alignment horizontal="center"/>
    </xf>
    <xf numFmtId="191" fontId="19" fillId="6" borderId="0" xfId="2" applyNumberFormat="1"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52" fillId="6" borderId="0" xfId="2" applyNumberFormat="1" applyFont="1" applyFill="1" applyAlignment="1">
      <alignment horizontal="center"/>
    </xf>
    <xf numFmtId="191" fontId="153" fillId="6" borderId="0" xfId="2" applyFont="1" applyFill="1" applyAlignment="1">
      <alignment horizontal="left"/>
    </xf>
    <xf numFmtId="14" fontId="152" fillId="6" borderId="0" xfId="2" applyNumberFormat="1" applyFont="1" applyFill="1" applyAlignment="1">
      <alignment horizontal="center"/>
    </xf>
    <xf numFmtId="191" fontId="152" fillId="6" borderId="0" xfId="2" applyFont="1" applyFill="1"/>
    <xf numFmtId="191" fontId="152" fillId="0" borderId="0" xfId="2" applyFont="1"/>
    <xf numFmtId="191" fontId="152" fillId="0" borderId="0" xfId="0" applyFont="1" applyAlignment="1"/>
    <xf numFmtId="191" fontId="154" fillId="6" borderId="0" xfId="2" applyFont="1" applyFill="1"/>
    <xf numFmtId="191" fontId="155" fillId="6" borderId="0" xfId="2" applyFont="1" applyFill="1"/>
    <xf numFmtId="191" fontId="154" fillId="0" borderId="0" xfId="2" applyFont="1"/>
    <xf numFmtId="191" fontId="122" fillId="6" borderId="0" xfId="2" applyFont="1" applyFill="1" applyAlignment="1"/>
    <xf numFmtId="191" fontId="136" fillId="6" borderId="13" xfId="2" applyFont="1" applyFill="1" applyBorder="1" applyAlignment="1">
      <alignment horizontal="center" vertical="center"/>
    </xf>
    <xf numFmtId="191" fontId="136" fillId="6" borderId="13" xfId="2" applyFont="1" applyFill="1" applyBorder="1" applyAlignment="1">
      <alignment vertical="center"/>
    </xf>
    <xf numFmtId="191" fontId="136" fillId="6" borderId="5" xfId="2" applyFont="1" applyFill="1" applyBorder="1" applyAlignment="1">
      <alignment vertical="center"/>
    </xf>
    <xf numFmtId="191" fontId="136" fillId="6" borderId="3" xfId="2" applyFont="1" applyFill="1" applyBorder="1" applyAlignment="1">
      <alignment vertical="center"/>
    </xf>
    <xf numFmtId="191" fontId="136" fillId="6" borderId="54" xfId="2" applyFont="1" applyFill="1" applyBorder="1" applyAlignment="1">
      <alignment vertical="center"/>
    </xf>
    <xf numFmtId="191" fontId="122" fillId="0" borderId="0" xfId="2" applyFont="1" applyAlignment="1"/>
    <xf numFmtId="191" fontId="122" fillId="6" borderId="0" xfId="2" applyFont="1" applyFill="1"/>
    <xf numFmtId="191" fontId="136" fillId="6" borderId="2" xfId="2" applyFont="1" applyFill="1" applyBorder="1" applyAlignment="1">
      <alignment horizontal="center" vertical="center" wrapText="1"/>
    </xf>
    <xf numFmtId="191" fontId="136" fillId="6" borderId="2" xfId="2" applyFont="1" applyFill="1" applyBorder="1" applyAlignment="1">
      <alignment vertical="center" wrapText="1"/>
    </xf>
    <xf numFmtId="191" fontId="19" fillId="6" borderId="1" xfId="2" applyFont="1" applyFill="1" applyBorder="1"/>
    <xf numFmtId="191" fontId="136" fillId="6" borderId="1" xfId="2" applyFont="1" applyFill="1" applyBorder="1" applyAlignment="1">
      <alignment horizontal="center" vertical="center" wrapText="1"/>
    </xf>
    <xf numFmtId="191" fontId="122" fillId="0" borderId="0" xfId="2" applyFont="1"/>
    <xf numFmtId="191" fontId="157" fillId="6" borderId="0" xfId="2" applyFont="1" applyFill="1" applyAlignment="1">
      <alignment vertical="center"/>
    </xf>
    <xf numFmtId="191" fontId="157" fillId="6" borderId="1" xfId="2" applyFont="1" applyFill="1" applyBorder="1" applyAlignment="1">
      <alignment horizontal="left" vertical="center" wrapText="1"/>
    </xf>
    <xf numFmtId="191"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1" fontId="157" fillId="5" borderId="0" xfId="2" applyFont="1" applyFill="1" applyAlignment="1">
      <alignment vertical="center"/>
    </xf>
    <xf numFmtId="191" fontId="158"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1" fontId="138" fillId="6" borderId="87" xfId="2" applyFont="1" applyFill="1" applyBorder="1"/>
    <xf numFmtId="14" fontId="138" fillId="6" borderId="78" xfId="2" applyNumberFormat="1" applyFont="1" applyFill="1" applyBorder="1" applyAlignment="1" applyProtection="1">
      <alignment horizontal="center"/>
    </xf>
    <xf numFmtId="191"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1" fontId="138" fillId="0" borderId="87" xfId="2" applyFont="1" applyBorder="1"/>
    <xf numFmtId="191" fontId="108" fillId="0" borderId="87" xfId="0" applyFont="1" applyBorder="1" applyAlignment="1"/>
    <xf numFmtId="191" fontId="108" fillId="0" borderId="0" xfId="0" applyFont="1" applyAlignment="1"/>
    <xf numFmtId="191"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1" fontId="118" fillId="0" borderId="1" xfId="5" applyFont="1" applyFill="1" applyBorder="1" applyAlignment="1">
      <alignment horizontal="left" vertical="center"/>
    </xf>
    <xf numFmtId="191" fontId="99" fillId="0" borderId="1" xfId="0" applyNumberFormat="1" applyFont="1" applyFill="1" applyBorder="1" applyAlignment="1" applyProtection="1">
      <alignment horizontal="center" vertical="center" wrapText="1"/>
      <protection locked="0"/>
    </xf>
    <xf numFmtId="191" fontId="99" fillId="0" borderId="1" xfId="0" applyNumberFormat="1" applyFont="1" applyFill="1" applyBorder="1" applyAlignment="1" applyProtection="1">
      <alignment horizontal="left" vertical="center" wrapText="1"/>
      <protection locked="0"/>
    </xf>
    <xf numFmtId="191" fontId="99" fillId="0" borderId="5" xfId="0" applyNumberFormat="1" applyFont="1" applyFill="1" applyBorder="1" applyAlignment="1" applyProtection="1">
      <alignment horizontal="center" vertical="center" wrapText="1"/>
      <protection locked="0"/>
    </xf>
    <xf numFmtId="191" fontId="99" fillId="0" borderId="48" xfId="0" applyNumberFormat="1" applyFont="1" applyFill="1" applyBorder="1" applyAlignment="1" applyProtection="1">
      <alignment horizontal="center" vertical="center" wrapText="1"/>
      <protection locked="0"/>
    </xf>
    <xf numFmtId="191" fontId="99" fillId="0" borderId="13" xfId="0" applyNumberFormat="1" applyFont="1" applyFill="1" applyBorder="1" applyAlignment="1" applyProtection="1">
      <alignment horizontal="center" vertical="center" wrapText="1"/>
      <protection locked="0"/>
    </xf>
    <xf numFmtId="191" fontId="99" fillId="0" borderId="46" xfId="0" applyNumberFormat="1" applyFont="1" applyFill="1" applyBorder="1" applyAlignment="1" applyProtection="1">
      <alignment horizontal="center" vertical="center" wrapText="1"/>
      <protection locked="0"/>
    </xf>
    <xf numFmtId="191" fontId="99" fillId="0" borderId="59" xfId="0" applyNumberFormat="1" applyFont="1" applyFill="1" applyBorder="1" applyAlignment="1" applyProtection="1">
      <alignment horizontal="center" vertical="center" wrapText="1"/>
      <protection locked="0"/>
    </xf>
    <xf numFmtId="191" fontId="99" fillId="0" borderId="110" xfId="0" applyNumberFormat="1" applyFont="1" applyFill="1" applyBorder="1" applyAlignment="1" applyProtection="1">
      <alignment horizontal="center" vertical="center" wrapText="1"/>
      <protection locked="0"/>
    </xf>
    <xf numFmtId="191" fontId="99" fillId="0" borderId="110" xfId="0" applyNumberFormat="1" applyFont="1" applyFill="1" applyBorder="1" applyAlignment="1" applyProtection="1">
      <alignment horizontal="left" vertical="center" wrapText="1"/>
      <protection locked="0"/>
    </xf>
    <xf numFmtId="191" fontId="99" fillId="0" borderId="111" xfId="0" applyNumberFormat="1" applyFont="1" applyFill="1" applyBorder="1" applyAlignment="1" applyProtection="1">
      <alignment horizontal="center" vertical="center" wrapText="1"/>
      <protection locked="0"/>
    </xf>
    <xf numFmtId="191" fontId="99" fillId="0" borderId="112" xfId="0" applyNumberFormat="1" applyFont="1" applyFill="1" applyBorder="1" applyAlignment="1" applyProtection="1">
      <alignment horizontal="center" vertical="center" wrapText="1"/>
      <protection locked="0"/>
    </xf>
    <xf numFmtId="191" fontId="99" fillId="6" borderId="98" xfId="0" applyNumberFormat="1" applyFont="1" applyFill="1" applyBorder="1" applyAlignment="1" applyProtection="1">
      <alignment horizontal="center" vertical="center" wrapText="1"/>
    </xf>
    <xf numFmtId="191" fontId="99" fillId="0" borderId="2" xfId="0" applyNumberFormat="1" applyFont="1" applyFill="1" applyBorder="1" applyAlignment="1" applyProtection="1">
      <alignment horizontal="center" vertical="center" wrapText="1"/>
      <protection locked="0"/>
    </xf>
    <xf numFmtId="191" fontId="99" fillId="0" borderId="4" xfId="0" applyNumberFormat="1" applyFont="1" applyFill="1" applyBorder="1" applyAlignment="1" applyProtection="1">
      <alignment horizontal="center" vertical="center" wrapText="1"/>
      <protection locked="0"/>
    </xf>
    <xf numFmtId="191" fontId="99" fillId="0" borderId="58" xfId="0" applyFont="1" applyFill="1" applyBorder="1" applyAlignment="1" applyProtection="1">
      <alignment horizontal="center" vertical="center"/>
      <protection locked="0"/>
    </xf>
    <xf numFmtId="191" fontId="99" fillId="0" borderId="15" xfId="0" applyNumberFormat="1" applyFont="1" applyFill="1" applyBorder="1" applyAlignment="1" applyProtection="1">
      <alignment horizontal="center" vertical="center" wrapText="1"/>
      <protection locked="0"/>
    </xf>
    <xf numFmtId="191"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1" fontId="99" fillId="0" borderId="15" xfId="0" applyFont="1" applyFill="1" applyBorder="1" applyAlignment="1" applyProtection="1">
      <alignment horizontal="center" vertical="center"/>
      <protection locked="0"/>
    </xf>
    <xf numFmtId="191" fontId="99" fillId="0" borderId="56" xfId="0" applyFont="1" applyFill="1" applyBorder="1" applyAlignment="1" applyProtection="1">
      <alignment horizontal="center" vertical="center"/>
      <protection locked="0"/>
    </xf>
    <xf numFmtId="191" fontId="99" fillId="0" borderId="2" xfId="0" applyNumberFormat="1" applyFont="1" applyFill="1" applyBorder="1" applyAlignment="1" applyProtection="1">
      <alignment horizontal="left" vertical="center" wrapText="1"/>
      <protection locked="0"/>
    </xf>
    <xf numFmtId="191" fontId="99" fillId="6" borderId="13" xfId="0" applyNumberFormat="1" applyFont="1" applyFill="1" applyBorder="1" applyAlignment="1" applyProtection="1">
      <alignment horizontal="center" vertical="center" wrapText="1"/>
    </xf>
    <xf numFmtId="191" fontId="54" fillId="6" borderId="1" xfId="0" applyNumberFormat="1" applyFont="1" applyFill="1" applyBorder="1" applyAlignment="1" applyProtection="1">
      <alignment horizontal="right" vertical="center"/>
    </xf>
    <xf numFmtId="191" fontId="58" fillId="6" borderId="10" xfId="0" applyFont="1" applyFill="1" applyBorder="1" applyAlignment="1" applyProtection="1">
      <alignment horizontal="center" vertical="center" wrapText="1"/>
    </xf>
    <xf numFmtId="191" fontId="58" fillId="6" borderId="49" xfId="0" applyFont="1" applyFill="1" applyBorder="1" applyAlignment="1" applyProtection="1">
      <alignment horizontal="center" vertical="center" wrapText="1"/>
    </xf>
    <xf numFmtId="191" fontId="47" fillId="0" borderId="24" xfId="0" applyFont="1" applyBorder="1" applyProtection="1">
      <alignment vertical="center"/>
      <protection locked="0"/>
    </xf>
    <xf numFmtId="191" fontId="160" fillId="0" borderId="1" xfId="12" applyFont="1" applyBorder="1" applyAlignment="1" applyProtection="1">
      <alignment horizontal="left" vertical="center" wrapText="1"/>
      <protection locked="0"/>
    </xf>
    <xf numFmtId="191" fontId="164" fillId="6" borderId="1" xfId="0" applyFont="1" applyFill="1" applyBorder="1" applyAlignment="1">
      <alignment horizontal="left" vertical="center" wrapText="1"/>
    </xf>
    <xf numFmtId="191" fontId="98" fillId="6" borderId="9" xfId="0" applyNumberFormat="1" applyFont="1" applyFill="1" applyBorder="1" applyAlignment="1" applyProtection="1">
      <alignment horizontal="center" vertical="center" wrapText="1"/>
    </xf>
    <xf numFmtId="191"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1" fontId="168" fillId="0" borderId="108" xfId="0" applyNumberFormat="1" applyFont="1" applyFill="1" applyBorder="1" applyAlignment="1" applyProtection="1">
      <alignment horizontal="center" vertical="center" wrapText="1"/>
      <protection locked="0"/>
    </xf>
    <xf numFmtId="191" fontId="168" fillId="0" borderId="18" xfId="0" applyNumberFormat="1" applyFont="1" applyFill="1" applyBorder="1" applyAlignment="1" applyProtection="1">
      <alignment horizontal="center" vertical="center" wrapText="1"/>
      <protection locked="0"/>
    </xf>
    <xf numFmtId="191" fontId="113" fillId="6" borderId="24" xfId="0" applyFont="1" applyFill="1" applyBorder="1" applyAlignment="1" applyProtection="1">
      <alignment horizontal="left" vertical="center"/>
    </xf>
    <xf numFmtId="191" fontId="169" fillId="6" borderId="32" xfId="0" applyFont="1" applyFill="1" applyBorder="1" applyAlignment="1" applyProtection="1">
      <alignment horizontal="center" vertical="center"/>
    </xf>
    <xf numFmtId="191" fontId="47" fillId="6" borderId="19" xfId="0" applyFont="1" applyFill="1" applyBorder="1" applyAlignment="1" applyProtection="1">
      <alignment horizontal="center" vertical="center"/>
      <protection locked="0"/>
    </xf>
    <xf numFmtId="191" fontId="47" fillId="5" borderId="66" xfId="0" applyFont="1" applyFill="1" applyBorder="1" applyAlignment="1" applyProtection="1">
      <alignment horizontal="center" vertical="center"/>
      <protection locked="0"/>
    </xf>
    <xf numFmtId="191" fontId="47" fillId="6" borderId="54" xfId="0" applyFont="1" applyFill="1" applyBorder="1" applyAlignment="1" applyProtection="1">
      <alignment horizontal="left" vertical="center" wrapText="1"/>
    </xf>
    <xf numFmtId="191" fontId="44" fillId="6" borderId="1" xfId="0" applyFont="1" applyFill="1" applyBorder="1" applyAlignment="1" applyProtection="1">
      <alignment horizontal="center" vertical="center" wrapText="1"/>
    </xf>
    <xf numFmtId="191" fontId="47" fillId="6" borderId="1"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wrapText="1"/>
    </xf>
    <xf numFmtId="191" fontId="47" fillId="6" borderId="5" xfId="0" applyFont="1" applyFill="1" applyBorder="1" applyAlignment="1" applyProtection="1">
      <alignment horizontal="center" vertical="center" wrapText="1"/>
    </xf>
    <xf numFmtId="191" fontId="47" fillId="6" borderId="54" xfId="0" applyFont="1" applyFill="1" applyBorder="1" applyAlignment="1" applyProtection="1">
      <alignment horizontal="center" vertical="center" wrapText="1"/>
    </xf>
    <xf numFmtId="191" fontId="44" fillId="0" borderId="1" xfId="0" applyFont="1" applyBorder="1" applyAlignment="1" applyProtection="1">
      <alignment horizontal="center" vertical="center"/>
      <protection locked="0"/>
    </xf>
    <xf numFmtId="191" fontId="47" fillId="6" borderId="3" xfId="0" applyFont="1" applyFill="1" applyBorder="1" applyAlignment="1" applyProtection="1">
      <alignment horizontal="center" vertical="center" wrapText="1"/>
    </xf>
    <xf numFmtId="191" fontId="99" fillId="6" borderId="2" xfId="0" applyFont="1" applyFill="1" applyBorder="1" applyAlignment="1" applyProtection="1">
      <alignment horizontal="center" vertical="center" wrapText="1"/>
    </xf>
    <xf numFmtId="191" fontId="99" fillId="6" borderId="1" xfId="0" applyFont="1" applyFill="1" applyBorder="1" applyAlignment="1" applyProtection="1">
      <alignment horizontal="center" vertical="center" wrapText="1"/>
    </xf>
    <xf numFmtId="191" fontId="51" fillId="6" borderId="1" xfId="0"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xf>
    <xf numFmtId="191" fontId="51" fillId="6" borderId="5"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44" fillId="6" borderId="3" xfId="0" applyFont="1" applyFill="1" applyBorder="1" applyAlignment="1" applyProtection="1">
      <alignment horizontal="center" vertical="center"/>
    </xf>
    <xf numFmtId="191" fontId="53" fillId="6" borderId="3" xfId="8" applyFont="1" applyFill="1" applyBorder="1" applyAlignment="1" applyProtection="1">
      <alignment horizontal="center" vertical="center" wrapText="1"/>
      <protection locked="0"/>
    </xf>
    <xf numFmtId="191" fontId="47" fillId="6" borderId="5"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1" fontId="53" fillId="6" borderId="13" xfId="0" applyFont="1" applyFill="1" applyBorder="1" applyAlignment="1" applyProtection="1">
      <alignment vertical="center"/>
    </xf>
    <xf numFmtId="191" fontId="47" fillId="6" borderId="22" xfId="0" applyFont="1" applyFill="1" applyBorder="1" applyAlignment="1" applyProtection="1">
      <alignment vertical="center" wrapText="1"/>
    </xf>
    <xf numFmtId="191" fontId="47" fillId="6" borderId="22" xfId="0" applyFont="1" applyFill="1" applyBorder="1" applyAlignment="1" applyProtection="1">
      <alignment vertical="center"/>
    </xf>
    <xf numFmtId="191" fontId="171" fillId="6" borderId="1" xfId="0" applyFont="1" applyFill="1" applyBorder="1" applyAlignment="1" applyProtection="1">
      <alignment horizontal="right" vertical="center" wrapText="1"/>
    </xf>
    <xf numFmtId="191" fontId="113" fillId="6" borderId="15" xfId="0" applyFont="1" applyFill="1" applyBorder="1" applyAlignment="1" applyProtection="1">
      <alignment vertical="center"/>
    </xf>
    <xf numFmtId="191" fontId="47" fillId="6" borderId="118" xfId="0" applyFont="1" applyFill="1" applyBorder="1" applyAlignment="1" applyProtection="1">
      <alignment vertical="center" wrapText="1"/>
    </xf>
    <xf numFmtId="191" fontId="47" fillId="2" borderId="1" xfId="0" applyFont="1" applyFill="1" applyBorder="1" applyAlignment="1" applyProtection="1">
      <alignment horizontal="left" vertical="center" wrapText="1"/>
      <protection locked="0"/>
    </xf>
    <xf numFmtId="191" fontId="52" fillId="6" borderId="46" xfId="0" applyFont="1" applyFill="1" applyBorder="1" applyAlignment="1" applyProtection="1">
      <alignment vertical="center" wrapText="1"/>
      <protection locked="0"/>
    </xf>
    <xf numFmtId="191" fontId="47" fillId="6" borderId="1" xfId="0" applyFont="1" applyFill="1" applyBorder="1" applyAlignment="1" applyProtection="1">
      <protection locked="0"/>
    </xf>
    <xf numFmtId="191" fontId="47" fillId="6" borderId="3" xfId="0" applyFont="1" applyFill="1" applyBorder="1" applyAlignment="1" applyProtection="1">
      <alignment vertical="center" wrapText="1"/>
    </xf>
    <xf numFmtId="191"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1" fontId="77" fillId="6" borderId="13" xfId="0" applyFont="1" applyFill="1" applyBorder="1" applyAlignment="1" applyProtection="1">
      <alignment vertical="center"/>
    </xf>
    <xf numFmtId="191"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1" fontId="53" fillId="6" borderId="0" xfId="0" applyFont="1" applyFill="1" applyAlignment="1" applyProtection="1">
      <alignment horizontal="center" vertical="center"/>
    </xf>
    <xf numFmtId="191"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1" fontId="53" fillId="7" borderId="0" xfId="0" applyFont="1" applyFill="1" applyAlignment="1" applyProtection="1">
      <alignment vertical="center"/>
      <protection locked="0"/>
    </xf>
    <xf numFmtId="191" fontId="54" fillId="6" borderId="1" xfId="1" applyFont="1" applyFill="1" applyBorder="1" applyAlignment="1" applyProtection="1">
      <alignment vertical="center"/>
    </xf>
    <xf numFmtId="191" fontId="52" fillId="6" borderId="1" xfId="0" applyFont="1" applyFill="1" applyBorder="1" applyAlignment="1" applyProtection="1">
      <alignment horizontal="right" vertical="center"/>
    </xf>
    <xf numFmtId="191"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1" fontId="54" fillId="6" borderId="32" xfId="1" applyFont="1" applyFill="1" applyBorder="1" applyAlignment="1" applyProtection="1">
      <alignment vertical="center"/>
    </xf>
    <xf numFmtId="191" fontId="52" fillId="6" borderId="32" xfId="0" applyFont="1" applyFill="1" applyBorder="1" applyAlignment="1" applyProtection="1">
      <alignment horizontal="right" vertical="center"/>
    </xf>
    <xf numFmtId="191" fontId="47" fillId="6" borderId="60" xfId="0" applyFont="1" applyFill="1" applyBorder="1" applyAlignment="1" applyProtection="1">
      <alignment vertical="center"/>
    </xf>
    <xf numFmtId="191" fontId="47" fillId="6" borderId="71" xfId="0" applyFont="1" applyFill="1" applyBorder="1" applyAlignment="1" applyProtection="1">
      <alignment vertical="center"/>
    </xf>
    <xf numFmtId="191" fontId="47" fillId="6" borderId="88" xfId="0" applyFont="1" applyFill="1" applyBorder="1" applyAlignment="1" applyProtection="1">
      <alignment vertical="center"/>
    </xf>
    <xf numFmtId="191" fontId="47" fillId="6" borderId="90" xfId="0" applyFont="1" applyFill="1" applyBorder="1" applyAlignment="1" applyProtection="1">
      <alignment vertical="center"/>
    </xf>
    <xf numFmtId="191" fontId="48" fillId="7" borderId="0" xfId="0" applyFont="1" applyFill="1" applyAlignment="1" applyProtection="1">
      <alignment vertical="center"/>
      <protection locked="0"/>
    </xf>
    <xf numFmtId="191" fontId="48" fillId="0" borderId="0" xfId="0" applyFont="1" applyFill="1" applyAlignment="1" applyProtection="1">
      <alignment vertical="center"/>
      <protection locked="0"/>
    </xf>
    <xf numFmtId="191" fontId="54" fillId="6" borderId="0" xfId="0" applyFont="1" applyFill="1" applyBorder="1" applyAlignment="1" applyProtection="1">
      <alignment horizontal="left" vertical="center"/>
      <protection locked="0"/>
    </xf>
    <xf numFmtId="191" fontId="60" fillId="6" borderId="0" xfId="0" applyFont="1" applyFill="1" applyBorder="1" applyAlignment="1" applyProtection="1">
      <alignment horizontal="center" vertical="center"/>
      <protection locked="0"/>
    </xf>
    <xf numFmtId="191" fontId="47" fillId="7" borderId="0" xfId="0" applyFont="1" applyFill="1" applyAlignment="1" applyProtection="1">
      <protection locked="0"/>
    </xf>
    <xf numFmtId="191" fontId="47" fillId="7" borderId="0" xfId="0" applyFont="1" applyFill="1" applyAlignment="1" applyProtection="1">
      <alignment horizontal="center"/>
      <protection locked="0"/>
    </xf>
    <xf numFmtId="191" fontId="53" fillId="7" borderId="0" xfId="0" applyFont="1" applyFill="1" applyAlignment="1" applyProtection="1">
      <alignment horizontal="left" vertical="center"/>
      <protection locked="0"/>
    </xf>
    <xf numFmtId="191" fontId="139" fillId="6" borderId="0" xfId="0" applyFont="1" applyFill="1" applyAlignment="1" applyProtection="1">
      <alignment vertical="center"/>
    </xf>
    <xf numFmtId="191" fontId="139" fillId="7" borderId="0" xfId="0" applyFont="1" applyFill="1" applyAlignment="1" applyProtection="1">
      <protection locked="0"/>
    </xf>
    <xf numFmtId="191" fontId="53" fillId="6" borderId="16" xfId="0" applyFont="1" applyFill="1" applyBorder="1" applyAlignment="1" applyProtection="1">
      <alignment horizontal="center" vertical="center"/>
    </xf>
    <xf numFmtId="191" fontId="47" fillId="6" borderId="31" xfId="0" applyFont="1" applyFill="1" applyBorder="1" applyAlignment="1" applyProtection="1"/>
    <xf numFmtId="191" fontId="139" fillId="7" borderId="63" xfId="0" applyFont="1" applyFill="1" applyBorder="1" applyAlignment="1" applyProtection="1">
      <alignment vertical="center"/>
      <protection locked="0"/>
    </xf>
    <xf numFmtId="191" fontId="53" fillId="7" borderId="64" xfId="0" applyFont="1" applyFill="1" applyBorder="1" applyAlignment="1" applyProtection="1">
      <alignment vertical="center"/>
      <protection locked="0"/>
    </xf>
    <xf numFmtId="191" fontId="53" fillId="7" borderId="65" xfId="0" applyFont="1" applyFill="1" applyBorder="1" applyAlignment="1" applyProtection="1">
      <alignment horizontal="left" vertical="center"/>
      <protection locked="0"/>
    </xf>
    <xf numFmtId="191" fontId="102" fillId="6" borderId="82" xfId="0" applyFont="1" applyFill="1" applyBorder="1" applyAlignment="1" applyProtection="1">
      <alignment horizontal="center" vertical="center"/>
    </xf>
    <xf numFmtId="191" fontId="99" fillId="6" borderId="82" xfId="0" applyFont="1" applyFill="1" applyBorder="1" applyAlignment="1" applyProtection="1">
      <alignment vertical="center" wrapText="1"/>
    </xf>
    <xf numFmtId="191" fontId="99" fillId="6" borderId="65" xfId="0" applyFont="1" applyFill="1" applyBorder="1" applyAlignment="1" applyProtection="1">
      <alignment vertical="center"/>
    </xf>
    <xf numFmtId="191" fontId="99" fillId="6" borderId="65" xfId="0" applyFont="1" applyFill="1" applyBorder="1" applyAlignment="1" applyProtection="1">
      <alignment vertical="center" wrapText="1"/>
    </xf>
    <xf numFmtId="191" fontId="53" fillId="6" borderId="6" xfId="0" applyFont="1" applyFill="1" applyBorder="1" applyAlignment="1" applyProtection="1">
      <alignment vertical="center"/>
    </xf>
    <xf numFmtId="191" fontId="53" fillId="5" borderId="10" xfId="0" applyFont="1" applyFill="1" applyBorder="1" applyAlignment="1" applyProtection="1">
      <alignment horizontal="center" vertical="center"/>
      <protection locked="0"/>
    </xf>
    <xf numFmtId="191" fontId="53" fillId="6" borderId="6" xfId="0" applyFont="1" applyFill="1" applyBorder="1" applyAlignment="1" applyProtection="1">
      <alignment horizontal="left" vertical="center"/>
      <protection locked="0"/>
    </xf>
    <xf numFmtId="191" fontId="53" fillId="6" borderId="10" xfId="0" applyFont="1" applyFill="1" applyBorder="1" applyAlignment="1" applyProtection="1">
      <alignment horizontal="center" vertical="center"/>
    </xf>
    <xf numFmtId="191" fontId="99" fillId="6" borderId="81" xfId="0" applyFont="1" applyFill="1" applyBorder="1" applyAlignment="1" applyProtection="1">
      <alignment vertical="center" wrapText="1"/>
    </xf>
    <xf numFmtId="191" fontId="99" fillId="6" borderId="43" xfId="0" applyFont="1" applyFill="1" applyBorder="1" applyAlignment="1" applyProtection="1">
      <alignment vertical="center"/>
    </xf>
    <xf numFmtId="191" fontId="99" fillId="6" borderId="43" xfId="0" applyFont="1" applyFill="1" applyBorder="1" applyAlignment="1" applyProtection="1">
      <alignment vertical="center" wrapText="1"/>
    </xf>
    <xf numFmtId="191" fontId="53" fillId="6" borderId="23" xfId="0" applyFont="1" applyFill="1" applyBorder="1" applyAlignment="1" applyProtection="1">
      <alignment vertical="center"/>
    </xf>
    <xf numFmtId="191" fontId="99" fillId="5" borderId="24" xfId="0" applyFont="1" applyFill="1" applyBorder="1" applyAlignment="1" applyProtection="1">
      <alignment horizontal="center"/>
      <protection locked="0"/>
    </xf>
    <xf numFmtId="191" fontId="99" fillId="6" borderId="23" xfId="0" applyFont="1" applyFill="1" applyBorder="1" applyAlignment="1" applyProtection="1">
      <alignment horizontal="left"/>
      <protection locked="0"/>
    </xf>
    <xf numFmtId="191" fontId="53" fillId="6" borderId="24" xfId="0" applyFont="1" applyFill="1" applyBorder="1" applyAlignment="1" applyProtection="1">
      <alignment horizontal="center" vertical="center"/>
    </xf>
    <xf numFmtId="191" fontId="53" fillId="7" borderId="0" xfId="0" applyFont="1" applyFill="1" applyBorder="1" applyAlignment="1" applyProtection="1">
      <alignment vertical="center"/>
      <protection locked="0"/>
    </xf>
    <xf numFmtId="191" fontId="53" fillId="7" borderId="24" xfId="0" applyFont="1" applyFill="1" applyBorder="1" applyAlignment="1" applyProtection="1">
      <alignment horizontal="center" vertical="center"/>
      <protection locked="0"/>
    </xf>
    <xf numFmtId="191" fontId="53" fillId="0" borderId="24" xfId="0" applyFont="1" applyFill="1" applyBorder="1" applyAlignment="1" applyProtection="1">
      <alignment horizontal="center" vertical="center"/>
      <protection locked="0"/>
    </xf>
    <xf numFmtId="191" fontId="99" fillId="6" borderId="81" xfId="0" applyFont="1" applyFill="1" applyBorder="1" applyAlignment="1" applyProtection="1">
      <alignment horizontal="right" vertical="center" wrapText="1"/>
    </xf>
    <xf numFmtId="191" fontId="99" fillId="6" borderId="24" xfId="0" applyFont="1" applyFill="1" applyBorder="1" applyAlignment="1" applyProtection="1">
      <alignment horizontal="center"/>
    </xf>
    <xf numFmtId="191"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1" fontId="53" fillId="6" borderId="24" xfId="0" applyNumberFormat="1" applyFont="1" applyFill="1" applyBorder="1" applyAlignment="1" applyProtection="1">
      <alignment horizontal="center" vertical="center"/>
    </xf>
    <xf numFmtId="191" fontId="53" fillId="6" borderId="23" xfId="0" applyFont="1" applyFill="1" applyBorder="1" applyAlignment="1" applyProtection="1">
      <alignment vertical="center"/>
      <protection locked="0"/>
    </xf>
    <xf numFmtId="192" fontId="53" fillId="6" borderId="24" xfId="0" applyNumberFormat="1" applyFont="1" applyFill="1" applyBorder="1" applyAlignment="1" applyProtection="1">
      <alignment horizontal="center" vertical="center"/>
    </xf>
    <xf numFmtId="191" fontId="53" fillId="7" borderId="7" xfId="0" applyFont="1" applyFill="1" applyBorder="1" applyAlignment="1" applyProtection="1">
      <alignment vertical="center" wrapText="1"/>
      <protection locked="0"/>
    </xf>
    <xf numFmtId="191"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1" fontId="53" fillId="6" borderId="26" xfId="0" applyFont="1" applyFill="1" applyBorder="1" applyAlignment="1" applyProtection="1">
      <alignment vertical="center" wrapText="1"/>
    </xf>
    <xf numFmtId="191" fontId="53" fillId="6" borderId="48" xfId="0" applyFont="1" applyFill="1" applyBorder="1" applyAlignment="1" applyProtection="1">
      <alignment vertical="center"/>
      <protection locked="0"/>
    </xf>
    <xf numFmtId="191" fontId="113" fillId="6" borderId="0" xfId="0" applyFont="1" applyFill="1" applyAlignment="1" applyProtection="1">
      <alignment vertical="center"/>
      <protection locked="0"/>
    </xf>
    <xf numFmtId="191" fontId="113" fillId="6" borderId="47" xfId="0" applyFont="1" applyFill="1" applyBorder="1" applyAlignment="1" applyProtection="1">
      <alignment vertical="center" wrapText="1"/>
    </xf>
    <xf numFmtId="191"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1" fontId="54" fillId="6" borderId="16" xfId="0" applyFont="1" applyFill="1" applyBorder="1" applyAlignment="1" applyProtection="1">
      <alignment horizontal="center" vertical="center"/>
    </xf>
    <xf numFmtId="191" fontId="53" fillId="5" borderId="21" xfId="0" applyFont="1" applyFill="1" applyBorder="1" applyAlignment="1" applyProtection="1">
      <alignment horizontal="center" vertical="center"/>
      <protection locked="0"/>
    </xf>
    <xf numFmtId="191" fontId="53" fillId="6" borderId="1" xfId="0" applyFont="1" applyFill="1" applyBorder="1" applyAlignment="1" applyProtection="1">
      <alignment vertical="center"/>
      <protection locked="0"/>
    </xf>
    <xf numFmtId="191" fontId="53" fillId="6" borderId="54" xfId="0" applyFont="1" applyFill="1" applyBorder="1" applyAlignment="1" applyProtection="1">
      <alignment vertical="center"/>
      <protection locked="0"/>
    </xf>
    <xf numFmtId="191" fontId="53" fillId="6" borderId="41" xfId="0" applyFont="1" applyFill="1" applyBorder="1" applyAlignment="1" applyProtection="1">
      <alignment vertical="center" wrapText="1"/>
    </xf>
    <xf numFmtId="191" fontId="53" fillId="5" borderId="0" xfId="0" applyFont="1" applyFill="1" applyBorder="1" applyAlignment="1" applyProtection="1">
      <alignment horizontal="center" vertical="center"/>
      <protection locked="0"/>
    </xf>
    <xf numFmtId="191" fontId="53" fillId="6" borderId="18" xfId="0" applyFont="1" applyFill="1" applyBorder="1" applyAlignment="1" applyProtection="1">
      <alignment vertical="center"/>
      <protection locked="0"/>
    </xf>
    <xf numFmtId="191" fontId="53" fillId="6" borderId="4" xfId="0" applyFont="1" applyFill="1" applyBorder="1" applyAlignment="1" applyProtection="1">
      <alignment vertical="center"/>
      <protection locked="0"/>
    </xf>
    <xf numFmtId="191" fontId="53" fillId="6" borderId="60" xfId="0" applyFont="1" applyFill="1" applyBorder="1" applyAlignment="1" applyProtection="1">
      <alignment vertical="center"/>
      <protection locked="0"/>
    </xf>
    <xf numFmtId="191" fontId="53" fillId="6" borderId="71" xfId="0" applyFont="1" applyFill="1" applyBorder="1" applyAlignment="1" applyProtection="1">
      <alignment vertical="center"/>
      <protection locked="0"/>
    </xf>
    <xf numFmtId="191" fontId="53" fillId="6" borderId="23" xfId="0" applyFont="1" applyFill="1" applyBorder="1" applyAlignment="1" applyProtection="1">
      <alignment vertical="center" wrapText="1"/>
    </xf>
    <xf numFmtId="191"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1" fontId="53" fillId="6" borderId="49" xfId="0" applyFont="1" applyFill="1" applyBorder="1" applyAlignment="1" applyProtection="1">
      <alignment horizontal="center" vertical="center"/>
    </xf>
    <xf numFmtId="191" fontId="54" fillId="6" borderId="25" xfId="0" applyFont="1" applyFill="1" applyBorder="1" applyAlignment="1" applyProtection="1">
      <alignment horizontal="center" vertical="center"/>
    </xf>
    <xf numFmtId="191" fontId="53" fillId="6" borderId="0" xfId="0" applyFont="1" applyFill="1" applyAlignment="1" applyProtection="1">
      <alignment vertical="center"/>
      <protection locked="0"/>
    </xf>
    <xf numFmtId="191" fontId="53" fillId="6" borderId="1" xfId="0" applyFont="1" applyFill="1" applyBorder="1" applyAlignment="1"/>
    <xf numFmtId="191" fontId="53" fillId="6" borderId="1" xfId="0" applyFont="1" applyFill="1" applyBorder="1" applyAlignment="1">
      <alignment horizontal="center"/>
    </xf>
    <xf numFmtId="191"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pplyProtection="1">
      <alignment vertical="center" wrapText="1"/>
    </xf>
    <xf numFmtId="191" fontId="164" fillId="6" borderId="43" xfId="0" applyFont="1" applyFill="1" applyBorder="1" applyAlignment="1" applyProtection="1">
      <alignment vertical="center"/>
    </xf>
    <xf numFmtId="191" fontId="53" fillId="0" borderId="0" xfId="0" applyFont="1" applyFill="1" applyAlignment="1" applyProtection="1">
      <alignment horizontal="left" vertical="center"/>
      <protection locked="0"/>
    </xf>
    <xf numFmtId="191"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1" fontId="54" fillId="6" borderId="0" xfId="0" applyFont="1" applyFill="1" applyBorder="1" applyAlignment="1" applyProtection="1">
      <alignment vertical="center"/>
    </xf>
    <xf numFmtId="191" fontId="47" fillId="6" borderId="0" xfId="0" applyFont="1" applyFill="1" applyAlignment="1" applyProtection="1"/>
    <xf numFmtId="191" fontId="171" fillId="6" borderId="3" xfId="0" applyFont="1" applyFill="1" applyBorder="1" applyAlignment="1" applyProtection="1">
      <alignment horizontal="right" vertical="center" wrapText="1"/>
    </xf>
    <xf numFmtId="191" fontId="186" fillId="0" borderId="0" xfId="5" applyFont="1">
      <alignment vertical="center"/>
    </xf>
    <xf numFmtId="191" fontId="95" fillId="0" borderId="0" xfId="0" applyFont="1" applyProtection="1">
      <alignment vertical="center"/>
      <protection locked="0"/>
    </xf>
    <xf numFmtId="191" fontId="195" fillId="0" borderId="0" xfId="0" applyFont="1" applyBorder="1" applyAlignment="1">
      <alignment horizontal="center" vertical="center"/>
    </xf>
    <xf numFmtId="191" fontId="98" fillId="0" borderId="0" xfId="0" applyFont="1">
      <alignment vertical="center"/>
    </xf>
    <xf numFmtId="191" fontId="98" fillId="0" borderId="0" xfId="0" applyFont="1" applyBorder="1">
      <alignment vertical="center"/>
    </xf>
    <xf numFmtId="191" fontId="196" fillId="0" borderId="0" xfId="0" applyFont="1" applyAlignment="1">
      <alignment vertical="center"/>
    </xf>
    <xf numFmtId="191" fontId="130" fillId="0" borderId="0" xfId="0" applyFont="1" applyAlignment="1">
      <alignment vertical="center" wrapText="1"/>
    </xf>
    <xf numFmtId="191" fontId="197" fillId="0" borderId="0" xfId="0" applyFont="1">
      <alignment vertical="center"/>
    </xf>
    <xf numFmtId="191" fontId="198" fillId="0" borderId="0" xfId="0" applyFont="1">
      <alignment vertical="center"/>
    </xf>
    <xf numFmtId="191" fontId="199" fillId="0" borderId="0" xfId="0" applyFont="1" applyAlignment="1" applyProtection="1">
      <alignment vertical="center" wrapText="1"/>
      <protection locked="0"/>
    </xf>
    <xf numFmtId="191" fontId="130" fillId="0" borderId="0" xfId="0" applyFont="1" applyFill="1" applyAlignment="1">
      <alignment vertical="center" wrapText="1"/>
    </xf>
    <xf numFmtId="191" fontId="196" fillId="0" borderId="0" xfId="0" applyFont="1">
      <alignment vertical="center"/>
    </xf>
    <xf numFmtId="183" fontId="130" fillId="0" borderId="0" xfId="0" applyNumberFormat="1" applyFont="1" applyAlignment="1">
      <alignment horizontal="left" vertical="center"/>
    </xf>
    <xf numFmtId="191" fontId="130" fillId="0" borderId="0" xfId="0" applyFont="1">
      <alignment vertical="center"/>
    </xf>
    <xf numFmtId="191" fontId="200" fillId="5" borderId="0" xfId="0" applyFont="1" applyFill="1" applyProtection="1">
      <alignment vertical="center"/>
      <protection locked="0"/>
    </xf>
    <xf numFmtId="191" fontId="98" fillId="0" borderId="0" xfId="0" applyFont="1" applyProtection="1">
      <alignment vertical="center"/>
      <protection locked="0"/>
    </xf>
    <xf numFmtId="191" fontId="196" fillId="0" borderId="0" xfId="7" applyFont="1" applyProtection="1">
      <alignment vertical="center"/>
    </xf>
    <xf numFmtId="191" fontId="98" fillId="0" borderId="0" xfId="7" applyFont="1" applyProtection="1">
      <alignment vertical="center"/>
    </xf>
    <xf numFmtId="191" fontId="98" fillId="0" borderId="0" xfId="7" applyFont="1">
      <alignment vertical="center"/>
    </xf>
    <xf numFmtId="191" fontId="196" fillId="0" borderId="0" xfId="7" applyFont="1" applyAlignment="1" applyProtection="1">
      <alignment horizontal="center" vertical="center"/>
    </xf>
    <xf numFmtId="191" fontId="124" fillId="0" borderId="2" xfId="7" applyFont="1" applyFill="1" applyBorder="1" applyAlignment="1" applyProtection="1">
      <alignment horizontal="left" vertical="center" wrapText="1"/>
    </xf>
    <xf numFmtId="191" fontId="125" fillId="0" borderId="1" xfId="7" applyFont="1" applyFill="1" applyBorder="1" applyAlignment="1" applyProtection="1">
      <alignment horizontal="left" vertical="center" wrapText="1"/>
    </xf>
    <xf numFmtId="191" fontId="203" fillId="0" borderId="1" xfId="7" applyFont="1" applyFill="1" applyBorder="1" applyAlignment="1" applyProtection="1">
      <alignment horizontal="left" vertical="center" wrapText="1"/>
    </xf>
    <xf numFmtId="191" fontId="61" fillId="0" borderId="5" xfId="7" applyFont="1" applyFill="1" applyBorder="1" applyAlignment="1" applyProtection="1">
      <alignment vertical="center" wrapText="1"/>
    </xf>
    <xf numFmtId="191" fontId="104" fillId="0" borderId="1" xfId="7" applyFont="1" applyFill="1" applyBorder="1" applyAlignment="1" applyProtection="1">
      <alignment horizontal="left" vertical="center" wrapText="1"/>
    </xf>
    <xf numFmtId="191" fontId="124" fillId="0" borderId="1" xfId="7" applyFont="1" applyFill="1" applyBorder="1" applyAlignment="1" applyProtection="1">
      <alignment horizontal="left" vertical="center" wrapText="1"/>
    </xf>
    <xf numFmtId="191" fontId="204" fillId="0" borderId="1" xfId="7" applyFont="1" applyBorder="1" applyAlignment="1">
      <alignment horizontal="center" vertical="center"/>
    </xf>
    <xf numFmtId="191" fontId="125" fillId="0" borderId="78" xfId="7" applyFont="1" applyFill="1" applyBorder="1" applyAlignment="1" applyProtection="1">
      <alignment horizontal="left" vertical="center" wrapText="1"/>
    </xf>
    <xf numFmtId="191" fontId="99" fillId="0" borderId="0" xfId="7" applyFont="1" applyProtection="1">
      <alignment vertical="center"/>
    </xf>
    <xf numFmtId="191" fontId="98" fillId="0" borderId="0" xfId="7" applyFont="1" applyProtection="1">
      <alignment vertical="center"/>
      <protection locked="0"/>
    </xf>
    <xf numFmtId="191" fontId="130" fillId="0" borderId="0" xfId="7" applyFont="1" applyProtection="1">
      <alignment vertical="center"/>
      <protection locked="0"/>
    </xf>
    <xf numFmtId="191" fontId="61" fillId="0" borderId="1" xfId="0" applyFont="1" applyFill="1" applyBorder="1" applyAlignment="1" applyProtection="1">
      <alignment horizontal="left" vertical="center" wrapText="1"/>
    </xf>
    <xf numFmtId="191" fontId="130" fillId="0" borderId="0" xfId="0" applyFont="1" applyProtection="1">
      <alignment vertical="center"/>
      <protection locked="0"/>
    </xf>
    <xf numFmtId="191" fontId="95" fillId="0" borderId="0" xfId="0" applyFont="1" applyProtection="1">
      <alignment vertical="center"/>
    </xf>
    <xf numFmtId="191" fontId="193" fillId="0" borderId="0" xfId="0" applyFont="1" applyBorder="1" applyAlignment="1" applyProtection="1">
      <alignment horizontal="left" vertical="center"/>
    </xf>
    <xf numFmtId="191"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1" fontId="130" fillId="0" borderId="0" xfId="0" applyFont="1" applyBorder="1" applyAlignment="1" applyProtection="1">
      <alignment horizontal="center" vertical="center" wrapText="1"/>
    </xf>
    <xf numFmtId="191" fontId="211" fillId="0" borderId="60" xfId="0" applyFont="1" applyBorder="1" applyAlignment="1" applyProtection="1">
      <alignment horizontal="justify" vertical="center" wrapText="1"/>
    </xf>
    <xf numFmtId="191" fontId="211" fillId="0" borderId="0" xfId="0" applyFont="1" applyBorder="1" applyAlignment="1" applyProtection="1">
      <alignment horizontal="right" vertical="center" wrapText="1"/>
    </xf>
    <xf numFmtId="191" fontId="211" fillId="0" borderId="54" xfId="0" applyFont="1" applyBorder="1" applyAlignment="1" applyProtection="1">
      <alignment horizontal="justify" vertical="center" wrapText="1"/>
    </xf>
    <xf numFmtId="191" fontId="212" fillId="0" borderId="0" xfId="0" applyFont="1" applyBorder="1" applyAlignment="1" applyProtection="1">
      <alignment horizontal="center" vertical="center" wrapText="1"/>
      <protection locked="0"/>
    </xf>
    <xf numFmtId="191" fontId="196" fillId="0" borderId="0" xfId="0" applyFont="1" applyBorder="1" applyAlignment="1" applyProtection="1">
      <alignment horizontal="left" vertical="center"/>
    </xf>
    <xf numFmtId="191" fontId="98" fillId="0" borderId="0" xfId="0" applyFont="1" applyAlignment="1" applyProtection="1">
      <alignment vertical="center" wrapText="1"/>
      <protection locked="0"/>
    </xf>
    <xf numFmtId="191" fontId="130" fillId="0" borderId="0" xfId="0" applyFont="1" applyAlignment="1">
      <alignment horizontal="right" vertical="center"/>
    </xf>
    <xf numFmtId="191" fontId="95" fillId="0" borderId="0" xfId="0" applyFont="1" applyBorder="1" applyProtection="1">
      <alignment vertical="center"/>
      <protection locked="0"/>
    </xf>
    <xf numFmtId="191" fontId="194" fillId="0" borderId="0" xfId="0" applyFont="1" applyBorder="1" applyProtection="1">
      <alignment vertical="center"/>
      <protection locked="0"/>
    </xf>
    <xf numFmtId="191" fontId="215" fillId="0" borderId="0" xfId="0" applyFont="1" applyProtection="1">
      <alignment vertical="center"/>
    </xf>
    <xf numFmtId="191" fontId="194" fillId="0" borderId="0" xfId="0" applyFont="1" applyProtection="1">
      <alignment vertical="center"/>
    </xf>
    <xf numFmtId="191" fontId="202" fillId="0" borderId="1" xfId="0" applyFont="1" applyBorder="1" applyAlignment="1" applyProtection="1">
      <alignment horizontal="center" vertical="center" wrapText="1"/>
    </xf>
    <xf numFmtId="191" fontId="95" fillId="0" borderId="0" xfId="0" applyFont="1" applyAlignment="1" applyProtection="1">
      <alignment horizontal="left" vertical="center"/>
    </xf>
    <xf numFmtId="191" fontId="202" fillId="0" borderId="0" xfId="0" applyFont="1" applyProtection="1">
      <alignment vertical="center"/>
    </xf>
    <xf numFmtId="191" fontId="202" fillId="2" borderId="1" xfId="0" applyFont="1" applyFill="1" applyBorder="1" applyAlignment="1" applyProtection="1">
      <alignment horizontal="center" vertical="center" wrapText="1"/>
    </xf>
    <xf numFmtId="191" fontId="202" fillId="6" borderId="1" xfId="0" applyFont="1" applyFill="1" applyBorder="1" applyAlignment="1" applyProtection="1">
      <alignment horizontal="center" vertical="center" wrapText="1"/>
    </xf>
    <xf numFmtId="191" fontId="218" fillId="4" borderId="1" xfId="0" applyFont="1" applyFill="1" applyBorder="1" applyAlignment="1" applyProtection="1">
      <alignment horizontal="center" vertical="center"/>
    </xf>
    <xf numFmtId="191" fontId="219" fillId="0" borderId="1" xfId="0" applyFont="1" applyFill="1" applyBorder="1" applyAlignment="1" applyProtection="1">
      <alignment horizontal="center" vertical="center"/>
    </xf>
    <xf numFmtId="191" fontId="217" fillId="0" borderId="0" xfId="0" applyFont="1" applyProtection="1">
      <alignment vertical="center"/>
    </xf>
    <xf numFmtId="191" fontId="116" fillId="0" borderId="1" xfId="0" applyFont="1" applyBorder="1" applyAlignment="1" applyProtection="1">
      <alignment horizontal="center" vertical="center"/>
    </xf>
    <xf numFmtId="191" fontId="95" fillId="0" borderId="1" xfId="0" applyFont="1" applyBorder="1" applyAlignment="1" applyProtection="1">
      <alignment horizontal="left" vertical="center"/>
    </xf>
    <xf numFmtId="191" fontId="95" fillId="8" borderId="5" xfId="0" applyFont="1" applyFill="1" applyBorder="1" applyAlignment="1" applyProtection="1">
      <alignment vertical="center"/>
    </xf>
    <xf numFmtId="191" fontId="95" fillId="7" borderId="54" xfId="0" applyFont="1" applyFill="1" applyBorder="1" applyAlignment="1" applyProtection="1">
      <alignment vertical="center"/>
    </xf>
    <xf numFmtId="191" fontId="95" fillId="7" borderId="3" xfId="0" applyFont="1" applyFill="1" applyBorder="1" applyAlignment="1" applyProtection="1">
      <alignment vertical="center"/>
    </xf>
    <xf numFmtId="191" fontId="220" fillId="0" borderId="0" xfId="0" applyFont="1" applyProtection="1">
      <alignment vertical="center"/>
    </xf>
    <xf numFmtId="191"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1" fontId="217" fillId="6" borderId="35" xfId="0" applyFont="1" applyFill="1" applyBorder="1" applyAlignment="1" applyProtection="1">
      <alignment horizontal="center" vertical="center" wrapText="1"/>
    </xf>
    <xf numFmtId="191" fontId="95" fillId="6" borderId="15" xfId="0" applyFont="1" applyFill="1" applyBorder="1" applyAlignment="1" applyProtection="1">
      <alignment horizontal="center" vertical="center" wrapText="1"/>
    </xf>
    <xf numFmtId="191" fontId="95" fillId="6" borderId="0" xfId="0" applyFont="1" applyFill="1" applyBorder="1" applyAlignment="1" applyProtection="1">
      <alignment horizontal="center" vertical="center" wrapText="1"/>
    </xf>
    <xf numFmtId="191" fontId="95" fillId="6" borderId="0" xfId="0" applyFont="1" applyFill="1" applyAlignment="1" applyProtection="1">
      <alignment horizontal="center" vertical="center" wrapText="1"/>
    </xf>
    <xf numFmtId="191" fontId="217" fillId="6" borderId="0" xfId="0" applyFont="1" applyFill="1" applyAlignment="1" applyProtection="1">
      <alignment horizontal="center" vertical="center" wrapText="1"/>
    </xf>
    <xf numFmtId="191" fontId="217" fillId="6" borderId="0" xfId="0" applyNumberFormat="1" applyFont="1" applyFill="1" applyBorder="1" applyAlignment="1" applyProtection="1">
      <alignment horizontal="center" vertical="center" wrapText="1"/>
    </xf>
    <xf numFmtId="191" fontId="95" fillId="0" borderId="0" xfId="0" applyFont="1" applyAlignment="1" applyProtection="1">
      <alignment horizontal="center" vertical="center" wrapText="1"/>
    </xf>
    <xf numFmtId="191" fontId="95" fillId="0" borderId="1" xfId="0" applyFont="1" applyBorder="1" applyAlignment="1" applyProtection="1">
      <alignment horizontal="left" vertical="center"/>
      <protection locked="0"/>
    </xf>
    <xf numFmtId="191" fontId="95" fillId="6" borderId="0" xfId="0" applyFont="1" applyFill="1" applyBorder="1" applyAlignment="1" applyProtection="1">
      <alignment horizontal="center" vertical="center"/>
      <protection locked="0"/>
    </xf>
    <xf numFmtId="191" fontId="95" fillId="6" borderId="0" xfId="0" applyFont="1" applyFill="1" applyAlignment="1" applyProtection="1">
      <alignment horizontal="center" vertical="center"/>
    </xf>
    <xf numFmtId="191" fontId="217" fillId="0" borderId="1" xfId="0" applyFont="1" applyBorder="1" applyAlignment="1" applyProtection="1">
      <alignment horizontal="left" vertical="center"/>
      <protection locked="0"/>
    </xf>
    <xf numFmtId="191" fontId="95" fillId="6" borderId="0" xfId="0" applyFont="1" applyFill="1" applyAlignment="1" applyProtection="1">
      <alignment horizontal="center" vertical="center"/>
      <protection locked="0"/>
    </xf>
    <xf numFmtId="191" fontId="95" fillId="6" borderId="0" xfId="0" applyFont="1" applyFill="1" applyProtection="1">
      <alignment vertical="center"/>
    </xf>
    <xf numFmtId="191" fontId="217" fillId="6" borderId="0" xfId="0" applyFont="1" applyFill="1" applyBorder="1" applyAlignment="1" applyProtection="1">
      <alignment horizontal="center" vertical="center"/>
      <protection locked="0"/>
    </xf>
    <xf numFmtId="191" fontId="95" fillId="6" borderId="0" xfId="0" applyFont="1" applyFill="1" applyBorder="1" applyAlignment="1" applyProtection="1">
      <alignment horizontal="left" vertical="center"/>
    </xf>
    <xf numFmtId="191" fontId="95" fillId="6" borderId="0" xfId="0" applyFont="1" applyFill="1" applyAlignment="1" applyProtection="1">
      <alignment horizontal="left" vertical="center"/>
    </xf>
    <xf numFmtId="191" fontId="95" fillId="6" borderId="0" xfId="0" applyFont="1" applyFill="1" applyBorder="1" applyAlignment="1" applyProtection="1">
      <alignment horizontal="center" vertical="center"/>
    </xf>
    <xf numFmtId="191" fontId="95" fillId="0" borderId="0" xfId="0" applyFont="1" applyBorder="1" applyAlignment="1" applyProtection="1">
      <alignment horizontal="center" vertical="center"/>
    </xf>
    <xf numFmtId="191" fontId="44" fillId="6" borderId="0" xfId="0" applyFont="1" applyFill="1" applyAlignment="1" applyProtection="1">
      <alignment vertical="center" wrapText="1"/>
    </xf>
    <xf numFmtId="191" fontId="44" fillId="6" borderId="0" xfId="0" applyFont="1" applyFill="1" applyAlignment="1" applyProtection="1">
      <alignment horizontal="center" vertical="center" wrapText="1"/>
    </xf>
    <xf numFmtId="191" fontId="44" fillId="0" borderId="0" xfId="0" applyFont="1" applyAlignment="1" applyProtection="1">
      <alignment vertical="center"/>
    </xf>
    <xf numFmtId="191" fontId="44" fillId="0" borderId="0" xfId="0" applyFont="1" applyAlignment="1" applyProtection="1">
      <alignment vertical="center" wrapText="1"/>
    </xf>
    <xf numFmtId="191" fontId="61" fillId="5" borderId="13" xfId="0" applyFont="1" applyFill="1" applyBorder="1" applyAlignment="1" applyProtection="1">
      <alignment horizontal="center" vertical="center" wrapText="1"/>
      <protection locked="0"/>
    </xf>
    <xf numFmtId="191" fontId="44" fillId="6" borderId="1" xfId="0" applyFont="1" applyFill="1" applyBorder="1" applyAlignment="1" applyProtection="1">
      <alignment vertical="center" wrapText="1"/>
    </xf>
    <xf numFmtId="191" fontId="47" fillId="5" borderId="15" xfId="0" applyFont="1" applyFill="1" applyBorder="1" applyAlignment="1" applyProtection="1">
      <alignment horizontal="center" vertical="center" wrapText="1"/>
      <protection locked="0"/>
    </xf>
    <xf numFmtId="191" fontId="47" fillId="6" borderId="74" xfId="0" applyFont="1" applyFill="1" applyBorder="1" applyAlignment="1" applyProtection="1">
      <alignment horizontal="center" vertical="center" wrapText="1"/>
    </xf>
    <xf numFmtId="191" fontId="47" fillId="5" borderId="74" xfId="0" applyFont="1" applyFill="1" applyBorder="1" applyAlignment="1" applyProtection="1">
      <alignment horizontal="center" vertical="center" wrapText="1"/>
      <protection locked="0"/>
    </xf>
    <xf numFmtId="191" fontId="113" fillId="6" borderId="74" xfId="0" applyFont="1" applyFill="1" applyBorder="1" applyAlignment="1" applyProtection="1">
      <alignment vertical="center" wrapText="1"/>
    </xf>
    <xf numFmtId="191" fontId="47" fillId="5" borderId="76" xfId="0" applyFont="1" applyFill="1" applyBorder="1" applyAlignment="1" applyProtection="1">
      <alignment horizontal="center" vertical="center" wrapText="1"/>
      <protection locked="0"/>
    </xf>
    <xf numFmtId="191" fontId="168" fillId="0" borderId="23" xfId="0" applyFont="1" applyBorder="1" applyAlignment="1" applyProtection="1">
      <alignment vertical="center" wrapText="1"/>
      <protection locked="0"/>
    </xf>
    <xf numFmtId="191" fontId="47" fillId="6" borderId="58" xfId="0" applyFont="1" applyFill="1" applyBorder="1" applyAlignment="1" applyProtection="1">
      <alignment horizontal="center" vertical="center" wrapText="1"/>
    </xf>
    <xf numFmtId="191" fontId="47" fillId="0" borderId="1" xfId="0" applyFont="1" applyBorder="1" applyAlignment="1" applyProtection="1">
      <alignment vertical="center" wrapText="1"/>
      <protection locked="0"/>
    </xf>
    <xf numFmtId="191" fontId="44" fillId="0" borderId="5" xfId="0" applyFont="1" applyBorder="1" applyAlignment="1" applyProtection="1">
      <alignment horizontal="center" vertical="center" wrapText="1"/>
      <protection locked="0"/>
    </xf>
    <xf numFmtId="191" fontId="44" fillId="0" borderId="0" xfId="0" applyFont="1" applyAlignment="1" applyProtection="1">
      <alignment vertical="center" wrapText="1"/>
      <protection locked="0"/>
    </xf>
    <xf numFmtId="191" fontId="44" fillId="0" borderId="0" xfId="0" applyFont="1" applyAlignment="1" applyProtection="1">
      <alignment horizontal="center" vertical="center" wrapText="1"/>
    </xf>
    <xf numFmtId="191" fontId="103" fillId="6" borderId="0" xfId="0" applyFont="1" applyFill="1" applyAlignment="1" applyProtection="1">
      <alignment horizontal="left" vertical="center"/>
    </xf>
    <xf numFmtId="191" fontId="101" fillId="6" borderId="0" xfId="0" applyFont="1" applyFill="1" applyAlignment="1" applyProtection="1">
      <alignment horizontal="left" vertical="center"/>
    </xf>
    <xf numFmtId="191" fontId="47" fillId="6" borderId="0" xfId="0" applyFont="1" applyFill="1" applyAlignment="1" applyProtection="1">
      <alignment horizontal="center" vertical="center" wrapText="1"/>
    </xf>
    <xf numFmtId="191" fontId="47" fillId="6" borderId="0" xfId="0" applyFont="1" applyFill="1" applyBorder="1" applyAlignment="1" applyProtection="1">
      <alignment horizontal="center" vertical="center"/>
    </xf>
    <xf numFmtId="191" fontId="47" fillId="6" borderId="0" xfId="0" applyFont="1" applyFill="1" applyBorder="1" applyAlignment="1" applyProtection="1">
      <alignment horizontal="center" vertical="center" wrapText="1"/>
    </xf>
    <xf numFmtId="191" fontId="47" fillId="0" borderId="0" xfId="0" applyFont="1" applyAlignment="1" applyProtection="1">
      <alignment horizontal="center" vertical="center" wrapText="1"/>
    </xf>
    <xf numFmtId="191" fontId="47" fillId="2" borderId="1" xfId="0" applyFont="1" applyFill="1" applyBorder="1" applyAlignment="1" applyProtection="1">
      <alignment horizontal="center" vertical="center" wrapText="1"/>
      <protection locked="0"/>
    </xf>
    <xf numFmtId="191"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1"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1" fontId="47" fillId="6" borderId="46" xfId="0" applyFont="1" applyFill="1" applyBorder="1" applyAlignment="1" applyProtection="1">
      <alignment horizontal="left" vertical="center"/>
    </xf>
    <xf numFmtId="191" fontId="47" fillId="6" borderId="36" xfId="0" applyFont="1" applyFill="1" applyBorder="1" applyAlignment="1" applyProtection="1">
      <alignment horizontal="center" vertical="center" wrapText="1"/>
    </xf>
    <xf numFmtId="191" fontId="47" fillId="6" borderId="36" xfId="0" applyFont="1" applyFill="1" applyBorder="1" applyAlignment="1" applyProtection="1">
      <alignment horizontal="center" vertical="center"/>
    </xf>
    <xf numFmtId="191" fontId="47" fillId="6" borderId="59" xfId="0" applyFont="1" applyFill="1" applyBorder="1" applyAlignment="1" applyProtection="1">
      <alignment horizontal="center" vertical="center" wrapText="1"/>
    </xf>
    <xf numFmtId="191" fontId="47" fillId="6" borderId="58" xfId="0" applyFont="1" applyFill="1" applyBorder="1" applyAlignment="1" applyProtection="1">
      <alignment horizontal="center" vertical="center"/>
    </xf>
    <xf numFmtId="191"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1"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1" fontId="48" fillId="6" borderId="36" xfId="0" applyFont="1" applyFill="1" applyBorder="1" applyAlignment="1" applyProtection="1">
      <alignment horizontal="center" vertical="center"/>
    </xf>
    <xf numFmtId="191"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1" fontId="47" fillId="2" borderId="4" xfId="0" applyFont="1" applyFill="1" applyBorder="1" applyAlignment="1" applyProtection="1">
      <alignment horizontal="left" vertical="center"/>
      <protection locked="0"/>
    </xf>
    <xf numFmtId="191" fontId="48" fillId="6" borderId="54" xfId="0" applyFont="1" applyFill="1" applyBorder="1" applyAlignment="1" applyProtection="1">
      <alignment horizontal="left" vertical="center"/>
    </xf>
    <xf numFmtId="191"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1"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1" fontId="47" fillId="2" borderId="5" xfId="0" applyFont="1" applyFill="1" applyBorder="1" applyAlignment="1" applyProtection="1">
      <alignment horizontal="left" vertical="center"/>
      <protection locked="0"/>
    </xf>
    <xf numFmtId="191"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1" fontId="47" fillId="6" borderId="7" xfId="0" applyFont="1" applyFill="1" applyBorder="1" applyAlignment="1" applyProtection="1">
      <alignment horizontal="center" vertical="center"/>
    </xf>
    <xf numFmtId="191" fontId="47" fillId="6" borderId="8" xfId="0" applyFont="1" applyFill="1" applyBorder="1" applyAlignment="1" applyProtection="1">
      <alignment horizontal="center" vertical="center"/>
    </xf>
    <xf numFmtId="191" fontId="47" fillId="2" borderId="54" xfId="0" applyFont="1" applyFill="1" applyBorder="1" applyAlignment="1" applyProtection="1">
      <alignment horizontal="left" vertical="center"/>
      <protection locked="0"/>
    </xf>
    <xf numFmtId="191" fontId="48" fillId="6" borderId="3" xfId="0" applyFont="1" applyFill="1" applyBorder="1" applyAlignment="1" applyProtection="1">
      <alignment horizontal="left" vertical="center"/>
    </xf>
    <xf numFmtId="191" fontId="113" fillId="6" borderId="5" xfId="0" applyFont="1" applyFill="1" applyBorder="1" applyAlignment="1" applyProtection="1">
      <alignment horizontal="left" vertical="center"/>
    </xf>
    <xf numFmtId="191" fontId="223" fillId="6" borderId="3" xfId="0" applyFont="1" applyFill="1" applyBorder="1" applyAlignment="1" applyProtection="1">
      <alignment horizontal="right" vertical="center"/>
    </xf>
    <xf numFmtId="191" fontId="47" fillId="6" borderId="61" xfId="0" applyFont="1" applyFill="1" applyBorder="1" applyAlignment="1" applyProtection="1">
      <alignment horizontal="center" vertical="center"/>
    </xf>
    <xf numFmtId="191"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1"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1"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1" fontId="47" fillId="0" borderId="4" xfId="0" applyFont="1" applyBorder="1" applyAlignment="1" applyProtection="1">
      <alignment horizontal="center" vertical="center" wrapText="1"/>
      <protection locked="0"/>
    </xf>
    <xf numFmtId="191" fontId="44" fillId="5" borderId="2" xfId="0" applyFont="1" applyFill="1" applyBorder="1" applyAlignment="1" applyProtection="1">
      <alignment horizontal="center" vertical="center" wrapText="1"/>
      <protection locked="0"/>
    </xf>
    <xf numFmtId="191" fontId="44" fillId="0" borderId="4" xfId="0" applyFont="1" applyBorder="1" applyAlignment="1" applyProtection="1">
      <alignment horizontal="center" vertical="center" wrapText="1"/>
      <protection locked="0"/>
    </xf>
    <xf numFmtId="191"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1" fontId="44" fillId="0" borderId="0" xfId="0" applyFont="1" applyFill="1" applyAlignment="1" applyProtection="1">
      <alignment horizontal="center" vertical="center" wrapText="1"/>
    </xf>
    <xf numFmtId="191" fontId="49" fillId="0" borderId="0" xfId="0" applyFont="1" applyAlignment="1" applyProtection="1">
      <alignment horizontal="center" vertical="center" wrapText="1"/>
    </xf>
    <xf numFmtId="191" fontId="49" fillId="0" borderId="0" xfId="0" applyFont="1" applyAlignment="1" applyProtection="1">
      <alignment horizontal="center" vertical="center"/>
    </xf>
    <xf numFmtId="191" fontId="103" fillId="6" borderId="0" xfId="0" applyFont="1" applyFill="1" applyProtection="1">
      <alignment vertical="center"/>
    </xf>
    <xf numFmtId="191"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191" fontId="44" fillId="6" borderId="5" xfId="0" applyFont="1" applyFill="1" applyBorder="1" applyProtection="1">
      <alignment vertical="center"/>
    </xf>
    <xf numFmtId="191"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191" fontId="44" fillId="6" borderId="2" xfId="0" applyFont="1" applyFill="1" applyBorder="1" applyProtection="1">
      <alignment vertical="center"/>
    </xf>
    <xf numFmtId="191"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191" fontId="44" fillId="6" borderId="14" xfId="0" applyFont="1" applyFill="1" applyBorder="1" applyAlignment="1" applyProtection="1">
      <alignment vertical="center"/>
    </xf>
    <xf numFmtId="191" fontId="44" fillId="6" borderId="15" xfId="0" applyFont="1" applyFill="1" applyBorder="1" applyAlignment="1" applyProtection="1">
      <alignment vertical="center"/>
    </xf>
    <xf numFmtId="191" fontId="46" fillId="6" borderId="51" xfId="0" applyFont="1" applyFill="1" applyBorder="1" applyProtection="1">
      <alignment vertical="center"/>
    </xf>
    <xf numFmtId="191" fontId="44" fillId="6" borderId="21" xfId="0" applyFont="1" applyFill="1" applyBorder="1" applyProtection="1">
      <alignment vertical="center"/>
    </xf>
    <xf numFmtId="191" fontId="44" fillId="6" borderId="16" xfId="0" applyFont="1" applyFill="1" applyBorder="1" applyAlignment="1" applyProtection="1">
      <alignment vertical="center"/>
    </xf>
    <xf numFmtId="191" fontId="44" fillId="6" borderId="17" xfId="0" applyFont="1" applyFill="1" applyBorder="1" applyProtection="1">
      <alignment vertical="center"/>
    </xf>
    <xf numFmtId="191" fontId="44" fillId="6" borderId="19" xfId="0" applyFont="1" applyFill="1" applyBorder="1" applyAlignment="1" applyProtection="1">
      <alignment vertical="center"/>
    </xf>
    <xf numFmtId="191"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191"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191" fontId="44" fillId="6" borderId="2" xfId="0" applyFont="1" applyFill="1" applyBorder="1" applyAlignment="1" applyProtection="1">
      <alignment vertical="center"/>
    </xf>
    <xf numFmtId="191" fontId="44" fillId="6" borderId="0" xfId="0" applyFont="1" applyFill="1" applyBorder="1" applyAlignment="1" applyProtection="1">
      <alignment vertical="center"/>
    </xf>
    <xf numFmtId="191"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191" fontId="44" fillId="6" borderId="7" xfId="0" applyFont="1" applyFill="1" applyBorder="1" applyAlignment="1" applyProtection="1">
      <alignment horizontal="center" vertical="center"/>
    </xf>
    <xf numFmtId="191"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191" fontId="44" fillId="6" borderId="1" xfId="0" applyFont="1" applyFill="1" applyBorder="1" applyAlignment="1" applyProtection="1">
      <alignment horizontal="left" vertical="center"/>
    </xf>
    <xf numFmtId="191" fontId="44" fillId="6" borderId="18" xfId="0" applyFont="1" applyFill="1" applyBorder="1" applyProtection="1">
      <alignment vertical="center"/>
    </xf>
    <xf numFmtId="191" fontId="44" fillId="0" borderId="23" xfId="0" applyFont="1" applyBorder="1" applyProtection="1">
      <alignment vertical="center"/>
      <protection locked="0"/>
    </xf>
    <xf numFmtId="191" fontId="44" fillId="0" borderId="1" xfId="0" applyFont="1" applyBorder="1" applyProtection="1">
      <alignment vertical="center"/>
      <protection locked="0"/>
    </xf>
    <xf numFmtId="191" fontId="44" fillId="6" borderId="18" xfId="0" applyFont="1" applyFill="1" applyBorder="1" applyAlignment="1" applyProtection="1">
      <alignment vertical="center"/>
    </xf>
    <xf numFmtId="191" fontId="44" fillId="0" borderId="11" xfId="0" applyFont="1" applyBorder="1" applyProtection="1">
      <alignment vertical="center"/>
      <protection locked="0"/>
    </xf>
    <xf numFmtId="191" fontId="44" fillId="0" borderId="13" xfId="0" applyFont="1" applyBorder="1" applyProtection="1">
      <alignment vertical="center"/>
      <protection locked="0"/>
    </xf>
    <xf numFmtId="191" fontId="46" fillId="6" borderId="3" xfId="0" applyFont="1" applyFill="1" applyBorder="1" applyAlignment="1" applyProtection="1">
      <alignment horizontal="left" vertical="center"/>
    </xf>
    <xf numFmtId="191" fontId="44" fillId="6" borderId="3" xfId="0" applyFont="1" applyFill="1" applyBorder="1" applyAlignment="1" applyProtection="1">
      <alignment horizontal="left" vertical="center"/>
    </xf>
    <xf numFmtId="191" fontId="46" fillId="6" borderId="22" xfId="0" applyFont="1" applyFill="1" applyBorder="1" applyAlignment="1" applyProtection="1">
      <alignment horizontal="left" vertical="center"/>
    </xf>
    <xf numFmtId="191" fontId="44" fillId="6" borderId="42" xfId="0" applyFont="1" applyFill="1" applyBorder="1" applyAlignment="1" applyProtection="1">
      <alignment vertical="center"/>
    </xf>
    <xf numFmtId="191" fontId="44" fillId="6" borderId="33" xfId="0" applyFont="1" applyFill="1" applyBorder="1" applyProtection="1">
      <alignment vertical="center"/>
    </xf>
    <xf numFmtId="176" fontId="44" fillId="0" borderId="0" xfId="0" applyNumberFormat="1" applyFont="1" applyProtection="1">
      <alignment vertical="center"/>
      <protection locked="0"/>
    </xf>
    <xf numFmtId="191"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191" fontId="47" fillId="0" borderId="0" xfId="0" applyFont="1" applyAlignment="1" applyProtection="1">
      <alignment vertical="center"/>
      <protection locked="0"/>
    </xf>
    <xf numFmtId="191" fontId="47" fillId="0" borderId="0" xfId="0" applyFont="1" applyAlignment="1" applyProtection="1">
      <alignment vertical="center"/>
    </xf>
    <xf numFmtId="191" fontId="46" fillId="6" borderId="26" xfId="0" applyFont="1" applyFill="1" applyBorder="1" applyAlignment="1" applyProtection="1">
      <alignment vertical="center" wrapText="1"/>
    </xf>
    <xf numFmtId="191"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191" fontId="44" fillId="0" borderId="0" xfId="0" applyFont="1" applyAlignment="1" applyProtection="1">
      <alignment vertical="center"/>
      <protection locked="0"/>
    </xf>
    <xf numFmtId="191" fontId="44" fillId="6" borderId="0" xfId="0" applyFont="1" applyFill="1" applyAlignment="1" applyProtection="1">
      <alignment vertical="center"/>
    </xf>
    <xf numFmtId="191" fontId="44" fillId="6" borderId="63" xfId="0" applyFont="1" applyFill="1" applyBorder="1" applyAlignment="1" applyProtection="1">
      <alignment vertical="center"/>
    </xf>
    <xf numFmtId="191"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191" fontId="44" fillId="6" borderId="65" xfId="0" applyFont="1" applyFill="1" applyBorder="1" applyAlignment="1" applyProtection="1">
      <alignment vertical="center"/>
    </xf>
    <xf numFmtId="191" fontId="44" fillId="6" borderId="63" xfId="0" applyFont="1" applyFill="1" applyBorder="1" applyAlignment="1" applyProtection="1">
      <alignment horizontal="center" vertical="center"/>
    </xf>
    <xf numFmtId="191" fontId="44" fillId="6" borderId="64" xfId="0" applyFont="1" applyFill="1" applyBorder="1" applyAlignment="1" applyProtection="1">
      <alignment horizontal="center" vertical="center"/>
    </xf>
    <xf numFmtId="191" fontId="44" fillId="6" borderId="31" xfId="0" applyFont="1" applyFill="1" applyBorder="1" applyAlignment="1" applyProtection="1">
      <alignment vertical="center"/>
    </xf>
    <xf numFmtId="191" fontId="44" fillId="6" borderId="6" xfId="1" applyFont="1" applyFill="1" applyBorder="1" applyAlignment="1" applyProtection="1">
      <alignment vertical="center" wrapText="1"/>
    </xf>
    <xf numFmtId="191" fontId="44" fillId="6" borderId="9" xfId="1" applyFont="1" applyFill="1" applyBorder="1" applyAlignment="1" applyProtection="1">
      <alignment vertical="center" wrapText="1"/>
    </xf>
    <xf numFmtId="191"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191"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191"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191" fontId="44" fillId="5" borderId="9" xfId="1" applyFont="1" applyFill="1" applyBorder="1" applyAlignment="1" applyProtection="1">
      <alignment horizontal="center" vertical="center" wrapText="1"/>
      <protection locked="0"/>
    </xf>
    <xf numFmtId="191" fontId="44" fillId="6" borderId="28" xfId="1" applyFont="1" applyFill="1" applyBorder="1" applyAlignment="1" applyProtection="1">
      <alignment horizontal="center" vertical="center" wrapText="1"/>
    </xf>
    <xf numFmtId="191" fontId="44" fillId="6" borderId="6" xfId="1" applyFont="1" applyFill="1" applyBorder="1" applyAlignment="1" applyProtection="1">
      <alignment horizontal="center" vertical="center" wrapText="1"/>
    </xf>
    <xf numFmtId="191" fontId="44" fillId="6" borderId="19" xfId="1" applyFont="1" applyFill="1" applyBorder="1" applyAlignment="1" applyProtection="1">
      <alignment horizontal="center" vertical="center" wrapText="1"/>
    </xf>
    <xf numFmtId="191" fontId="44" fillId="6" borderId="62" xfId="1" applyFont="1" applyFill="1" applyBorder="1" applyAlignment="1" applyProtection="1">
      <alignment horizontal="center" vertical="center" wrapText="1"/>
    </xf>
    <xf numFmtId="191" fontId="44" fillId="6" borderId="30" xfId="0" applyFont="1" applyFill="1" applyBorder="1" applyAlignment="1" applyProtection="1">
      <alignment horizontal="center" vertical="center" wrapText="1"/>
    </xf>
    <xf numFmtId="191" fontId="44" fillId="6" borderId="3" xfId="0" applyFont="1" applyFill="1" applyBorder="1" applyAlignment="1" applyProtection="1">
      <alignment horizontal="center" vertical="center" wrapText="1"/>
      <protection locked="0"/>
    </xf>
    <xf numFmtId="191"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191" fontId="98" fillId="2" borderId="3" xfId="0" applyFont="1" applyFill="1" applyBorder="1" applyAlignment="1" applyProtection="1">
      <alignment horizontal="center" vertical="center"/>
      <protection locked="0"/>
    </xf>
    <xf numFmtId="191"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191" fontId="46" fillId="6" borderId="25" xfId="1" applyFont="1" applyFill="1" applyBorder="1" applyAlignment="1" applyProtection="1">
      <alignment vertical="center" wrapText="1"/>
    </xf>
    <xf numFmtId="191" fontId="46" fillId="6" borderId="25" xfId="1" applyFont="1" applyFill="1" applyBorder="1" applyAlignment="1" applyProtection="1">
      <alignment vertical="center"/>
    </xf>
    <xf numFmtId="191"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191" fontId="44" fillId="6" borderId="34" xfId="0" applyFont="1" applyFill="1" applyBorder="1" applyAlignment="1" applyProtection="1">
      <alignment horizontal="center" vertical="center"/>
    </xf>
    <xf numFmtId="191" fontId="44" fillId="6" borderId="6" xfId="0" applyFont="1" applyFill="1" applyBorder="1" applyAlignment="1" applyProtection="1">
      <alignment vertical="center" wrapText="1"/>
    </xf>
    <xf numFmtId="191" fontId="47" fillId="0" borderId="0" xfId="0" applyFont="1" applyFill="1" applyAlignment="1" applyProtection="1">
      <alignment vertical="center"/>
    </xf>
    <xf numFmtId="191" fontId="44" fillId="6" borderId="23" xfId="0" applyFont="1" applyFill="1" applyBorder="1" applyAlignment="1" applyProtection="1">
      <alignment vertical="center" wrapText="1"/>
    </xf>
    <xf numFmtId="191" fontId="44" fillId="6" borderId="25" xfId="0" applyFont="1" applyFill="1" applyBorder="1" applyAlignment="1" applyProtection="1">
      <alignment vertical="center" wrapText="1"/>
    </xf>
    <xf numFmtId="191" fontId="44" fillId="6" borderId="41" xfId="0" applyFont="1" applyFill="1" applyBorder="1" applyAlignment="1" applyProtection="1">
      <alignment vertical="center" wrapText="1"/>
    </xf>
    <xf numFmtId="191" fontId="44" fillId="6" borderId="11" xfId="0" applyFont="1" applyFill="1" applyBorder="1" applyAlignment="1" applyProtection="1">
      <alignment vertical="center" wrapText="1"/>
    </xf>
    <xf numFmtId="191" fontId="44" fillId="6" borderId="11" xfId="0" applyFont="1" applyFill="1" applyBorder="1" applyAlignment="1" applyProtection="1">
      <alignment horizontal="left" vertical="center" wrapText="1"/>
    </xf>
    <xf numFmtId="191" fontId="44" fillId="6" borderId="11" xfId="0" applyFont="1" applyFill="1" applyBorder="1" applyAlignment="1" applyProtection="1">
      <alignment horizontal="right" vertical="center" wrapText="1"/>
    </xf>
    <xf numFmtId="191" fontId="44" fillId="6" borderId="25" xfId="0" applyFont="1" applyFill="1" applyBorder="1" applyAlignment="1" applyProtection="1">
      <alignment horizontal="right" vertical="center" wrapText="1"/>
    </xf>
    <xf numFmtId="191" fontId="44" fillId="6" borderId="14" xfId="0" applyFont="1" applyFill="1" applyBorder="1" applyAlignment="1" applyProtection="1">
      <alignment vertical="center" wrapText="1"/>
    </xf>
    <xf numFmtId="191" fontId="44" fillId="6" borderId="40" xfId="0" applyFont="1" applyFill="1" applyBorder="1" applyAlignment="1" applyProtection="1">
      <alignment vertical="center" wrapText="1"/>
    </xf>
    <xf numFmtId="191" fontId="44" fillId="2" borderId="24" xfId="0" applyFont="1" applyFill="1" applyBorder="1" applyAlignment="1" applyProtection="1">
      <alignment horizontal="center" vertical="center"/>
      <protection locked="0"/>
    </xf>
    <xf numFmtId="191" fontId="44" fillId="0" borderId="23" xfId="0" applyFont="1" applyBorder="1" applyAlignment="1" applyProtection="1">
      <alignment horizontal="right" vertical="center" wrapText="1"/>
      <protection locked="0"/>
    </xf>
    <xf numFmtId="191" fontId="44" fillId="0" borderId="25" xfId="0" applyFont="1" applyBorder="1" applyAlignment="1" applyProtection="1">
      <alignment horizontal="right" vertical="center" wrapText="1"/>
      <protection locked="0"/>
    </xf>
    <xf numFmtId="191"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191"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191" fontId="47" fillId="0" borderId="0" xfId="0" applyFont="1" applyAlignment="1" applyProtection="1">
      <alignment vertical="center" wrapText="1"/>
    </xf>
    <xf numFmtId="179" fontId="47" fillId="0" borderId="0" xfId="0" applyNumberFormat="1" applyFont="1" applyAlignment="1" applyProtection="1">
      <alignment vertical="center"/>
    </xf>
    <xf numFmtId="191" fontId="47" fillId="6" borderId="0" xfId="0" applyFont="1" applyFill="1" applyProtection="1">
      <alignment vertical="center"/>
    </xf>
    <xf numFmtId="191" fontId="47" fillId="5" borderId="0" xfId="0" applyFont="1" applyFill="1" applyProtection="1">
      <alignment vertical="center"/>
      <protection locked="0"/>
    </xf>
    <xf numFmtId="191" fontId="61" fillId="6" borderId="13" xfId="0" applyFont="1" applyFill="1" applyBorder="1" applyProtection="1">
      <alignment vertical="center"/>
    </xf>
    <xf numFmtId="191" fontId="61" fillId="6" borderId="13" xfId="0" applyNumberFormat="1" applyFont="1" applyFill="1" applyBorder="1" applyProtection="1">
      <alignment vertical="center"/>
    </xf>
    <xf numFmtId="191" fontId="61" fillId="5" borderId="13" xfId="0" applyFont="1" applyFill="1" applyBorder="1" applyAlignment="1" applyProtection="1">
      <alignment horizontal="center" vertical="center"/>
      <protection locked="0"/>
    </xf>
    <xf numFmtId="191" fontId="47" fillId="7" borderId="0" xfId="0" applyFont="1" applyFill="1" applyProtection="1">
      <alignment vertical="center"/>
    </xf>
    <xf numFmtId="191" fontId="47" fillId="0" borderId="0" xfId="0" applyFont="1" applyProtection="1">
      <alignment vertical="center"/>
    </xf>
    <xf numFmtId="191" fontId="44" fillId="6" borderId="13" xfId="0" applyFont="1" applyFill="1" applyBorder="1" applyAlignment="1" applyProtection="1">
      <alignment vertical="center" wrapText="1"/>
    </xf>
    <xf numFmtId="191" fontId="44" fillId="6" borderId="13" xfId="0" applyFont="1" applyFill="1" applyBorder="1" applyAlignment="1" applyProtection="1">
      <alignment horizontal="center" vertical="center" wrapText="1"/>
    </xf>
    <xf numFmtId="191" fontId="98" fillId="2" borderId="13" xfId="0" applyFont="1" applyFill="1" applyBorder="1" applyAlignment="1" applyProtection="1">
      <alignment horizontal="center" vertical="center"/>
      <protection locked="0"/>
    </xf>
    <xf numFmtId="191" fontId="47" fillId="6" borderId="54" xfId="0" applyFont="1" applyFill="1" applyBorder="1" applyAlignment="1" applyProtection="1">
      <alignment vertical="center" wrapText="1"/>
    </xf>
    <xf numFmtId="191" fontId="46" fillId="6" borderId="5" xfId="0" applyFont="1" applyFill="1" applyBorder="1" applyAlignment="1" applyProtection="1">
      <alignment horizontal="right" vertical="center"/>
    </xf>
    <xf numFmtId="191" fontId="46" fillId="6" borderId="58" xfId="0" applyFont="1" applyFill="1" applyBorder="1" applyAlignment="1" applyProtection="1">
      <alignment horizontal="right" vertical="center"/>
    </xf>
    <xf numFmtId="191" fontId="44" fillId="6" borderId="0" xfId="0" applyFont="1" applyFill="1" applyProtection="1">
      <alignment vertical="center"/>
    </xf>
    <xf numFmtId="191" fontId="46" fillId="6" borderId="16" xfId="0" applyFont="1" applyFill="1" applyBorder="1" applyAlignment="1" applyProtection="1">
      <alignment vertical="center"/>
    </xf>
    <xf numFmtId="191" fontId="44" fillId="6" borderId="9" xfId="0" applyFont="1" applyFill="1" applyBorder="1" applyAlignment="1" applyProtection="1">
      <alignment vertical="center"/>
    </xf>
    <xf numFmtId="191" fontId="47" fillId="6" borderId="21" xfId="0" applyFont="1" applyFill="1" applyBorder="1" applyAlignment="1" applyProtection="1">
      <alignment vertical="center"/>
    </xf>
    <xf numFmtId="191" fontId="46" fillId="6" borderId="18" xfId="0" applyFont="1" applyFill="1" applyBorder="1" applyAlignment="1" applyProtection="1">
      <alignment vertical="center"/>
    </xf>
    <xf numFmtId="191" fontId="44" fillId="6" borderId="32" xfId="0" applyFont="1" applyFill="1" applyBorder="1" applyProtection="1">
      <alignment vertical="center"/>
    </xf>
    <xf numFmtId="191" fontId="47" fillId="6" borderId="68" xfId="0" applyFont="1" applyFill="1" applyBorder="1" applyAlignment="1" applyProtection="1">
      <alignment vertical="center"/>
    </xf>
    <xf numFmtId="191" fontId="44" fillId="6" borderId="70" xfId="0" applyFont="1" applyFill="1" applyBorder="1" applyProtection="1">
      <alignment vertical="center"/>
    </xf>
    <xf numFmtId="191" fontId="44" fillId="6" borderId="34" xfId="0" applyFont="1" applyFill="1" applyBorder="1" applyProtection="1">
      <alignment vertical="center"/>
    </xf>
    <xf numFmtId="191" fontId="44" fillId="6" borderId="21" xfId="0" applyFont="1" applyFill="1" applyBorder="1" applyAlignment="1" applyProtection="1">
      <alignment horizontal="center" vertical="center"/>
    </xf>
    <xf numFmtId="191" fontId="44" fillId="6" borderId="48" xfId="0" applyFont="1" applyFill="1" applyBorder="1" applyAlignment="1" applyProtection="1">
      <alignment horizontal="center" vertical="center"/>
    </xf>
    <xf numFmtId="191" fontId="100" fillId="0" borderId="23" xfId="0" applyFont="1" applyBorder="1" applyAlignment="1" applyProtection="1">
      <alignment horizontal="center" vertical="center"/>
      <protection locked="0"/>
    </xf>
    <xf numFmtId="191" fontId="47" fillId="0" borderId="0" xfId="0" applyFont="1" applyFill="1" applyProtection="1">
      <alignment vertical="center"/>
    </xf>
    <xf numFmtId="191" fontId="46" fillId="6" borderId="16" xfId="0" applyFont="1" applyFill="1" applyBorder="1" applyAlignment="1" applyProtection="1">
      <alignment horizontal="left" vertical="center"/>
    </xf>
    <xf numFmtId="191" fontId="44" fillId="6" borderId="19" xfId="0" applyFont="1" applyFill="1" applyBorder="1" applyProtection="1">
      <alignment vertical="center"/>
    </xf>
    <xf numFmtId="191" fontId="46" fillId="5" borderId="62" xfId="0" applyFont="1" applyFill="1" applyBorder="1" applyAlignment="1" applyProtection="1">
      <alignment horizontal="right" vertical="center"/>
      <protection locked="0"/>
    </xf>
    <xf numFmtId="191" fontId="47" fillId="6" borderId="5" xfId="0" applyFont="1" applyFill="1" applyBorder="1" applyProtection="1">
      <alignment vertical="center"/>
    </xf>
    <xf numFmtId="191" fontId="46" fillId="5" borderId="1" xfId="0" applyFont="1" applyFill="1" applyBorder="1" applyAlignment="1" applyProtection="1">
      <alignment horizontal="center" vertical="center"/>
      <protection locked="0"/>
    </xf>
    <xf numFmtId="191" fontId="204" fillId="2" borderId="24" xfId="0" applyFont="1" applyFill="1" applyBorder="1" applyAlignment="1" applyProtection="1">
      <alignment horizontal="center" vertical="center"/>
      <protection locked="0"/>
    </xf>
    <xf numFmtId="191" fontId="47" fillId="6" borderId="30" xfId="0" applyFont="1" applyFill="1" applyBorder="1" applyProtection="1">
      <alignment vertical="center"/>
    </xf>
    <xf numFmtId="191" fontId="47" fillId="6" borderId="10" xfId="0" applyFont="1" applyFill="1" applyBorder="1" applyAlignment="1" applyProtection="1">
      <alignment horizontal="center" vertical="center"/>
    </xf>
    <xf numFmtId="191" fontId="46" fillId="6" borderId="69" xfId="0" applyFont="1" applyFill="1" applyBorder="1" applyAlignment="1" applyProtection="1">
      <alignment horizontal="left" vertical="center"/>
    </xf>
    <xf numFmtId="191" fontId="44" fillId="6" borderId="7" xfId="0" applyFont="1" applyFill="1" applyBorder="1" applyAlignment="1" applyProtection="1">
      <alignment horizontal="right" vertical="center"/>
    </xf>
    <xf numFmtId="191" fontId="47" fillId="6" borderId="3" xfId="0" applyFont="1" applyFill="1" applyBorder="1" applyProtection="1">
      <alignment vertical="center"/>
    </xf>
    <xf numFmtId="191" fontId="46" fillId="6" borderId="38" xfId="0" applyFont="1" applyFill="1" applyBorder="1" applyAlignment="1" applyProtection="1">
      <alignment horizontal="left" vertical="center"/>
    </xf>
    <xf numFmtId="191" fontId="44" fillId="6" borderId="66" xfId="0" applyFont="1" applyFill="1" applyBorder="1" applyAlignment="1" applyProtection="1">
      <alignment horizontal="right" vertical="center"/>
    </xf>
    <xf numFmtId="191" fontId="47" fillId="6" borderId="66" xfId="0" applyFont="1" applyFill="1" applyBorder="1" applyProtection="1">
      <alignment vertical="center"/>
    </xf>
    <xf numFmtId="191" fontId="44" fillId="6" borderId="30" xfId="0" applyFont="1" applyFill="1" applyBorder="1" applyAlignment="1" applyProtection="1">
      <alignment horizontal="left" vertical="center"/>
    </xf>
    <xf numFmtId="191" fontId="44" fillId="5" borderId="63" xfId="0" applyFont="1" applyFill="1" applyBorder="1" applyProtection="1">
      <alignment vertical="center"/>
      <protection locked="0"/>
    </xf>
    <xf numFmtId="191" fontId="44" fillId="6" borderId="65" xfId="0" applyFont="1" applyFill="1" applyBorder="1" applyProtection="1">
      <alignment vertical="center"/>
    </xf>
    <xf numFmtId="191" fontId="44" fillId="6" borderId="0" xfId="0" applyFont="1" applyFill="1" applyBorder="1" applyAlignment="1" applyProtection="1">
      <alignment horizontal="left" vertical="center"/>
      <protection locked="0"/>
    </xf>
    <xf numFmtId="191" fontId="44" fillId="6" borderId="66" xfId="0" applyFont="1" applyFill="1" applyBorder="1" applyAlignment="1" applyProtection="1">
      <alignment horizontal="left" vertical="center"/>
    </xf>
    <xf numFmtId="191" fontId="44" fillId="0" borderId="65" xfId="0" applyFont="1" applyFill="1" applyBorder="1" applyProtection="1">
      <alignment vertical="center"/>
      <protection locked="0"/>
    </xf>
    <xf numFmtId="191" fontId="100" fillId="0" borderId="6" xfId="0" applyFont="1" applyFill="1" applyBorder="1" applyAlignment="1" applyProtection="1">
      <alignment horizontal="center" vertical="center"/>
      <protection locked="0"/>
    </xf>
    <xf numFmtId="191" fontId="100" fillId="0" borderId="9" xfId="0" applyFont="1" applyFill="1" applyBorder="1" applyAlignment="1" applyProtection="1">
      <alignment horizontal="center" vertical="center"/>
      <protection locked="0"/>
    </xf>
    <xf numFmtId="191" fontId="100" fillId="0" borderId="10" xfId="0" applyFont="1" applyFill="1" applyBorder="1" applyAlignment="1" applyProtection="1">
      <alignment horizontal="center" vertical="center"/>
      <protection locked="0"/>
    </xf>
    <xf numFmtId="191" fontId="47" fillId="6" borderId="18" xfId="0" applyFont="1" applyFill="1" applyBorder="1" applyProtection="1">
      <alignment vertical="center"/>
    </xf>
    <xf numFmtId="191" fontId="47" fillId="6" borderId="42" xfId="0" applyFont="1" applyFill="1" applyBorder="1" applyProtection="1">
      <alignment vertical="center"/>
    </xf>
    <xf numFmtId="191" fontId="113" fillId="6" borderId="0" xfId="0" applyFont="1" applyFill="1" applyBorder="1" applyAlignment="1" applyProtection="1">
      <alignment horizontal="center" vertical="center"/>
    </xf>
    <xf numFmtId="191" fontId="113" fillId="6" borderId="0" xfId="0" applyFont="1" applyFill="1" applyProtection="1">
      <alignment vertical="center"/>
    </xf>
    <xf numFmtId="191" fontId="103" fillId="6" borderId="0" xfId="0" applyFont="1" applyFill="1" applyBorder="1" applyAlignment="1" applyProtection="1">
      <alignment horizontal="left" vertical="center"/>
    </xf>
    <xf numFmtId="191" fontId="205" fillId="6" borderId="0" xfId="0" applyFont="1" applyFill="1" applyBorder="1" applyAlignment="1" applyProtection="1">
      <alignment horizontal="left" vertical="center"/>
    </xf>
    <xf numFmtId="191" fontId="225" fillId="6" borderId="0" xfId="0" applyFont="1" applyFill="1" applyBorder="1" applyAlignment="1" applyProtection="1">
      <alignment vertical="center"/>
    </xf>
    <xf numFmtId="191" fontId="225" fillId="6" borderId="0" xfId="0" applyFont="1" applyFill="1" applyBorder="1" applyAlignment="1" applyProtection="1">
      <alignment horizontal="center" vertical="center"/>
    </xf>
    <xf numFmtId="191" fontId="102" fillId="6" borderId="0" xfId="0" applyFont="1" applyFill="1" applyBorder="1" applyAlignment="1" applyProtection="1">
      <alignment horizontal="left" vertical="center"/>
    </xf>
    <xf numFmtId="191"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1" fontId="47" fillId="6" borderId="0" xfId="0" applyFont="1" applyFill="1" applyBorder="1" applyAlignment="1" applyProtection="1">
      <alignment horizontal="center" vertical="center" wrapText="1"/>
      <protection locked="0"/>
    </xf>
    <xf numFmtId="191" fontId="47" fillId="6" borderId="0" xfId="0" applyFont="1" applyFill="1" applyBorder="1" applyAlignment="1" applyProtection="1">
      <alignment horizontal="left" vertical="center" wrapText="1"/>
    </xf>
    <xf numFmtId="191"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191"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191" fontId="47" fillId="6" borderId="0" xfId="0" applyFont="1" applyFill="1" applyBorder="1" applyAlignment="1" applyProtection="1">
      <alignment horizontal="left" vertical="center"/>
    </xf>
    <xf numFmtId="191" fontId="47" fillId="6" borderId="0" xfId="2" applyFont="1" applyFill="1" applyBorder="1" applyAlignment="1" applyProtection="1">
      <alignment horizontal="left" vertical="center" wrapText="1"/>
    </xf>
    <xf numFmtId="191" fontId="98" fillId="0" borderId="0" xfId="0" applyFont="1" applyFill="1" applyProtection="1">
      <alignment vertical="center"/>
    </xf>
    <xf numFmtId="191" fontId="98" fillId="7" borderId="0" xfId="0" applyFont="1" applyFill="1" applyProtection="1">
      <alignment vertical="center"/>
      <protection locked="0"/>
    </xf>
    <xf numFmtId="191" fontId="98" fillId="7" borderId="0" xfId="0" applyFont="1" applyFill="1" applyProtection="1">
      <alignment vertical="center"/>
    </xf>
    <xf numFmtId="191" fontId="98" fillId="6" borderId="0" xfId="2" applyFont="1" applyFill="1" applyAlignment="1" applyProtection="1">
      <alignment vertical="center" wrapText="1"/>
      <protection locked="0"/>
    </xf>
    <xf numFmtId="191" fontId="98" fillId="6" borderId="0" xfId="0" applyFont="1" applyFill="1" applyProtection="1">
      <alignment vertical="center"/>
      <protection locked="0"/>
    </xf>
    <xf numFmtId="191" fontId="47" fillId="2" borderId="54" xfId="0" applyFont="1" applyFill="1" applyBorder="1" applyAlignment="1" applyProtection="1">
      <alignment horizontal="left" vertical="center" wrapText="1"/>
      <protection locked="0"/>
    </xf>
    <xf numFmtId="191"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1" fontId="98" fillId="0" borderId="23" xfId="0" applyFont="1" applyFill="1" applyBorder="1" applyProtection="1">
      <alignment vertical="center"/>
      <protection locked="0"/>
    </xf>
    <xf numFmtId="191" fontId="125" fillId="6" borderId="1" xfId="0" applyFont="1" applyFill="1" applyBorder="1" applyAlignment="1" applyProtection="1">
      <alignment vertical="center" wrapText="1"/>
    </xf>
    <xf numFmtId="191" fontId="104" fillId="6" borderId="1" xfId="0" applyFont="1" applyFill="1" applyBorder="1" applyAlignment="1" applyProtection="1">
      <alignment vertical="center" wrapText="1"/>
    </xf>
    <xf numFmtId="191" fontId="44" fillId="6" borderId="23" xfId="0" applyFont="1" applyFill="1" applyBorder="1" applyAlignment="1" applyProtection="1">
      <alignment horizontal="left" vertical="center"/>
    </xf>
    <xf numFmtId="191" fontId="125" fillId="6" borderId="32" xfId="0" applyFont="1" applyFill="1" applyBorder="1" applyAlignment="1" applyProtection="1">
      <alignment vertical="center" wrapText="1"/>
    </xf>
    <xf numFmtId="191" fontId="131" fillId="0" borderId="46" xfId="0" applyFont="1" applyBorder="1" applyAlignment="1" applyProtection="1">
      <alignment horizontal="left" vertical="center"/>
    </xf>
    <xf numFmtId="191" fontId="47" fillId="0" borderId="36" xfId="0" applyFont="1" applyBorder="1" applyAlignment="1" applyProtection="1">
      <alignment horizontal="left" vertical="center" wrapText="1"/>
    </xf>
    <xf numFmtId="191" fontId="56" fillId="5" borderId="36" xfId="0" applyFont="1" applyFill="1" applyBorder="1" applyAlignment="1" applyProtection="1">
      <alignment horizontal="left" vertical="center" wrapText="1"/>
      <protection locked="0"/>
    </xf>
    <xf numFmtId="191" fontId="47" fillId="7" borderId="36" xfId="0" applyFont="1" applyFill="1" applyBorder="1" applyAlignment="1" applyProtection="1">
      <alignment horizontal="center" vertical="center" wrapText="1"/>
    </xf>
    <xf numFmtId="191" fontId="47" fillId="7" borderId="36" xfId="0" applyFont="1" applyFill="1" applyBorder="1" applyAlignment="1" applyProtection="1">
      <alignment horizontal="center" vertical="center"/>
    </xf>
    <xf numFmtId="191" fontId="47" fillId="7" borderId="22" xfId="0" applyFont="1" applyFill="1" applyBorder="1" applyProtection="1">
      <alignment vertical="center"/>
    </xf>
    <xf numFmtId="191" fontId="47" fillId="7" borderId="58" xfId="0" applyFont="1" applyFill="1" applyBorder="1" applyAlignment="1" applyProtection="1">
      <alignment horizontal="left" vertical="center" wrapText="1"/>
      <protection locked="0"/>
    </xf>
    <xf numFmtId="191" fontId="47" fillId="7" borderId="0" xfId="0" applyFont="1" applyFill="1" applyBorder="1" applyAlignment="1" applyProtection="1">
      <alignment horizontal="left" vertical="center" wrapText="1"/>
      <protection locked="0"/>
    </xf>
    <xf numFmtId="191" fontId="47" fillId="7" borderId="0" xfId="0" applyFont="1" applyFill="1" applyBorder="1" applyAlignment="1" applyProtection="1">
      <alignment horizontal="center" vertical="center" wrapText="1"/>
      <protection locked="0"/>
    </xf>
    <xf numFmtId="191" fontId="47" fillId="7" borderId="0" xfId="0" applyFont="1" applyFill="1" applyBorder="1" applyAlignment="1" applyProtection="1">
      <alignment horizontal="center" vertical="center"/>
      <protection locked="0"/>
    </xf>
    <xf numFmtId="191" fontId="47" fillId="7" borderId="35" xfId="0" applyFont="1" applyFill="1" applyBorder="1" applyProtection="1">
      <alignment vertical="center"/>
      <protection locked="0"/>
    </xf>
    <xf numFmtId="191" fontId="47" fillId="7" borderId="4"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center" vertical="center" wrapText="1"/>
      <protection locked="0"/>
    </xf>
    <xf numFmtId="191" fontId="47" fillId="7" borderId="60" xfId="0" applyFont="1" applyFill="1" applyBorder="1" applyAlignment="1" applyProtection="1">
      <alignment horizontal="center" vertical="center"/>
      <protection locked="0"/>
    </xf>
    <xf numFmtId="191" fontId="47" fillId="7" borderId="7" xfId="0" applyFont="1" applyFill="1" applyBorder="1" applyProtection="1">
      <alignment vertical="center"/>
      <protection locked="0"/>
    </xf>
    <xf numFmtId="191" fontId="52" fillId="7" borderId="60" xfId="0" applyFont="1" applyFill="1" applyBorder="1" applyAlignment="1" applyProtection="1">
      <alignment horizontal="left" vertical="center"/>
      <protection locked="0"/>
    </xf>
    <xf numFmtId="191" fontId="47" fillId="7" borderId="60" xfId="0" applyFont="1" applyFill="1" applyBorder="1" applyProtection="1">
      <alignment vertical="center"/>
      <protection locked="0"/>
    </xf>
    <xf numFmtId="191" fontId="47" fillId="7" borderId="60" xfId="0" applyFont="1" applyFill="1" applyBorder="1" applyAlignment="1" applyProtection="1">
      <alignment horizontal="right" vertical="center"/>
      <protection locked="0"/>
    </xf>
    <xf numFmtId="191"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1" fontId="52" fillId="7" borderId="0" xfId="0" applyFont="1" applyFill="1" applyAlignment="1" applyProtection="1">
      <alignment vertical="center" wrapText="1"/>
      <protection locked="0"/>
    </xf>
    <xf numFmtId="191" fontId="54" fillId="5" borderId="5" xfId="1" applyFont="1" applyFill="1" applyBorder="1" applyAlignment="1" applyProtection="1">
      <alignment vertical="center"/>
      <protection locked="0"/>
    </xf>
    <xf numFmtId="191" fontId="57" fillId="6" borderId="3" xfId="1" applyFont="1" applyFill="1" applyBorder="1" applyAlignment="1" applyProtection="1">
      <alignment vertical="center"/>
    </xf>
    <xf numFmtId="191" fontId="57" fillId="5" borderId="1" xfId="1" applyFont="1" applyFill="1" applyBorder="1" applyAlignment="1" applyProtection="1">
      <alignment vertical="center"/>
      <protection locked="0"/>
    </xf>
    <xf numFmtId="191" fontId="54" fillId="5" borderId="24" xfId="1" applyFont="1" applyFill="1" applyBorder="1" applyAlignment="1" applyProtection="1">
      <alignment horizontal="left" vertical="center"/>
      <protection locked="0"/>
    </xf>
    <xf numFmtId="191" fontId="139" fillId="5" borderId="24" xfId="1" applyFont="1" applyFill="1" applyBorder="1" applyAlignment="1" applyProtection="1">
      <alignment horizontal="right" vertical="center"/>
      <protection locked="0"/>
    </xf>
    <xf numFmtId="191" fontId="139" fillId="3" borderId="0" xfId="0" applyFont="1" applyFill="1" applyAlignment="1" applyProtection="1">
      <alignment vertical="center"/>
      <protection locked="0"/>
    </xf>
    <xf numFmtId="191"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1" fontId="139" fillId="5" borderId="5" xfId="1" applyFont="1" applyFill="1" applyBorder="1" applyAlignment="1" applyProtection="1">
      <alignment horizontal="right" vertical="center"/>
      <protection locked="0"/>
    </xf>
    <xf numFmtId="191" fontId="52" fillId="6" borderId="54" xfId="0" applyFont="1" applyFill="1" applyBorder="1" applyAlignment="1" applyProtection="1">
      <alignment vertical="center"/>
    </xf>
    <xf numFmtId="191" fontId="47" fillId="6" borderId="5" xfId="0" applyFont="1" applyFill="1" applyBorder="1" applyAlignment="1" applyProtection="1"/>
    <xf numFmtId="191"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1" fontId="98" fillId="6" borderId="19" xfId="0" applyFont="1" applyFill="1" applyBorder="1">
      <alignment vertical="center"/>
    </xf>
    <xf numFmtId="191" fontId="98" fillId="6" borderId="31" xfId="0" applyFont="1" applyFill="1" applyBorder="1">
      <alignment vertical="center"/>
    </xf>
    <xf numFmtId="191" fontId="57" fillId="6" borderId="23" xfId="1" applyFont="1" applyFill="1" applyBorder="1" applyAlignment="1" applyProtection="1">
      <alignment vertical="center"/>
    </xf>
    <xf numFmtId="191" fontId="98" fillId="6" borderId="5" xfId="0" applyFont="1" applyFill="1" applyBorder="1">
      <alignment vertical="center"/>
    </xf>
    <xf numFmtId="191" fontId="98" fillId="6" borderId="3" xfId="0" applyFont="1" applyFill="1" applyBorder="1">
      <alignment vertical="center"/>
    </xf>
    <xf numFmtId="191" fontId="204" fillId="6" borderId="1" xfId="0" applyFont="1" applyFill="1" applyBorder="1">
      <alignment vertical="center"/>
    </xf>
    <xf numFmtId="191" fontId="204" fillId="6" borderId="5" xfId="0" applyFont="1" applyFill="1" applyBorder="1" applyAlignment="1" applyProtection="1">
      <alignment horizontal="center" vertical="center"/>
    </xf>
    <xf numFmtId="191" fontId="98" fillId="6" borderId="1" xfId="0" applyFont="1" applyFill="1" applyBorder="1" applyAlignment="1">
      <alignment horizontal="center" vertical="center"/>
    </xf>
    <xf numFmtId="191" fontId="98" fillId="5" borderId="1" xfId="0" applyFont="1" applyFill="1" applyBorder="1" applyAlignment="1" applyProtection="1">
      <alignment horizontal="center" vertical="center"/>
      <protection locked="0"/>
    </xf>
    <xf numFmtId="191" fontId="98" fillId="6" borderId="66" xfId="0" applyFont="1" applyFill="1" applyBorder="1">
      <alignment vertical="center"/>
    </xf>
    <xf numFmtId="191" fontId="62" fillId="6" borderId="85" xfId="0" applyFont="1" applyFill="1" applyBorder="1" applyAlignment="1" applyProtection="1">
      <alignment horizontal="right" vertical="center"/>
    </xf>
    <xf numFmtId="191" fontId="62" fillId="5" borderId="78" xfId="0" applyFont="1" applyFill="1" applyBorder="1" applyAlignment="1" applyProtection="1">
      <alignment horizontal="center" vertical="center"/>
      <protection locked="0"/>
    </xf>
    <xf numFmtId="191" fontId="62" fillId="6" borderId="89" xfId="0" applyFont="1" applyFill="1" applyBorder="1" applyAlignment="1" applyProtection="1">
      <alignment horizontal="center" vertical="center"/>
    </xf>
    <xf numFmtId="191" fontId="54" fillId="5" borderId="4" xfId="1" applyFont="1" applyFill="1" applyBorder="1" applyAlignment="1" applyProtection="1">
      <alignment vertical="center"/>
      <protection locked="0"/>
    </xf>
    <xf numFmtId="191" fontId="57" fillId="6" borderId="7" xfId="1" applyFont="1" applyFill="1" applyBorder="1" applyAlignment="1" applyProtection="1">
      <alignment vertical="center"/>
      <protection locked="0"/>
    </xf>
    <xf numFmtId="191"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1" fontId="57" fillId="6" borderId="18" xfId="0" applyFont="1" applyFill="1" applyBorder="1" applyAlignment="1" applyProtection="1">
      <alignment horizontal="center" vertical="center"/>
    </xf>
    <xf numFmtId="191" fontId="57" fillId="6" borderId="0" xfId="0" applyFont="1" applyFill="1" applyBorder="1" applyAlignment="1" applyProtection="1">
      <alignment horizontal="center" vertical="center"/>
    </xf>
    <xf numFmtId="191" fontId="58" fillId="6" borderId="0" xfId="0" applyFont="1" applyFill="1" applyBorder="1" applyAlignment="1" applyProtection="1">
      <alignment horizontal="center" vertical="center"/>
    </xf>
    <xf numFmtId="191"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1"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1" fontId="44" fillId="0" borderId="46" xfId="0" applyFont="1" applyFill="1" applyBorder="1" applyAlignment="1" applyProtection="1">
      <alignment horizontal="center" vertical="center" wrapText="1"/>
      <protection locked="0"/>
    </xf>
    <xf numFmtId="191" fontId="58" fillId="6" borderId="48" xfId="0" applyNumberFormat="1" applyFont="1" applyFill="1" applyBorder="1" applyAlignment="1" applyProtection="1">
      <alignment horizontal="center" vertical="center" wrapText="1"/>
    </xf>
    <xf numFmtId="191"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1" fontId="58" fillId="6" borderId="50" xfId="0" applyNumberFormat="1" applyFont="1" applyFill="1" applyBorder="1" applyAlignment="1" applyProtection="1">
      <alignment horizontal="center" vertical="center" wrapText="1"/>
    </xf>
    <xf numFmtId="191" fontId="51" fillId="6" borderId="11" xfId="0" applyNumberFormat="1" applyFont="1" applyFill="1" applyBorder="1" applyAlignment="1" applyProtection="1">
      <alignment horizontal="center" vertical="center" wrapText="1"/>
    </xf>
    <xf numFmtId="191"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1" fontId="51" fillId="2" borderId="7" xfId="0" applyNumberFormat="1" applyFont="1" applyFill="1" applyBorder="1" applyAlignment="1" applyProtection="1">
      <alignment horizontal="center" vertical="center" wrapText="1"/>
      <protection locked="0"/>
    </xf>
    <xf numFmtId="191"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1" fontId="51" fillId="0" borderId="54" xfId="0" applyNumberFormat="1" applyFont="1" applyFill="1" applyBorder="1" applyAlignment="1" applyProtection="1">
      <alignment horizontal="center" vertical="center" wrapText="1"/>
      <protection locked="0"/>
    </xf>
    <xf numFmtId="191" fontId="51" fillId="0" borderId="52" xfId="0" applyNumberFormat="1" applyFont="1" applyFill="1" applyBorder="1" applyAlignment="1" applyProtection="1">
      <alignment horizontal="center" vertical="center" wrapText="1"/>
      <protection locked="0"/>
    </xf>
    <xf numFmtId="191" fontId="51" fillId="2" borderId="6" xfId="0" applyFont="1" applyFill="1" applyBorder="1" applyAlignment="1" applyProtection="1">
      <alignment horizontal="center" vertical="center" wrapText="1"/>
      <protection locked="0"/>
    </xf>
    <xf numFmtId="191" fontId="51" fillId="2" borderId="30" xfId="0" applyFont="1" applyFill="1" applyBorder="1" applyAlignment="1" applyProtection="1">
      <alignment horizontal="center" vertical="center" wrapText="1"/>
      <protection locked="0"/>
    </xf>
    <xf numFmtId="191" fontId="51" fillId="2" borderId="23" xfId="0" applyFont="1" applyFill="1" applyBorder="1" applyAlignment="1" applyProtection="1">
      <alignment horizontal="center" vertical="center" wrapText="1"/>
      <protection locked="0"/>
    </xf>
    <xf numFmtId="191"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1" fontId="51" fillId="0" borderId="18" xfId="0" applyFont="1" applyFill="1" applyBorder="1" applyAlignment="1" applyProtection="1">
      <alignment horizontal="center" vertical="center"/>
      <protection locked="0"/>
    </xf>
    <xf numFmtId="191" fontId="68" fillId="0" borderId="18" xfId="0" applyFont="1" applyFill="1" applyBorder="1" applyAlignment="1" applyProtection="1">
      <alignment horizontal="center" vertical="center"/>
      <protection locked="0"/>
    </xf>
    <xf numFmtId="191" fontId="51" fillId="0" borderId="18" xfId="0" applyFont="1" applyBorder="1" applyAlignment="1" applyProtection="1">
      <protection locked="0"/>
    </xf>
    <xf numFmtId="191"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1" fontId="98" fillId="0" borderId="18" xfId="0" applyFont="1" applyFill="1" applyBorder="1" applyAlignment="1" applyProtection="1">
      <alignment vertical="center"/>
      <protection locked="0"/>
    </xf>
    <xf numFmtId="191" fontId="44" fillId="0" borderId="18" xfId="0" applyFont="1" applyFill="1" applyBorder="1" applyAlignment="1" applyProtection="1">
      <alignment horizontal="center" vertical="center" wrapText="1"/>
      <protection locked="0"/>
    </xf>
    <xf numFmtId="191" fontId="49" fillId="0" borderId="18" xfId="0" applyFont="1" applyFill="1" applyBorder="1" applyAlignment="1" applyProtection="1">
      <alignment horizontal="center" vertical="center" wrapText="1"/>
      <protection locked="0"/>
    </xf>
    <xf numFmtId="191" fontId="49" fillId="0" borderId="18" xfId="0" applyFont="1" applyFill="1" applyBorder="1" applyAlignment="1" applyProtection="1">
      <alignment horizontal="center" vertical="center"/>
      <protection locked="0"/>
    </xf>
    <xf numFmtId="191" fontId="49" fillId="0" borderId="18" xfId="0" applyFont="1" applyFill="1" applyBorder="1" applyAlignment="1" applyProtection="1">
      <alignment vertical="center" wrapText="1"/>
      <protection locked="0"/>
    </xf>
    <xf numFmtId="191" fontId="44" fillId="0" borderId="18" xfId="0" applyFont="1" applyFill="1" applyBorder="1" applyAlignment="1" applyProtection="1">
      <alignment vertical="center" wrapText="1"/>
      <protection locked="0"/>
    </xf>
    <xf numFmtId="191" fontId="44" fillId="0" borderId="83" xfId="0" applyNumberFormat="1" applyFont="1" applyFill="1" applyBorder="1" applyAlignment="1" applyProtection="1">
      <alignment horizontal="center" vertical="center"/>
      <protection locked="0"/>
    </xf>
    <xf numFmtId="191" fontId="50" fillId="6" borderId="12" xfId="0" applyNumberFormat="1" applyFont="1" applyFill="1" applyBorder="1" applyAlignment="1" applyProtection="1">
      <alignment vertical="center" wrapText="1"/>
    </xf>
    <xf numFmtId="191" fontId="100" fillId="0" borderId="0" xfId="0" applyFont="1" applyFill="1" applyAlignment="1" applyProtection="1">
      <alignment horizontal="left" vertical="center"/>
      <protection locked="0"/>
    </xf>
    <xf numFmtId="191" fontId="98" fillId="6" borderId="16" xfId="0" applyFont="1" applyFill="1" applyBorder="1" applyAlignment="1" applyProtection="1">
      <alignment horizontal="center" vertical="center"/>
    </xf>
    <xf numFmtId="191" fontId="58" fillId="6" borderId="19" xfId="0" applyFont="1" applyFill="1" applyBorder="1" applyAlignment="1" applyProtection="1">
      <alignment horizontal="center" vertical="center"/>
    </xf>
    <xf numFmtId="191" fontId="51" fillId="6" borderId="19" xfId="0" applyFont="1" applyFill="1" applyBorder="1" applyAlignment="1" applyProtection="1">
      <alignment horizontal="center" vertical="center"/>
    </xf>
    <xf numFmtId="191" fontId="51" fillId="6" borderId="31" xfId="0" applyFont="1" applyFill="1" applyBorder="1" applyAlignment="1" applyProtection="1">
      <alignment horizontal="center" vertical="center"/>
    </xf>
    <xf numFmtId="191" fontId="98" fillId="6" borderId="19" xfId="0" applyFont="1" applyFill="1" applyBorder="1" applyAlignment="1" applyProtection="1">
      <alignment horizontal="center" vertical="center"/>
    </xf>
    <xf numFmtId="191" fontId="58" fillId="6" borderId="31" xfId="0" applyFont="1" applyFill="1" applyBorder="1" applyAlignment="1" applyProtection="1">
      <alignment horizontal="center" vertical="center"/>
    </xf>
    <xf numFmtId="191" fontId="58" fillId="6" borderId="69" xfId="0" applyFont="1" applyFill="1" applyBorder="1" applyProtection="1">
      <alignment vertical="center"/>
    </xf>
    <xf numFmtId="191" fontId="98" fillId="6" borderId="5" xfId="0" applyFont="1" applyFill="1" applyBorder="1" applyAlignment="1" applyProtection="1">
      <alignment horizontal="center" vertical="center"/>
    </xf>
    <xf numFmtId="191" fontId="98" fillId="6" borderId="92" xfId="0" applyFont="1" applyFill="1" applyBorder="1" applyAlignment="1" applyProtection="1">
      <alignment horizontal="center" vertical="center"/>
    </xf>
    <xf numFmtId="191" fontId="58" fillId="6" borderId="60" xfId="0" applyFont="1" applyFill="1" applyBorder="1" applyAlignment="1" applyProtection="1">
      <alignment horizontal="center" vertical="center"/>
    </xf>
    <xf numFmtId="191" fontId="98" fillId="0" borderId="2" xfId="0" applyFont="1" applyBorder="1" applyAlignment="1" applyProtection="1">
      <alignment horizontal="center" vertical="center"/>
      <protection locked="0"/>
    </xf>
    <xf numFmtId="191" fontId="98" fillId="6" borderId="7" xfId="0" applyFont="1" applyFill="1" applyBorder="1" applyAlignment="1" applyProtection="1">
      <alignment horizontal="center" vertical="center"/>
    </xf>
    <xf numFmtId="191" fontId="98" fillId="6" borderId="3" xfId="0" applyFont="1" applyFill="1" applyBorder="1" applyAlignment="1" applyProtection="1">
      <alignment horizontal="center" vertical="center"/>
    </xf>
    <xf numFmtId="191" fontId="98" fillId="0" borderId="1" xfId="0" applyFont="1" applyBorder="1" applyAlignment="1" applyProtection="1">
      <alignment horizontal="center" vertical="center"/>
      <protection locked="0"/>
    </xf>
    <xf numFmtId="191" fontId="98" fillId="6" borderId="25" xfId="0" applyFont="1" applyFill="1" applyBorder="1" applyAlignment="1" applyProtection="1">
      <alignment horizontal="center" vertical="center"/>
    </xf>
    <xf numFmtId="191" fontId="58" fillId="6" borderId="94" xfId="0" applyFont="1" applyFill="1" applyBorder="1" applyAlignment="1" applyProtection="1">
      <alignment horizontal="left" vertical="center"/>
    </xf>
    <xf numFmtId="191" fontId="51" fillId="6" borderId="47" xfId="0" applyFont="1" applyFill="1" applyBorder="1" applyAlignment="1" applyProtection="1">
      <alignment horizontal="center" vertical="center"/>
    </xf>
    <xf numFmtId="191" fontId="51" fillId="6" borderId="43" xfId="0" applyFont="1" applyFill="1" applyBorder="1" applyAlignment="1" applyProtection="1">
      <alignment horizontal="center" vertical="center"/>
    </xf>
    <xf numFmtId="191" fontId="98" fillId="6" borderId="66" xfId="0" applyFont="1" applyFill="1" applyBorder="1" applyAlignment="1" applyProtection="1">
      <alignment horizontal="center" vertical="center"/>
    </xf>
    <xf numFmtId="191" fontId="62" fillId="6" borderId="89" xfId="0" applyFont="1" applyFill="1" applyBorder="1" applyAlignment="1" applyProtection="1">
      <alignment horizontal="center" vertical="center"/>
      <protection locked="0"/>
    </xf>
    <xf numFmtId="191" fontId="62" fillId="6" borderId="87" xfId="0" applyFont="1" applyFill="1" applyBorder="1" applyAlignment="1" applyProtection="1">
      <alignment horizontal="center" vertical="center"/>
      <protection locked="0"/>
    </xf>
    <xf numFmtId="191" fontId="63" fillId="6" borderId="87" xfId="0" applyFont="1" applyFill="1" applyBorder="1" applyAlignment="1" applyProtection="1">
      <alignment horizontal="center" vertical="center"/>
      <protection locked="0"/>
    </xf>
    <xf numFmtId="191" fontId="62" fillId="6" borderId="18" xfId="0" applyFont="1" applyFill="1" applyBorder="1" applyAlignment="1" applyProtection="1">
      <alignment horizontal="center" vertical="center"/>
      <protection locked="0"/>
    </xf>
    <xf numFmtId="191" fontId="63" fillId="6" borderId="0" xfId="0" applyFont="1" applyFill="1" applyBorder="1" applyAlignment="1" applyProtection="1">
      <alignment horizontal="center" vertical="center"/>
      <protection locked="0"/>
    </xf>
    <xf numFmtId="191"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1" fontId="44" fillId="2" borderId="41" xfId="0" applyNumberFormat="1" applyFont="1" applyFill="1" applyBorder="1" applyAlignment="1" applyProtection="1">
      <alignment horizontal="center" vertical="center" wrapText="1"/>
      <protection locked="0"/>
    </xf>
    <xf numFmtId="191" fontId="62" fillId="6" borderId="88" xfId="0" applyFont="1" applyFill="1" applyBorder="1" applyAlignment="1" applyProtection="1">
      <alignment horizontal="right" vertical="center"/>
    </xf>
    <xf numFmtId="191" fontId="51" fillId="6" borderId="17" xfId="0" applyFont="1" applyFill="1" applyBorder="1" applyAlignment="1" applyProtection="1">
      <alignment horizontal="center" vertical="center"/>
    </xf>
    <xf numFmtId="191" fontId="44" fillId="6" borderId="24" xfId="0" applyNumberFormat="1" applyFont="1" applyFill="1" applyBorder="1" applyAlignment="1" applyProtection="1">
      <alignment horizontal="center" vertical="center"/>
    </xf>
    <xf numFmtId="191"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1" fontId="51" fillId="6" borderId="24" xfId="0" applyNumberFormat="1" applyFont="1" applyFill="1" applyBorder="1" applyAlignment="1" applyProtection="1">
      <alignment horizontal="center" vertical="center"/>
    </xf>
    <xf numFmtId="191" fontId="51" fillId="6" borderId="22" xfId="0" applyNumberFormat="1" applyFont="1" applyFill="1" applyBorder="1" applyAlignment="1" applyProtection="1">
      <alignment horizontal="center" vertical="center" wrapText="1"/>
    </xf>
    <xf numFmtId="191" fontId="51" fillId="2" borderId="35" xfId="0" applyNumberFormat="1" applyFont="1" applyFill="1" applyBorder="1" applyAlignment="1" applyProtection="1">
      <alignment horizontal="center" vertical="center" wrapText="1"/>
      <protection locked="0"/>
    </xf>
    <xf numFmtId="191" fontId="44" fillId="2" borderId="7" xfId="0" applyNumberFormat="1" applyFont="1" applyFill="1" applyBorder="1" applyAlignment="1" applyProtection="1">
      <alignment horizontal="center" vertical="center" wrapText="1"/>
      <protection locked="0"/>
    </xf>
    <xf numFmtId="191" fontId="44" fillId="0" borderId="24" xfId="0" applyFont="1" applyFill="1" applyBorder="1" applyAlignment="1" applyProtection="1">
      <alignment horizontal="center" vertical="center" wrapText="1"/>
      <protection locked="0"/>
    </xf>
    <xf numFmtId="191" fontId="51" fillId="2" borderId="6" xfId="0" applyNumberFormat="1" applyFont="1" applyFill="1" applyBorder="1" applyAlignment="1" applyProtection="1">
      <alignment horizontal="center" vertical="center" wrapText="1"/>
      <protection locked="0"/>
    </xf>
    <xf numFmtId="191" fontId="51" fillId="0" borderId="44" xfId="0" applyNumberFormat="1" applyFont="1" applyFill="1" applyBorder="1" applyAlignment="1" applyProtection="1">
      <alignment horizontal="left" vertical="center" wrapText="1"/>
      <protection locked="0"/>
    </xf>
    <xf numFmtId="191" fontId="51" fillId="0" borderId="45" xfId="0" applyNumberFormat="1" applyFont="1" applyFill="1" applyBorder="1" applyAlignment="1" applyProtection="1">
      <alignment horizontal="center" vertical="center" wrapText="1"/>
      <protection locked="0"/>
    </xf>
    <xf numFmtId="191" fontId="44" fillId="0" borderId="54" xfId="0" applyNumberFormat="1" applyFont="1" applyFill="1" applyBorder="1" applyAlignment="1" applyProtection="1">
      <alignment horizontal="center" vertical="center" wrapText="1"/>
      <protection locked="0"/>
    </xf>
    <xf numFmtId="191" fontId="51" fillId="6" borderId="40" xfId="0" applyNumberFormat="1" applyFont="1" applyFill="1" applyBorder="1" applyAlignment="1" applyProtection="1">
      <alignment horizontal="center" vertical="center" wrapText="1"/>
    </xf>
    <xf numFmtId="191"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1" fontId="44" fillId="0" borderId="38" xfId="0" applyNumberFormat="1" applyFont="1" applyFill="1" applyBorder="1" applyAlignment="1" applyProtection="1">
      <alignment horizontal="center" vertical="center" wrapText="1"/>
      <protection locked="0"/>
    </xf>
    <xf numFmtId="191" fontId="51" fillId="0" borderId="55" xfId="0" applyNumberFormat="1" applyFont="1" applyFill="1" applyBorder="1" applyAlignment="1" applyProtection="1">
      <alignment horizontal="center" vertical="center" wrapText="1"/>
      <protection locked="0"/>
    </xf>
    <xf numFmtId="191" fontId="44" fillId="2" borderId="51" xfId="0" applyNumberFormat="1" applyFont="1" applyFill="1" applyBorder="1" applyAlignment="1" applyProtection="1">
      <alignment horizontal="center" vertical="center" wrapText="1"/>
      <protection locked="0"/>
    </xf>
    <xf numFmtId="191" fontId="44" fillId="2" borderId="69" xfId="0" applyNumberFormat="1" applyFont="1" applyFill="1" applyBorder="1" applyAlignment="1" applyProtection="1">
      <alignment horizontal="center" vertical="center" wrapText="1"/>
      <protection locked="0"/>
    </xf>
    <xf numFmtId="191"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1"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1" fontId="51" fillId="5" borderId="9" xfId="0" applyFont="1" applyFill="1" applyBorder="1" applyAlignment="1" applyProtection="1">
      <alignment horizontal="center" vertical="center"/>
      <protection locked="0"/>
    </xf>
    <xf numFmtId="191" fontId="51" fillId="6" borderId="19" xfId="0" applyFont="1" applyFill="1" applyBorder="1" applyAlignment="1" applyProtection="1">
      <alignment horizontal="center" vertical="center" wrapText="1"/>
      <protection locked="0"/>
    </xf>
    <xf numFmtId="191" fontId="98" fillId="6" borderId="95" xfId="0" applyFont="1" applyFill="1" applyBorder="1" applyAlignment="1" applyProtection="1">
      <alignment horizontal="center" vertical="center"/>
    </xf>
    <xf numFmtId="191" fontId="100" fillId="6" borderId="0" xfId="0" applyFont="1" applyFill="1" applyAlignment="1" applyProtection="1">
      <alignment horizontal="left" vertical="center"/>
      <protection locked="0"/>
    </xf>
    <xf numFmtId="191" fontId="99" fillId="6" borderId="23" xfId="0" applyFont="1" applyFill="1" applyBorder="1" applyAlignment="1" applyProtection="1">
      <alignment horizontal="center" vertical="center"/>
    </xf>
    <xf numFmtId="191" fontId="99" fillId="6" borderId="25" xfId="0" applyFont="1" applyFill="1" applyBorder="1" applyAlignment="1" applyProtection="1">
      <alignment horizontal="center" vertical="center"/>
    </xf>
    <xf numFmtId="191" fontId="46" fillId="6" borderId="16" xfId="0" applyNumberFormat="1" applyFont="1" applyFill="1" applyBorder="1" applyAlignment="1" applyProtection="1">
      <alignment vertical="center"/>
    </xf>
    <xf numFmtId="191" fontId="46" fillId="5" borderId="23" xfId="0" applyNumberFormat="1" applyFont="1" applyFill="1" applyBorder="1" applyAlignment="1" applyProtection="1">
      <alignment horizontal="center" vertical="center" wrapText="1"/>
      <protection locked="0"/>
    </xf>
    <xf numFmtId="191" fontId="51" fillId="6" borderId="14" xfId="0" applyNumberFormat="1" applyFont="1" applyFill="1" applyBorder="1" applyAlignment="1" applyProtection="1">
      <alignment horizontal="center" vertical="center" wrapText="1"/>
    </xf>
    <xf numFmtId="191" fontId="51" fillId="0" borderId="24" xfId="0" applyFont="1" applyFill="1" applyBorder="1" applyAlignment="1" applyProtection="1">
      <alignment horizontal="center" vertical="center"/>
      <protection locked="0"/>
    </xf>
    <xf numFmtId="191" fontId="98" fillId="0" borderId="49" xfId="0" applyFont="1" applyFill="1" applyBorder="1" applyAlignment="1" applyProtection="1">
      <alignment horizontal="center" vertical="center"/>
      <protection locked="0"/>
    </xf>
    <xf numFmtId="191" fontId="46" fillId="6" borderId="37" xfId="0" applyNumberFormat="1" applyFont="1" applyFill="1" applyBorder="1" applyAlignment="1" applyProtection="1">
      <alignment horizontal="center" vertical="center" wrapText="1"/>
    </xf>
    <xf numFmtId="191" fontId="53" fillId="6" borderId="0" xfId="0" applyFont="1" applyFill="1" applyAlignment="1" applyProtection="1">
      <alignment vertical="center" wrapText="1"/>
    </xf>
    <xf numFmtId="191" fontId="98" fillId="6" borderId="6" xfId="0" applyNumberFormat="1" applyFont="1" applyFill="1" applyBorder="1" applyAlignment="1" applyProtection="1">
      <alignment horizontal="center" vertical="center"/>
    </xf>
    <xf numFmtId="191" fontId="53" fillId="0" borderId="0" xfId="0" applyFont="1" applyAlignment="1" applyProtection="1">
      <alignment vertical="center" wrapText="1"/>
      <protection locked="0"/>
    </xf>
    <xf numFmtId="191" fontId="53" fillId="0" borderId="0" xfId="0" applyFont="1" applyAlignment="1" applyProtection="1">
      <alignment vertical="center" wrapText="1"/>
    </xf>
    <xf numFmtId="191" fontId="57" fillId="6" borderId="5" xfId="1" applyFont="1" applyFill="1" applyBorder="1" applyAlignment="1" applyProtection="1">
      <alignment vertical="center"/>
    </xf>
    <xf numFmtId="191" fontId="53" fillId="6" borderId="1" xfId="0" applyNumberFormat="1" applyFont="1" applyFill="1" applyBorder="1" applyAlignment="1" applyProtection="1">
      <alignment horizontal="left" vertical="center" wrapText="1"/>
    </xf>
    <xf numFmtId="191" fontId="53" fillId="6" borderId="1" xfId="0" applyNumberFormat="1" applyFont="1" applyFill="1" applyBorder="1" applyAlignment="1" applyProtection="1">
      <alignment horizontal="center" vertical="center" wrapText="1"/>
    </xf>
    <xf numFmtId="191" fontId="53" fillId="6" borderId="0" xfId="0" applyNumberFormat="1" applyFont="1" applyFill="1" applyAlignment="1" applyProtection="1">
      <alignment vertical="center" wrapText="1"/>
    </xf>
    <xf numFmtId="191" fontId="98" fillId="6" borderId="23" xfId="0" applyNumberFormat="1" applyFont="1" applyFill="1" applyBorder="1" applyAlignment="1" applyProtection="1">
      <alignment horizontal="center" vertical="center"/>
    </xf>
    <xf numFmtId="191"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1" fontId="50" fillId="6" borderId="13" xfId="0" applyFont="1" applyFill="1" applyBorder="1" applyAlignment="1" applyProtection="1">
      <alignment horizontal="left" vertical="center" wrapText="1"/>
    </xf>
    <xf numFmtId="191" fontId="50" fillId="6" borderId="36" xfId="0" applyFont="1" applyFill="1" applyBorder="1" applyAlignment="1" applyProtection="1">
      <alignment vertical="center" wrapText="1"/>
    </xf>
    <xf numFmtId="191" fontId="51" fillId="6" borderId="36" xfId="0" applyFont="1" applyFill="1" applyBorder="1" applyAlignment="1" applyProtection="1">
      <alignment vertical="center" wrapText="1"/>
    </xf>
    <xf numFmtId="191" fontId="51" fillId="6" borderId="22" xfId="0" applyFont="1" applyFill="1" applyBorder="1" applyAlignment="1" applyProtection="1">
      <alignment vertical="center" wrapText="1"/>
    </xf>
    <xf numFmtId="191" fontId="51" fillId="7" borderId="0" xfId="0" applyFont="1" applyFill="1" applyAlignment="1" applyProtection="1">
      <alignment vertical="center"/>
      <protection locked="0"/>
    </xf>
    <xf numFmtId="191" fontId="51" fillId="6" borderId="0" xfId="8" applyFont="1" applyFill="1" applyAlignment="1" applyProtection="1">
      <alignment horizontal="center" vertical="center" wrapText="1"/>
      <protection locked="0"/>
    </xf>
    <xf numFmtId="191" fontId="51" fillId="7" borderId="0" xfId="8" applyFont="1" applyFill="1" applyAlignment="1" applyProtection="1">
      <alignment horizontal="center" vertical="center" wrapText="1"/>
    </xf>
    <xf numFmtId="191" fontId="51" fillId="0" borderId="0" xfId="8" applyFont="1" applyAlignment="1" applyProtection="1">
      <alignment horizontal="center" vertical="center" wrapText="1"/>
    </xf>
    <xf numFmtId="191"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1" fontId="54" fillId="6" borderId="64" xfId="0" applyFont="1" applyFill="1" applyBorder="1" applyAlignment="1" applyProtection="1">
      <alignment horizontal="left" vertical="center" wrapText="1"/>
    </xf>
    <xf numFmtId="191" fontId="113" fillId="6" borderId="34" xfId="0" applyFont="1" applyFill="1" applyBorder="1" applyAlignment="1" applyProtection="1">
      <alignment vertical="center"/>
    </xf>
    <xf numFmtId="191" fontId="54" fillId="6" borderId="64" xfId="0" applyFont="1" applyFill="1" applyBorder="1" applyAlignment="1" applyProtection="1">
      <alignment horizontal="center" vertical="center" wrapText="1"/>
    </xf>
    <xf numFmtId="191" fontId="53" fillId="6" borderId="64" xfId="0" applyFont="1" applyFill="1" applyBorder="1" applyAlignment="1" applyProtection="1">
      <alignment vertical="center" wrapText="1"/>
    </xf>
    <xf numFmtId="191" fontId="53" fillId="6" borderId="65" xfId="0" applyFont="1" applyFill="1" applyBorder="1" applyAlignment="1" applyProtection="1">
      <alignment vertical="center" wrapText="1"/>
    </xf>
    <xf numFmtId="191" fontId="54" fillId="6" borderId="9" xfId="0" applyFont="1" applyFill="1" applyBorder="1" applyAlignment="1" applyProtection="1">
      <alignment horizontal="left" vertical="center" wrapText="1"/>
    </xf>
    <xf numFmtId="191" fontId="53" fillId="6" borderId="9" xfId="0" applyFont="1" applyFill="1" applyBorder="1" applyAlignment="1" applyProtection="1">
      <alignment horizontal="center" vertical="center" wrapText="1"/>
    </xf>
    <xf numFmtId="191" fontId="53" fillId="6" borderId="19" xfId="0" applyFont="1" applyFill="1" applyBorder="1" applyAlignment="1" applyProtection="1">
      <alignment horizontal="center" vertical="center" wrapText="1"/>
    </xf>
    <xf numFmtId="191" fontId="53" fillId="6" borderId="19" xfId="0" applyFont="1" applyFill="1" applyBorder="1" applyAlignment="1" applyProtection="1">
      <alignment vertical="center" wrapText="1"/>
    </xf>
    <xf numFmtId="191" fontId="53" fillId="6" borderId="31" xfId="0" applyFont="1" applyFill="1" applyBorder="1" applyAlignment="1" applyProtection="1">
      <alignment vertical="center" wrapText="1"/>
    </xf>
    <xf numFmtId="191" fontId="53" fillId="5" borderId="1" xfId="0" applyFont="1" applyFill="1" applyBorder="1" applyAlignment="1" applyProtection="1">
      <alignment horizontal="center" vertical="center" wrapText="1"/>
      <protection locked="0"/>
    </xf>
    <xf numFmtId="191" fontId="53" fillId="6" borderId="5" xfId="0" applyFont="1" applyFill="1" applyBorder="1" applyAlignment="1" applyProtection="1">
      <alignment vertical="center"/>
    </xf>
    <xf numFmtId="191" fontId="53" fillId="6" borderId="54" xfId="0" applyFont="1" applyFill="1" applyBorder="1" applyAlignment="1" applyProtection="1">
      <alignment vertical="center" wrapText="1"/>
    </xf>
    <xf numFmtId="191" fontId="53" fillId="6" borderId="48" xfId="0" applyFont="1" applyFill="1" applyBorder="1" applyAlignment="1" applyProtection="1">
      <alignment vertical="center" wrapText="1"/>
    </xf>
    <xf numFmtId="191" fontId="53" fillId="6" borderId="13" xfId="0" applyFont="1" applyFill="1" applyBorder="1" applyAlignment="1" applyProtection="1">
      <alignment horizontal="left" vertical="center" wrapText="1"/>
    </xf>
    <xf numFmtId="191" fontId="53" fillId="6" borderId="46" xfId="0" applyFont="1" applyFill="1" applyBorder="1" applyAlignment="1" applyProtection="1">
      <alignment vertical="center"/>
    </xf>
    <xf numFmtId="191" fontId="53" fillId="6" borderId="36" xfId="0" applyFont="1" applyFill="1" applyBorder="1" applyAlignment="1" applyProtection="1">
      <alignment vertical="center" wrapText="1"/>
    </xf>
    <xf numFmtId="191" fontId="53" fillId="6" borderId="59" xfId="0" applyFont="1" applyFill="1" applyBorder="1" applyAlignment="1" applyProtection="1">
      <alignment vertical="center" wrapText="1"/>
    </xf>
    <xf numFmtId="191" fontId="54" fillId="6" borderId="17" xfId="0" applyFont="1" applyFill="1" applyBorder="1" applyAlignment="1" applyProtection="1">
      <alignment horizontal="left" vertical="center" wrapText="1"/>
    </xf>
    <xf numFmtId="191" fontId="53" fillId="6" borderId="28" xfId="0" applyFont="1" applyFill="1" applyBorder="1" applyAlignment="1" applyProtection="1">
      <alignment vertical="center"/>
    </xf>
    <xf numFmtId="191" fontId="53" fillId="6" borderId="20" xfId="0" applyFont="1" applyFill="1" applyBorder="1" applyAlignment="1" applyProtection="1">
      <alignment horizontal="center" vertical="center" wrapText="1"/>
    </xf>
    <xf numFmtId="191" fontId="53" fillId="6" borderId="20" xfId="0" applyFont="1" applyFill="1" applyBorder="1" applyAlignment="1" applyProtection="1">
      <alignment vertical="center" wrapText="1"/>
    </xf>
    <xf numFmtId="191" fontId="53" fillId="6" borderId="21" xfId="0" applyFont="1" applyFill="1" applyBorder="1" applyAlignment="1" applyProtection="1">
      <alignment vertical="center" wrapText="1"/>
    </xf>
    <xf numFmtId="191" fontId="98" fillId="6" borderId="25" xfId="0" applyNumberFormat="1" applyFont="1" applyFill="1" applyBorder="1" applyAlignment="1" applyProtection="1">
      <alignment horizontal="center" vertical="center"/>
    </xf>
    <xf numFmtId="191" fontId="99" fillId="6" borderId="13" xfId="0" applyFont="1" applyFill="1" applyBorder="1" applyAlignment="1" applyProtection="1">
      <alignment horizontal="left" vertical="center" wrapText="1"/>
    </xf>
    <xf numFmtId="191" fontId="99" fillId="6" borderId="3" xfId="0" applyFont="1" applyFill="1" applyBorder="1" applyAlignment="1" applyProtection="1">
      <alignment horizontal="center" vertical="center" wrapText="1"/>
    </xf>
    <xf numFmtId="191" fontId="99" fillId="6" borderId="2" xfId="0" applyFont="1" applyFill="1" applyBorder="1" applyAlignment="1" applyProtection="1">
      <alignment horizontal="left" vertical="center" wrapText="1"/>
    </xf>
    <xf numFmtId="191" fontId="99" fillId="5" borderId="3" xfId="0" applyFont="1" applyFill="1" applyBorder="1" applyAlignment="1" applyProtection="1">
      <alignment horizontal="center" vertical="center" wrapText="1"/>
      <protection locked="0"/>
    </xf>
    <xf numFmtId="191" fontId="99" fillId="5" borderId="1" xfId="0" applyFont="1" applyFill="1" applyBorder="1" applyAlignment="1" applyProtection="1">
      <alignment horizontal="center" vertical="center" wrapText="1"/>
      <protection locked="0"/>
    </xf>
    <xf numFmtId="191" fontId="99" fillId="5" borderId="2" xfId="0" applyFont="1" applyFill="1" applyBorder="1" applyAlignment="1" applyProtection="1">
      <alignment horizontal="center" vertical="center" wrapText="1"/>
      <protection locked="0"/>
    </xf>
    <xf numFmtId="191" fontId="53" fillId="6" borderId="0" xfId="0" applyFont="1" applyFill="1" applyBorder="1" applyAlignment="1" applyProtection="1">
      <alignment vertical="center" wrapText="1"/>
    </xf>
    <xf numFmtId="191" fontId="53" fillId="5" borderId="9" xfId="0" applyFont="1" applyFill="1" applyBorder="1" applyAlignment="1" applyProtection="1">
      <alignment horizontal="center" vertical="center" wrapText="1"/>
      <protection locked="0"/>
    </xf>
    <xf numFmtId="191" fontId="53" fillId="5" borderId="10" xfId="0" applyFont="1" applyFill="1" applyBorder="1" applyAlignment="1" applyProtection="1">
      <alignment horizontal="center" vertical="center" wrapText="1"/>
      <protection locked="0"/>
    </xf>
    <xf numFmtId="191"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1" fontId="50" fillId="6" borderId="84" xfId="0" applyFont="1" applyFill="1" applyBorder="1" applyAlignment="1" applyProtection="1">
      <alignment horizontal="left" vertical="center" wrapText="1"/>
    </xf>
    <xf numFmtId="191" fontId="53" fillId="6" borderId="64" xfId="0" applyFont="1" applyFill="1" applyBorder="1" applyAlignment="1" applyProtection="1">
      <alignment vertical="center"/>
    </xf>
    <xf numFmtId="191" fontId="53" fillId="0" borderId="0" xfId="0" applyFont="1" applyAlignment="1" applyProtection="1">
      <alignment horizontal="center" vertical="center" wrapText="1"/>
    </xf>
    <xf numFmtId="191" fontId="51" fillId="6" borderId="84" xfId="0" applyFont="1" applyFill="1" applyBorder="1" applyAlignment="1" applyProtection="1">
      <alignment horizontal="center" vertical="center" wrapText="1"/>
    </xf>
    <xf numFmtId="191" fontId="51" fillId="6" borderId="6" xfId="0" applyFont="1" applyFill="1" applyBorder="1" applyAlignment="1" applyProtection="1">
      <alignment vertical="center" wrapText="1"/>
    </xf>
    <xf numFmtId="191" fontId="53" fillId="6" borderId="64" xfId="0" applyFont="1" applyFill="1" applyBorder="1" applyAlignment="1" applyProtection="1">
      <alignment horizontal="center" vertical="center" wrapText="1"/>
    </xf>
    <xf numFmtId="191"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1" fontId="50" fillId="6" borderId="17" xfId="0" applyFont="1" applyFill="1" applyBorder="1" applyAlignment="1" applyProtection="1">
      <alignment horizontal="left" vertical="center" wrapText="1"/>
    </xf>
    <xf numFmtId="191" fontId="53" fillId="6" borderId="17" xfId="0" applyFont="1" applyFill="1" applyBorder="1" applyAlignment="1" applyProtection="1">
      <alignment horizontal="center" vertical="center" wrapText="1"/>
    </xf>
    <xf numFmtId="191" fontId="51" fillId="6" borderId="25" xfId="0" applyFont="1" applyFill="1" applyBorder="1" applyAlignment="1" applyProtection="1">
      <alignment vertical="center" wrapText="1"/>
    </xf>
    <xf numFmtId="191" fontId="51" fillId="6" borderId="19" xfId="8" applyFont="1" applyFill="1" applyBorder="1" applyAlignment="1" applyProtection="1">
      <alignment horizontal="center" vertical="center" wrapText="1"/>
      <protection locked="0"/>
    </xf>
    <xf numFmtId="191" fontId="51" fillId="6" borderId="9" xfId="8" applyFont="1" applyFill="1" applyBorder="1" applyAlignment="1" applyProtection="1">
      <alignment vertical="center" wrapText="1"/>
      <protection locked="0"/>
    </xf>
    <xf numFmtId="191"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1" fontId="50" fillId="5" borderId="9" xfId="0" applyFont="1" applyFill="1" applyBorder="1" applyAlignment="1" applyProtection="1">
      <alignment horizontal="left" vertical="center" wrapText="1"/>
      <protection locked="0"/>
    </xf>
    <xf numFmtId="191" fontId="51" fillId="6" borderId="19" xfId="0" applyFont="1" applyFill="1" applyBorder="1" applyAlignment="1" applyProtection="1">
      <alignment vertical="center" wrapText="1"/>
    </xf>
    <xf numFmtId="191" fontId="51" fillId="6" borderId="10" xfId="0" applyFont="1" applyFill="1" applyBorder="1" applyAlignment="1" applyProtection="1">
      <alignment vertical="center" wrapText="1"/>
    </xf>
    <xf numFmtId="191" fontId="51" fillId="6" borderId="23" xfId="8" applyFont="1" applyFill="1" applyBorder="1" applyAlignment="1" applyProtection="1">
      <alignment horizontal="center" vertical="center" wrapText="1"/>
    </xf>
    <xf numFmtId="191" fontId="51" fillId="6" borderId="1" xfId="0" applyFont="1" applyFill="1" applyBorder="1" applyAlignment="1" applyProtection="1">
      <alignment horizontal="left" vertical="center" wrapText="1"/>
    </xf>
    <xf numFmtId="191"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1" fontId="53" fillId="6" borderId="22" xfId="0" applyFont="1" applyFill="1" applyBorder="1" applyAlignment="1" applyProtection="1">
      <alignment vertical="center" wrapText="1"/>
    </xf>
    <xf numFmtId="191" fontId="51" fillId="6" borderId="13" xfId="0" applyFont="1" applyFill="1" applyBorder="1" applyAlignment="1" applyProtection="1">
      <alignment vertical="center" wrapText="1"/>
    </xf>
    <xf numFmtId="191" fontId="51" fillId="6" borderId="61" xfId="0" applyFont="1" applyFill="1" applyBorder="1" applyAlignment="1" applyProtection="1">
      <alignment vertical="center" wrapText="1"/>
    </xf>
    <xf numFmtId="191" fontId="51" fillId="6" borderId="84" xfId="0" applyFont="1" applyFill="1" applyBorder="1" applyAlignment="1" applyProtection="1">
      <alignment vertical="center" wrapText="1"/>
    </xf>
    <xf numFmtId="191" fontId="51" fillId="6" borderId="67" xfId="0" applyFont="1" applyFill="1" applyBorder="1" applyAlignment="1" applyProtection="1">
      <alignment vertical="center" wrapText="1"/>
    </xf>
    <xf numFmtId="191" fontId="51" fillId="6" borderId="25" xfId="8" applyFont="1" applyFill="1" applyBorder="1" applyAlignment="1" applyProtection="1">
      <alignment horizontal="center" vertical="center" wrapText="1"/>
    </xf>
    <xf numFmtId="191" fontId="50" fillId="6" borderId="28" xfId="0" applyFont="1" applyFill="1" applyBorder="1" applyAlignment="1" applyProtection="1">
      <alignment horizontal="left" vertical="center" wrapText="1"/>
    </xf>
    <xf numFmtId="191"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1" fontId="53" fillId="6" borderId="58" xfId="0" applyFont="1" applyFill="1" applyBorder="1" applyAlignment="1" applyProtection="1">
      <alignment vertical="center" wrapText="1"/>
    </xf>
    <xf numFmtId="191" fontId="54" fillId="6" borderId="0" xfId="0" applyFont="1" applyFill="1" applyBorder="1" applyAlignment="1" applyProtection="1">
      <alignment vertical="center" wrapText="1"/>
    </xf>
    <xf numFmtId="191" fontId="53" fillId="6" borderId="56" xfId="0" applyFont="1" applyFill="1" applyBorder="1" applyAlignment="1" applyProtection="1">
      <alignment vertical="center" wrapText="1"/>
    </xf>
    <xf numFmtId="191" fontId="51" fillId="6" borderId="0" xfId="0" applyFont="1" applyFill="1" applyBorder="1" applyAlignment="1" applyProtection="1">
      <alignment horizontal="left" vertical="center" wrapText="1"/>
    </xf>
    <xf numFmtId="191" fontId="53" fillId="6" borderId="75" xfId="0" applyFont="1" applyFill="1" applyBorder="1" applyAlignment="1" applyProtection="1">
      <alignment vertical="center" wrapText="1"/>
    </xf>
    <xf numFmtId="191" fontId="53" fillId="6" borderId="47" xfId="0" applyFont="1" applyFill="1" applyBorder="1" applyAlignment="1" applyProtection="1">
      <alignment vertical="center" wrapText="1"/>
    </xf>
    <xf numFmtId="191" fontId="54" fillId="6" borderId="47" xfId="0" applyFont="1" applyFill="1" applyBorder="1" applyAlignment="1" applyProtection="1">
      <alignment vertical="center" wrapText="1"/>
    </xf>
    <xf numFmtId="191"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1" fontId="54" fillId="6" borderId="30" xfId="0" applyFont="1" applyFill="1" applyBorder="1" applyAlignment="1" applyProtection="1">
      <alignment vertical="center" wrapText="1"/>
    </xf>
    <xf numFmtId="191" fontId="50" fillId="6" borderId="9" xfId="0" applyFont="1" applyFill="1" applyBorder="1" applyAlignment="1" applyProtection="1">
      <alignment horizontal="center" vertical="center" wrapText="1"/>
    </xf>
    <xf numFmtId="191" fontId="50" fillId="6" borderId="28" xfId="0" applyFont="1" applyFill="1" applyBorder="1" applyAlignment="1" applyProtection="1">
      <alignment horizontal="center" vertical="center" wrapText="1"/>
    </xf>
    <xf numFmtId="191" fontId="54" fillId="6" borderId="28" xfId="0" applyFont="1" applyFill="1" applyBorder="1" applyAlignment="1" applyProtection="1">
      <alignment vertical="center" wrapText="1"/>
    </xf>
    <xf numFmtId="191" fontId="53" fillId="6" borderId="14" xfId="0" applyFont="1" applyFill="1" applyBorder="1" applyAlignment="1" applyProtection="1">
      <alignment horizontal="center" vertical="center" wrapText="1"/>
    </xf>
    <xf numFmtId="191" fontId="53" fillId="6" borderId="3" xfId="0" applyFont="1" applyFill="1" applyBorder="1" applyAlignment="1" applyProtection="1">
      <alignment horizontal="left" vertical="center" wrapText="1"/>
    </xf>
    <xf numFmtId="191" fontId="53" fillId="0" borderId="1" xfId="0" applyFont="1" applyBorder="1" applyAlignment="1" applyProtection="1">
      <alignment vertical="center" wrapText="1"/>
      <protection locked="0"/>
    </xf>
    <xf numFmtId="191" fontId="99" fillId="6" borderId="54" xfId="0" applyFont="1" applyFill="1" applyBorder="1" applyAlignment="1" applyProtection="1">
      <alignment vertical="center"/>
    </xf>
    <xf numFmtId="191" fontId="99" fillId="6" borderId="48" xfId="0" applyFont="1" applyFill="1" applyBorder="1" applyAlignment="1" applyProtection="1">
      <alignment vertical="center"/>
    </xf>
    <xf numFmtId="191" fontId="54" fillId="6" borderId="12" xfId="0" applyFont="1" applyFill="1" applyBorder="1" applyAlignment="1" applyProtection="1">
      <alignment vertical="center" wrapText="1"/>
    </xf>
    <xf numFmtId="191" fontId="53" fillId="6" borderId="66" xfId="0" applyFont="1" applyFill="1" applyBorder="1" applyAlignment="1" applyProtection="1">
      <alignment horizontal="left" vertical="center" wrapText="1"/>
    </xf>
    <xf numFmtId="191" fontId="53" fillId="0" borderId="32" xfId="0" applyFont="1" applyBorder="1" applyAlignment="1" applyProtection="1">
      <alignment vertical="center" wrapText="1"/>
      <protection locked="0"/>
    </xf>
    <xf numFmtId="191" fontId="53" fillId="6" borderId="32" xfId="0" applyFont="1" applyFill="1" applyBorder="1" applyAlignment="1" applyProtection="1">
      <alignment vertical="center"/>
    </xf>
    <xf numFmtId="191" fontId="53" fillId="6" borderId="52" xfId="0" applyFont="1" applyFill="1" applyBorder="1" applyAlignment="1" applyProtection="1">
      <alignment vertical="center" wrapText="1"/>
    </xf>
    <xf numFmtId="191" fontId="53" fillId="6" borderId="68" xfId="0" applyFont="1" applyFill="1" applyBorder="1" applyAlignment="1" applyProtection="1">
      <alignment vertical="center" wrapText="1"/>
    </xf>
    <xf numFmtId="191" fontId="54" fillId="6" borderId="40" xfId="0" applyFont="1" applyFill="1" applyBorder="1" applyAlignment="1" applyProtection="1">
      <alignment vertical="center" wrapText="1"/>
    </xf>
    <xf numFmtId="191" fontId="54" fillId="6" borderId="39" xfId="0" applyFont="1" applyFill="1" applyBorder="1" applyAlignment="1" applyProtection="1">
      <alignment horizontal="left" vertical="center" wrapText="1"/>
    </xf>
    <xf numFmtId="191" fontId="53" fillId="6" borderId="20" xfId="0" applyFont="1" applyFill="1" applyBorder="1" applyAlignment="1" applyProtection="1">
      <alignment vertical="center"/>
    </xf>
    <xf numFmtId="191" fontId="53" fillId="6" borderId="30" xfId="0" applyFont="1" applyFill="1" applyBorder="1" applyAlignment="1" applyProtection="1">
      <alignment vertical="center"/>
    </xf>
    <xf numFmtId="191" fontId="54" fillId="6" borderId="7" xfId="0" applyFont="1" applyFill="1" applyBorder="1" applyAlignment="1" applyProtection="1">
      <alignment vertical="center" wrapText="1"/>
    </xf>
    <xf numFmtId="191" fontId="50" fillId="6" borderId="2" xfId="0" applyFont="1" applyFill="1" applyBorder="1" applyAlignment="1" applyProtection="1">
      <alignment horizontal="center" vertical="center" wrapText="1"/>
    </xf>
    <xf numFmtId="191" fontId="99" fillId="6" borderId="7" xfId="0" applyFont="1" applyFill="1" applyBorder="1" applyAlignment="1" applyProtection="1">
      <alignment horizontal="center" vertical="center" wrapText="1"/>
    </xf>
    <xf numFmtId="191" fontId="53" fillId="6" borderId="56" xfId="0" applyFont="1" applyFill="1" applyBorder="1" applyAlignment="1" applyProtection="1">
      <alignment horizontal="center" vertical="center" wrapText="1"/>
    </xf>
    <xf numFmtId="191" fontId="54" fillId="6" borderId="14" xfId="0" applyFont="1" applyFill="1" applyBorder="1" applyAlignment="1" applyProtection="1">
      <alignment vertical="center" wrapText="1"/>
    </xf>
    <xf numFmtId="191" fontId="53" fillId="6" borderId="16" xfId="0" applyFont="1" applyFill="1" applyBorder="1" applyAlignment="1" applyProtection="1">
      <alignment vertical="center"/>
      <protection locked="0"/>
    </xf>
    <xf numFmtId="191"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1" fontId="99" fillId="6" borderId="66" xfId="0" applyFont="1" applyFill="1" applyBorder="1" applyAlignment="1" applyProtection="1">
      <alignment horizontal="center" vertical="center" wrapText="1"/>
    </xf>
    <xf numFmtId="191" fontId="53" fillId="6" borderId="43" xfId="0" applyFont="1" applyFill="1" applyBorder="1" applyAlignment="1" applyProtection="1">
      <alignment horizontal="center" vertical="center" wrapText="1"/>
    </xf>
    <xf numFmtId="191"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1" fontId="53" fillId="7" borderId="0" xfId="0" applyFont="1" applyFill="1" applyAlignment="1" applyProtection="1">
      <alignment horizontal="left" vertical="center" wrapText="1"/>
      <protection locked="0"/>
    </xf>
    <xf numFmtId="191"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1"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1" fontId="98" fillId="6" borderId="19" xfId="0" applyFont="1" applyFill="1" applyBorder="1" applyProtection="1">
      <alignment vertical="center"/>
    </xf>
    <xf numFmtId="191" fontId="109" fillId="6" borderId="0" xfId="0" applyFont="1" applyFill="1" applyBorder="1" applyAlignment="1" applyProtection="1">
      <alignment horizontal="center" vertical="center"/>
    </xf>
    <xf numFmtId="191" fontId="99" fillId="6" borderId="23" xfId="0" applyFont="1" applyFill="1" applyBorder="1" applyAlignment="1" applyProtection="1">
      <alignment horizontal="center" vertical="center" wrapText="1"/>
    </xf>
    <xf numFmtId="191" fontId="113" fillId="6" borderId="58"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1" fontId="99" fillId="6" borderId="1" xfId="0" applyNumberFormat="1" applyFont="1" applyFill="1" applyBorder="1" applyAlignment="1" applyProtection="1">
      <alignment horizontal="center" vertical="center" wrapText="1"/>
    </xf>
    <xf numFmtId="191" fontId="168" fillId="0" borderId="1" xfId="0" applyNumberFormat="1" applyFont="1" applyFill="1" applyBorder="1" applyAlignment="1" applyProtection="1">
      <alignment horizontal="center" vertical="center" wrapText="1"/>
      <protection locked="0"/>
    </xf>
    <xf numFmtId="191" fontId="168" fillId="0" borderId="13" xfId="0" applyNumberFormat="1" applyFont="1" applyFill="1" applyBorder="1" applyAlignment="1" applyProtection="1">
      <alignment horizontal="center" vertical="center" wrapText="1"/>
      <protection locked="0"/>
    </xf>
    <xf numFmtId="191" fontId="99" fillId="6" borderId="37" xfId="0" applyFont="1" applyFill="1" applyBorder="1" applyAlignment="1" applyProtection="1">
      <alignment horizontal="center" vertical="center" wrapText="1"/>
    </xf>
    <xf numFmtId="191"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1" fontId="53" fillId="0" borderId="0" xfId="0" applyFont="1" applyAlignment="1" applyProtection="1">
      <alignment horizontal="center" vertical="center" wrapText="1"/>
      <protection locked="0"/>
    </xf>
    <xf numFmtId="191" fontId="168" fillId="0" borderId="32" xfId="0" applyNumberFormat="1" applyFont="1" applyFill="1" applyBorder="1" applyAlignment="1" applyProtection="1">
      <alignment horizontal="center" vertical="center" wrapText="1"/>
      <protection locked="0"/>
    </xf>
    <xf numFmtId="191" fontId="99" fillId="6" borderId="32" xfId="0" applyNumberFormat="1" applyFont="1" applyFill="1" applyBorder="1" applyAlignment="1" applyProtection="1">
      <alignment horizontal="center" vertical="center" wrapText="1"/>
    </xf>
    <xf numFmtId="191" fontId="53" fillId="0" borderId="0" xfId="0" applyFont="1" applyAlignment="1" applyProtection="1">
      <alignment horizontal="left" vertical="center" wrapText="1"/>
    </xf>
    <xf numFmtId="191" fontId="124" fillId="6" borderId="1" xfId="0" applyFont="1" applyFill="1" applyBorder="1">
      <alignment vertical="center"/>
    </xf>
    <xf numFmtId="191" fontId="98" fillId="6" borderId="1" xfId="0" applyFont="1" applyFill="1" applyBorder="1">
      <alignment vertical="center"/>
    </xf>
    <xf numFmtId="191" fontId="98" fillId="6" borderId="0" xfId="0" applyFont="1" applyFill="1">
      <alignment vertical="center"/>
    </xf>
    <xf numFmtId="191" fontId="52" fillId="6" borderId="95" xfId="0" applyNumberFormat="1" applyFont="1" applyFill="1" applyBorder="1" applyAlignment="1" applyProtection="1">
      <alignment horizontal="center" vertical="center" wrapText="1"/>
    </xf>
    <xf numFmtId="191" fontId="47" fillId="10" borderId="16" xfId="0" applyNumberFormat="1" applyFont="1" applyFill="1" applyBorder="1" applyAlignment="1" applyProtection="1">
      <alignment horizontal="center" vertical="center" wrapText="1"/>
    </xf>
    <xf numFmtId="191" fontId="52" fillId="6" borderId="16" xfId="0" applyFont="1" applyFill="1" applyBorder="1" applyAlignment="1" applyProtection="1">
      <alignment horizontal="left" vertical="center"/>
      <protection locked="0"/>
    </xf>
    <xf numFmtId="191" fontId="54" fillId="5" borderId="38" xfId="1" applyFont="1" applyFill="1" applyBorder="1" applyAlignment="1" applyProtection="1">
      <alignment vertical="center"/>
      <protection locked="0"/>
    </xf>
    <xf numFmtId="191"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1" fontId="19" fillId="6" borderId="1" xfId="0" applyFont="1" applyFill="1" applyBorder="1" applyAlignment="1" applyProtection="1">
      <alignment vertical="center" wrapText="1"/>
    </xf>
    <xf numFmtId="191" fontId="53" fillId="6" borderId="33" xfId="0" applyFont="1" applyFill="1" applyBorder="1" applyAlignment="1" applyProtection="1">
      <alignment horizontal="center" vertical="center" wrapText="1"/>
    </xf>
    <xf numFmtId="191" fontId="53" fillId="5" borderId="32" xfId="0" applyFont="1" applyFill="1" applyBorder="1" applyAlignment="1" applyProtection="1">
      <alignment horizontal="right" vertical="center" wrapText="1"/>
      <protection locked="0"/>
    </xf>
    <xf numFmtId="191"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1" fontId="50" fillId="6" borderId="74" xfId="0" applyFont="1" applyFill="1" applyBorder="1" applyAlignment="1" applyProtection="1">
      <alignment horizontal="left" vertical="center" wrapText="1"/>
    </xf>
    <xf numFmtId="191" fontId="50" fillId="6" borderId="75" xfId="0" applyFont="1" applyFill="1" applyBorder="1" applyAlignment="1" applyProtection="1">
      <alignment horizontal="center" vertical="center" wrapText="1"/>
    </xf>
    <xf numFmtId="191" fontId="53" fillId="6" borderId="75" xfId="0" applyFont="1" applyFill="1" applyBorder="1" applyAlignment="1" applyProtection="1">
      <alignment vertical="center"/>
    </xf>
    <xf numFmtId="191" fontId="50" fillId="6" borderId="47" xfId="0" applyFont="1" applyFill="1" applyBorder="1" applyAlignment="1" applyProtection="1">
      <alignment horizontal="center" vertical="center" wrapText="1"/>
    </xf>
    <xf numFmtId="191" fontId="51" fillId="6" borderId="43" xfId="0" applyFont="1" applyFill="1" applyBorder="1" applyAlignment="1" applyProtection="1">
      <alignment vertical="center" wrapText="1"/>
    </xf>
    <xf numFmtId="191" fontId="53" fillId="6" borderId="32" xfId="0" applyFont="1" applyFill="1" applyBorder="1" applyAlignment="1" applyProtection="1">
      <alignment horizontal="left" vertical="center"/>
    </xf>
    <xf numFmtId="191" fontId="53" fillId="6" borderId="74" xfId="0" applyFont="1" applyFill="1" applyBorder="1" applyAlignment="1" applyProtection="1">
      <alignment horizontal="center" vertical="center" wrapText="1"/>
    </xf>
    <xf numFmtId="191" fontId="53" fillId="6" borderId="75" xfId="0" applyFont="1" applyFill="1" applyBorder="1" applyAlignment="1" applyProtection="1">
      <alignment horizontal="center" vertical="center" wrapText="1"/>
    </xf>
    <xf numFmtId="191" fontId="53" fillId="6" borderId="76" xfId="0" applyFont="1" applyFill="1" applyBorder="1" applyAlignment="1" applyProtection="1">
      <alignment horizontal="center" vertical="center" wrapText="1"/>
    </xf>
    <xf numFmtId="191" fontId="53" fillId="6" borderId="84" xfId="0" applyFont="1" applyFill="1" applyBorder="1" applyAlignment="1" applyProtection="1">
      <alignment horizontal="center" vertical="center"/>
    </xf>
    <xf numFmtId="191" fontId="143" fillId="12" borderId="126" xfId="16" applyFont="1" applyFill="1" applyBorder="1" applyAlignment="1" applyProtection="1">
      <alignment horizontal="left" vertical="center" wrapText="1"/>
    </xf>
    <xf numFmtId="191" fontId="143" fillId="12" borderId="130" xfId="16" applyFont="1" applyFill="1" applyBorder="1" applyAlignment="1" applyProtection="1">
      <alignment horizontal="left" vertical="center" wrapText="1"/>
    </xf>
    <xf numFmtId="191" fontId="102" fillId="0" borderId="0" xfId="9" applyFont="1" applyAlignment="1">
      <alignment horizontal="left" vertical="center"/>
    </xf>
    <xf numFmtId="191" fontId="102" fillId="0" borderId="119" xfId="9" applyFont="1" applyBorder="1" applyAlignment="1">
      <alignment horizontal="left" vertical="center"/>
    </xf>
    <xf numFmtId="191" fontId="97" fillId="6" borderId="119" xfId="10" applyFont="1" applyFill="1" applyBorder="1" applyAlignment="1" applyProtection="1">
      <alignment horizontal="left" vertical="center"/>
    </xf>
    <xf numFmtId="191" fontId="22" fillId="6" borderId="119" xfId="10" applyFont="1" applyFill="1" applyBorder="1" applyAlignment="1" applyProtection="1">
      <alignment horizontal="left" vertical="center"/>
    </xf>
    <xf numFmtId="191" fontId="102" fillId="0" borderId="120" xfId="9" applyFont="1" applyBorder="1" applyAlignment="1">
      <alignment horizontal="left" vertical="center"/>
    </xf>
    <xf numFmtId="191" fontId="138" fillId="15" borderId="0" xfId="9" applyFont="1" applyFill="1" applyAlignment="1">
      <alignment horizontal="left" vertical="center"/>
    </xf>
    <xf numFmtId="191" fontId="98" fillId="15" borderId="0" xfId="10" applyFont="1" applyFill="1" applyAlignment="1" applyProtection="1">
      <alignment horizontal="left" vertical="center"/>
    </xf>
    <xf numFmtId="191" fontId="22" fillId="15" borderId="0" xfId="10" applyFont="1" applyFill="1" applyAlignment="1" applyProtection="1">
      <alignment horizontal="left" vertical="center"/>
    </xf>
    <xf numFmtId="191" fontId="102" fillId="15" borderId="121" xfId="9" applyFont="1" applyFill="1" applyBorder="1" applyAlignment="1">
      <alignment horizontal="left" vertical="center"/>
    </xf>
    <xf numFmtId="191" fontId="102" fillId="15" borderId="0" xfId="9" applyFont="1" applyFill="1" applyBorder="1" applyAlignment="1">
      <alignment horizontal="left" vertical="center"/>
    </xf>
    <xf numFmtId="191" fontId="144" fillId="15" borderId="0" xfId="9" applyFont="1" applyFill="1" applyBorder="1" applyAlignment="1" applyProtection="1">
      <alignment horizontal="left" vertical="center"/>
      <protection locked="0"/>
    </xf>
    <xf numFmtId="191" fontId="102" fillId="15" borderId="0" xfId="9" applyFont="1" applyFill="1" applyAlignment="1">
      <alignment horizontal="left" vertical="center"/>
    </xf>
    <xf numFmtId="191" fontId="136" fillId="15" borderId="0" xfId="9" applyFont="1" applyFill="1" applyAlignment="1">
      <alignment horizontal="left" vertical="center"/>
    </xf>
    <xf numFmtId="191" fontId="99" fillId="15" borderId="0" xfId="9" applyFont="1" applyFill="1" applyAlignment="1">
      <alignment horizontal="left" vertical="center"/>
    </xf>
    <xf numFmtId="10" fontId="99" fillId="15" borderId="0" xfId="9" applyNumberFormat="1" applyFont="1" applyFill="1" applyAlignment="1">
      <alignment horizontal="left" vertical="center"/>
    </xf>
    <xf numFmtId="191" fontId="102" fillId="0" borderId="0" xfId="9" applyFont="1" applyFill="1" applyAlignment="1">
      <alignment horizontal="left" vertical="center"/>
    </xf>
    <xf numFmtId="191" fontId="98" fillId="0" borderId="0" xfId="10" applyFont="1" applyFill="1" applyAlignment="1" applyProtection="1">
      <alignment horizontal="left" vertical="center"/>
    </xf>
    <xf numFmtId="191" fontId="22" fillId="0" borderId="0" xfId="10" applyFont="1" applyFill="1" applyAlignment="1" applyProtection="1">
      <alignment horizontal="left" vertical="center"/>
    </xf>
    <xf numFmtId="191" fontId="102" fillId="0" borderId="121" xfId="9" applyFont="1" applyFill="1" applyBorder="1" applyAlignment="1">
      <alignment horizontal="left" vertical="center"/>
    </xf>
    <xf numFmtId="191" fontId="102" fillId="0" borderId="0" xfId="9" applyFont="1" applyFill="1" applyBorder="1" applyAlignment="1">
      <alignment horizontal="left" vertical="center"/>
    </xf>
    <xf numFmtId="191" fontId="102" fillId="0" borderId="0" xfId="9" applyFont="1" applyFill="1" applyBorder="1" applyAlignment="1" applyProtection="1">
      <alignment horizontal="left" vertical="center"/>
      <protection locked="0"/>
    </xf>
    <xf numFmtId="191"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1" fontId="143" fillId="11" borderId="125" xfId="9" applyFont="1" applyFill="1" applyBorder="1" applyAlignment="1" applyProtection="1">
      <alignment horizontal="left" vertical="center" wrapText="1"/>
    </xf>
    <xf numFmtId="191" fontId="143" fillId="13" borderId="126" xfId="9" applyFont="1" applyFill="1" applyBorder="1" applyAlignment="1" applyProtection="1">
      <alignment horizontal="left" vertical="center" wrapText="1"/>
    </xf>
    <xf numFmtId="191" fontId="144" fillId="13" borderId="0" xfId="9" applyFont="1" applyFill="1" applyBorder="1" applyAlignment="1" applyProtection="1">
      <alignment horizontal="left" vertical="center"/>
      <protection locked="0"/>
    </xf>
    <xf numFmtId="191"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1" fontId="102" fillId="13" borderId="121" xfId="9" applyFont="1" applyFill="1" applyBorder="1" applyAlignment="1">
      <alignment horizontal="left" vertical="center"/>
    </xf>
    <xf numFmtId="191" fontId="113" fillId="5" borderId="0" xfId="9" applyFont="1" applyFill="1" applyAlignment="1">
      <alignment horizontal="left" vertical="center"/>
    </xf>
    <xf numFmtId="191"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1"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1" fontId="99" fillId="0" borderId="0" xfId="9" applyFont="1" applyFill="1" applyAlignment="1">
      <alignment horizontal="left" vertical="center"/>
    </xf>
    <xf numFmtId="10" fontId="99" fillId="0" borderId="0" xfId="9" applyNumberFormat="1" applyFont="1" applyFill="1" applyAlignment="1">
      <alignment horizontal="left" vertical="center"/>
    </xf>
    <xf numFmtId="191" fontId="144" fillId="13" borderId="0" xfId="9" applyFont="1" applyFill="1" applyAlignment="1">
      <alignment horizontal="left" vertical="center"/>
    </xf>
    <xf numFmtId="191" fontId="143" fillId="12" borderId="130" xfId="9" applyFont="1" applyFill="1" applyBorder="1" applyAlignment="1" applyProtection="1">
      <alignment horizontal="left" vertical="center" wrapText="1"/>
    </xf>
    <xf numFmtId="191" fontId="143" fillId="11" borderId="123" xfId="9" applyFont="1" applyFill="1" applyBorder="1" applyAlignment="1" applyProtection="1">
      <alignment horizontal="left" vertical="center" wrapText="1"/>
    </xf>
    <xf numFmtId="191"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1" fontId="143" fillId="11" borderId="126" xfId="9" applyFont="1" applyFill="1" applyBorder="1" applyAlignment="1" applyProtection="1">
      <alignment horizontal="left" vertical="center" wrapText="1"/>
    </xf>
    <xf numFmtId="191"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1" fontId="143" fillId="11" borderId="132" xfId="9" applyFont="1" applyFill="1" applyBorder="1" applyAlignment="1" applyProtection="1">
      <alignment horizontal="left" vertical="center" wrapText="1"/>
    </xf>
    <xf numFmtId="191"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1" fontId="99" fillId="0" borderId="121" xfId="9" applyFont="1" applyBorder="1" applyAlignment="1">
      <alignment horizontal="left" vertical="center"/>
    </xf>
    <xf numFmtId="191" fontId="143" fillId="12" borderId="123" xfId="9" applyFont="1" applyFill="1" applyBorder="1" applyAlignment="1" applyProtection="1">
      <alignment horizontal="left" vertical="center" wrapText="1"/>
    </xf>
    <xf numFmtId="191"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1" fontId="99" fillId="12" borderId="123" xfId="9" applyFont="1" applyFill="1" applyBorder="1" applyAlignment="1" applyProtection="1">
      <alignment horizontal="left" vertical="center" wrapText="1"/>
    </xf>
    <xf numFmtId="191"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1" fontId="99" fillId="5" borderId="126" xfId="9" applyFont="1" applyFill="1" applyBorder="1" applyAlignment="1" applyProtection="1">
      <alignment horizontal="left" vertical="center" wrapText="1"/>
    </xf>
    <xf numFmtId="191" fontId="99" fillId="5" borderId="130" xfId="9" applyFont="1" applyFill="1" applyBorder="1" applyAlignment="1" applyProtection="1">
      <alignment horizontal="left" vertical="center" wrapText="1"/>
    </xf>
    <xf numFmtId="191"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1" fontId="122" fillId="5" borderId="0" xfId="9" applyFont="1" applyFill="1" applyAlignment="1">
      <alignment horizontal="left" vertical="center"/>
    </xf>
    <xf numFmtId="191" fontId="99" fillId="5" borderId="0" xfId="9" applyNumberFormat="1" applyFont="1" applyFill="1" applyAlignment="1">
      <alignment horizontal="left" vertical="center"/>
    </xf>
    <xf numFmtId="191" fontId="99" fillId="11" borderId="132" xfId="9" applyFont="1" applyFill="1" applyBorder="1" applyAlignment="1" applyProtection="1">
      <alignment horizontal="left" vertical="center" wrapText="1"/>
    </xf>
    <xf numFmtId="191"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1" fontId="122" fillId="0" borderId="0" xfId="9" applyFont="1" applyAlignment="1">
      <alignment horizontal="left" vertical="center"/>
    </xf>
    <xf numFmtId="191"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1" fontId="143" fillId="12" borderId="137" xfId="9" applyFont="1" applyFill="1" applyBorder="1" applyAlignment="1" applyProtection="1">
      <alignment horizontal="left" vertical="center" wrapText="1"/>
    </xf>
    <xf numFmtId="191" fontId="143" fillId="12" borderId="138" xfId="9" applyFont="1" applyFill="1" applyBorder="1" applyAlignment="1" applyProtection="1">
      <alignment horizontal="left" vertical="center" wrapText="1"/>
    </xf>
    <xf numFmtId="191"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1" fontId="143" fillId="11" borderId="140" xfId="9" applyFont="1" applyFill="1" applyBorder="1" applyAlignment="1" applyProtection="1">
      <alignment horizontal="left" vertical="center" wrapText="1"/>
    </xf>
    <xf numFmtId="191"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1" fontId="102" fillId="12" borderId="142" xfId="9" applyFont="1" applyFill="1" applyBorder="1" applyAlignment="1">
      <alignment horizontal="left" vertical="center" wrapText="1"/>
    </xf>
    <xf numFmtId="191"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1" fontId="143" fillId="12" borderId="132" xfId="9" applyFont="1" applyFill="1" applyBorder="1" applyAlignment="1" applyProtection="1">
      <alignment horizontal="left" vertical="center" wrapText="1"/>
    </xf>
    <xf numFmtId="191" fontId="102" fillId="11" borderId="132" xfId="9" applyFont="1" applyFill="1" applyBorder="1" applyAlignment="1">
      <alignment horizontal="left" vertical="center" wrapText="1"/>
    </xf>
    <xf numFmtId="191" fontId="102" fillId="11" borderId="136" xfId="9" applyFont="1" applyFill="1" applyBorder="1" applyAlignment="1">
      <alignment horizontal="left" vertical="center" wrapText="1"/>
    </xf>
    <xf numFmtId="191"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1"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1" fontId="102" fillId="11" borderId="144" xfId="9" applyFont="1" applyFill="1" applyBorder="1" applyAlignment="1">
      <alignment horizontal="left" vertical="center" wrapText="1"/>
    </xf>
    <xf numFmtId="191" fontId="102" fillId="11" borderId="145" xfId="9" applyFont="1" applyFill="1" applyBorder="1" applyAlignment="1">
      <alignment horizontal="left" vertical="center" wrapText="1"/>
    </xf>
    <xf numFmtId="191" fontId="102" fillId="11" borderId="146" xfId="9" applyFont="1" applyFill="1" applyBorder="1" applyAlignment="1">
      <alignment horizontal="left" vertical="center" wrapText="1"/>
    </xf>
    <xf numFmtId="191" fontId="129" fillId="0" borderId="0" xfId="9" applyFont="1" applyAlignment="1">
      <alignment horizontal="left" vertical="center"/>
    </xf>
    <xf numFmtId="191" fontId="113" fillId="0" borderId="0" xfId="9" applyFont="1" applyAlignment="1">
      <alignment horizontal="left" vertical="center"/>
    </xf>
    <xf numFmtId="191"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1" fontId="143" fillId="12" borderId="147" xfId="9" applyFont="1" applyFill="1" applyBorder="1" applyAlignment="1">
      <alignment horizontal="left" vertical="center" wrapText="1"/>
    </xf>
    <xf numFmtId="191" fontId="143" fillId="12" borderId="123" xfId="9" applyFont="1" applyFill="1" applyBorder="1" applyAlignment="1">
      <alignment horizontal="left" vertical="center" wrapText="1"/>
    </xf>
    <xf numFmtId="191" fontId="143" fillId="11" borderId="148" xfId="9" applyFont="1" applyFill="1" applyBorder="1" applyAlignment="1">
      <alignment horizontal="left" vertical="center" wrapText="1"/>
    </xf>
    <xf numFmtId="191" fontId="143" fillId="11" borderId="126" xfId="9" applyFont="1" applyFill="1" applyBorder="1" applyAlignment="1">
      <alignment horizontal="left" vertical="center" wrapText="1"/>
    </xf>
    <xf numFmtId="191" fontId="143" fillId="12" borderId="148" xfId="9" applyFont="1" applyFill="1" applyBorder="1" applyAlignment="1">
      <alignment horizontal="left" vertical="center" wrapText="1"/>
    </xf>
    <xf numFmtId="191" fontId="143" fillId="12" borderId="126" xfId="9" applyFont="1" applyFill="1" applyBorder="1" applyAlignment="1">
      <alignment horizontal="left" vertical="center" wrapText="1"/>
    </xf>
    <xf numFmtId="191" fontId="143" fillId="11" borderId="149" xfId="9" applyFont="1" applyFill="1" applyBorder="1" applyAlignment="1">
      <alignment horizontal="left" vertical="center" wrapText="1"/>
    </xf>
    <xf numFmtId="191" fontId="143" fillId="11" borderId="132" xfId="9" applyFont="1" applyFill="1" applyBorder="1" applyAlignment="1">
      <alignment horizontal="left" vertical="center" wrapText="1"/>
    </xf>
    <xf numFmtId="191" fontId="129" fillId="6" borderId="0" xfId="0" applyFont="1" applyFill="1" applyAlignment="1" applyProtection="1">
      <alignment horizontal="left" vertical="center"/>
    </xf>
    <xf numFmtId="191" fontId="177" fillId="6" borderId="154" xfId="0" applyFont="1" applyFill="1" applyBorder="1" applyAlignment="1" applyProtection="1">
      <alignment horizontal="left"/>
    </xf>
    <xf numFmtId="191" fontId="101" fillId="6" borderId="154" xfId="0" applyFont="1" applyFill="1" applyBorder="1" applyAlignment="1" applyProtection="1">
      <alignment horizontal="left"/>
    </xf>
    <xf numFmtId="191" fontId="177" fillId="6" borderId="154" xfId="0" applyFont="1" applyFill="1" applyBorder="1" applyAlignment="1" applyProtection="1">
      <alignment horizontal="right"/>
    </xf>
    <xf numFmtId="191" fontId="101" fillId="7" borderId="154" xfId="0" applyFont="1" applyFill="1" applyBorder="1" applyAlignment="1" applyProtection="1">
      <protection locked="0"/>
    </xf>
    <xf numFmtId="191" fontId="101" fillId="7" borderId="154" xfId="0" applyFont="1" applyFill="1" applyBorder="1" applyAlignment="1" applyProtection="1"/>
    <xf numFmtId="191" fontId="101" fillId="0" borderId="154" xfId="0" applyFont="1" applyFill="1" applyBorder="1" applyAlignment="1" applyProtection="1"/>
    <xf numFmtId="191"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191" fontId="47" fillId="18" borderId="0" xfId="0" applyFont="1" applyFill="1" applyAlignment="1" applyProtection="1">
      <alignment horizontal="left" vertical="center"/>
    </xf>
    <xf numFmtId="191" fontId="77" fillId="18" borderId="0" xfId="0" applyFont="1" applyFill="1" applyProtection="1">
      <alignment vertical="center"/>
    </xf>
    <xf numFmtId="191"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191" fontId="47" fillId="18" borderId="1" xfId="0" applyFont="1" applyFill="1" applyBorder="1" applyAlignment="1" applyProtection="1">
      <alignment horizontal="center" vertical="center"/>
    </xf>
    <xf numFmtId="191"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1" fontId="54" fillId="18" borderId="1" xfId="0" applyFont="1" applyFill="1" applyBorder="1" applyAlignment="1" applyProtection="1">
      <alignment horizontal="center" vertical="center" wrapText="1"/>
    </xf>
    <xf numFmtId="191" fontId="47" fillId="6" borderId="1"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xf>
    <xf numFmtId="191" fontId="47" fillId="6" borderId="5" xfId="0" applyFont="1" applyFill="1" applyBorder="1" applyAlignment="1" applyProtection="1">
      <alignment horizontal="left" vertical="center"/>
    </xf>
    <xf numFmtId="191"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1" fontId="44" fillId="6" borderId="1" xfId="0" applyFont="1" applyFill="1" applyBorder="1" applyAlignment="1" applyProtection="1">
      <alignment horizontal="left" vertical="center" wrapText="1"/>
    </xf>
    <xf numFmtId="191" fontId="47" fillId="6" borderId="54"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wrapText="1"/>
    </xf>
    <xf numFmtId="191" fontId="47" fillId="6" borderId="48" xfId="0" applyFont="1" applyFill="1" applyBorder="1" applyAlignment="1" applyProtection="1">
      <alignment horizontal="left" vertical="center" wrapText="1"/>
    </xf>
    <xf numFmtId="191" fontId="47" fillId="6" borderId="11" xfId="0" applyFont="1" applyFill="1" applyBorder="1" applyAlignment="1" applyProtection="1">
      <alignment horizontal="left" vertical="center" wrapText="1"/>
    </xf>
    <xf numFmtId="191" fontId="47" fillId="6" borderId="1" xfId="0" applyFont="1" applyFill="1" applyBorder="1" applyAlignment="1" applyProtection="1">
      <alignment horizontal="left" vertical="center" wrapText="1"/>
    </xf>
    <xf numFmtId="191" fontId="47" fillId="6" borderId="23" xfId="0" applyFont="1" applyFill="1" applyBorder="1" applyAlignment="1" applyProtection="1">
      <alignment horizontal="left" vertical="center" wrapText="1"/>
    </xf>
    <xf numFmtId="191" fontId="119" fillId="0" borderId="0" xfId="5" applyFont="1" applyAlignment="1">
      <alignment horizontal="left" vertical="center"/>
    </xf>
    <xf numFmtId="191" fontId="147" fillId="0" borderId="0" xfId="5" applyFont="1" applyAlignment="1">
      <alignment horizontal="left" vertical="center"/>
    </xf>
    <xf numFmtId="191" fontId="120" fillId="0" borderId="0" xfId="5" applyFont="1" applyAlignment="1">
      <alignment horizontal="left" vertical="center"/>
    </xf>
    <xf numFmtId="14" fontId="120" fillId="0" borderId="0" xfId="5" applyNumberFormat="1" applyFont="1" applyAlignment="1">
      <alignment horizontal="left" vertical="center"/>
    </xf>
    <xf numFmtId="191" fontId="237" fillId="0" borderId="0" xfId="5" applyFont="1" applyAlignment="1">
      <alignment horizontal="left" vertical="center"/>
    </xf>
    <xf numFmtId="191" fontId="117" fillId="5" borderId="13" xfId="5" applyFont="1" applyFill="1" applyBorder="1" applyAlignment="1">
      <alignment horizontal="left" vertical="center"/>
    </xf>
    <xf numFmtId="191" fontId="118" fillId="0" borderId="1" xfId="5" applyFont="1" applyBorder="1" applyAlignment="1">
      <alignment horizontal="left" vertical="center"/>
    </xf>
    <xf numFmtId="191" fontId="118" fillId="0" borderId="5" xfId="5" applyFont="1" applyBorder="1" applyAlignment="1">
      <alignment horizontal="left" vertical="center"/>
    </xf>
    <xf numFmtId="191"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191"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1"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191" fontId="238" fillId="0" borderId="0" xfId="5" applyFont="1" applyFill="1" applyAlignment="1">
      <alignment horizontal="left" vertical="center"/>
    </xf>
    <xf numFmtId="191" fontId="147" fillId="0" borderId="0" xfId="5" applyFont="1" applyFill="1" applyAlignment="1">
      <alignment horizontal="left" vertical="center"/>
    </xf>
    <xf numFmtId="191" fontId="117" fillId="0" borderId="1" xfId="5" applyFont="1" applyFill="1" applyBorder="1" applyAlignment="1">
      <alignment horizontal="left" vertical="center"/>
    </xf>
    <xf numFmtId="191" fontId="116" fillId="0" borderId="0" xfId="5" applyFont="1" applyAlignment="1">
      <alignment horizontal="left" vertical="center"/>
    </xf>
    <xf numFmtId="191"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1"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1"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1" fontId="147" fillId="0" borderId="0" xfId="5" applyFont="1" applyBorder="1" applyAlignment="1">
      <alignment horizontal="left" vertical="center"/>
    </xf>
    <xf numFmtId="191" fontId="215" fillId="0" borderId="0" xfId="5" applyFont="1" applyBorder="1" applyAlignment="1">
      <alignment horizontal="left" vertical="center"/>
    </xf>
    <xf numFmtId="191" fontId="47" fillId="6" borderId="26" xfId="0" applyFont="1" applyFill="1" applyBorder="1" applyAlignment="1" applyProtection="1">
      <alignment vertical="center" wrapText="1"/>
    </xf>
    <xf numFmtId="191" fontId="47" fillId="6" borderId="0" xfId="0" applyFont="1" applyFill="1" applyBorder="1" applyAlignment="1" applyProtection="1">
      <alignment vertical="center" wrapText="1"/>
    </xf>
    <xf numFmtId="191"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1" fontId="47" fillId="6" borderId="0" xfId="0" applyFont="1" applyFill="1" applyAlignment="1" applyProtection="1">
      <alignment vertical="center" wrapText="1"/>
    </xf>
    <xf numFmtId="191" fontId="47" fillId="0" borderId="0" xfId="0" applyFont="1" applyFill="1" applyBorder="1" applyAlignment="1" applyProtection="1">
      <alignment vertical="center"/>
      <protection locked="0"/>
    </xf>
    <xf numFmtId="191"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1"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1" fontId="47" fillId="6" borderId="78" xfId="0" applyFont="1" applyFill="1" applyBorder="1" applyAlignment="1" applyProtection="1">
      <alignment horizontal="right" vertical="center" shrinkToFit="1"/>
    </xf>
    <xf numFmtId="191" fontId="47" fillId="6" borderId="78" xfId="0" applyNumberFormat="1" applyFont="1" applyFill="1" applyBorder="1" applyAlignment="1" applyProtection="1">
      <alignment horizontal="right" vertical="center" shrinkToFit="1"/>
    </xf>
    <xf numFmtId="191" fontId="47" fillId="6" borderId="58" xfId="0" applyNumberFormat="1" applyFont="1" applyFill="1" applyBorder="1" applyAlignment="1" applyProtection="1">
      <alignment horizontal="left" vertical="center"/>
    </xf>
    <xf numFmtId="191" fontId="47" fillId="6" borderId="4" xfId="0" applyFont="1" applyFill="1" applyBorder="1" applyAlignment="1" applyProtection="1">
      <alignment vertical="center" wrapText="1"/>
    </xf>
    <xf numFmtId="191" fontId="47" fillId="7" borderId="150" xfId="0" applyFont="1" applyFill="1" applyBorder="1" applyAlignment="1" applyProtection="1">
      <alignment vertical="center" wrapText="1"/>
      <protection locked="0"/>
    </xf>
    <xf numFmtId="191" fontId="47" fillId="7" borderId="60" xfId="0" applyFont="1" applyFill="1" applyBorder="1" applyAlignment="1" applyProtection="1">
      <alignment vertical="center" wrapText="1"/>
    </xf>
    <xf numFmtId="191" fontId="47" fillId="7" borderId="7" xfId="0" applyFont="1" applyFill="1" applyBorder="1" applyAlignment="1" applyProtection="1">
      <alignment vertical="center" wrapText="1"/>
    </xf>
    <xf numFmtId="191" fontId="47" fillId="6" borderId="46" xfId="0" applyFont="1" applyFill="1" applyBorder="1" applyAlignment="1" applyProtection="1">
      <alignment vertical="center" wrapText="1"/>
    </xf>
    <xf numFmtId="191" fontId="47" fillId="7" borderId="5" xfId="0" applyFont="1" applyFill="1" applyBorder="1" applyAlignment="1" applyProtection="1">
      <alignment vertical="center"/>
      <protection locked="0"/>
    </xf>
    <xf numFmtId="191" fontId="47" fillId="7" borderId="54" xfId="0" applyFont="1" applyFill="1" applyBorder="1" applyAlignment="1" applyProtection="1">
      <alignment vertical="center" wrapText="1"/>
    </xf>
    <xf numFmtId="191" fontId="47" fillId="7" borderId="22" xfId="0" applyFont="1" applyFill="1" applyBorder="1" applyAlignment="1" applyProtection="1">
      <alignment vertical="center" wrapText="1"/>
    </xf>
    <xf numFmtId="191" fontId="47" fillId="7" borderId="5" xfId="0" applyFont="1" applyFill="1" applyBorder="1" applyAlignment="1" applyProtection="1">
      <alignment vertical="center" wrapText="1"/>
      <protection locked="0"/>
    </xf>
    <xf numFmtId="191" fontId="47" fillId="16" borderId="46" xfId="0" applyFont="1" applyFill="1" applyBorder="1" applyAlignment="1" applyProtection="1">
      <alignment vertical="center" wrapText="1"/>
    </xf>
    <xf numFmtId="191" fontId="47" fillId="5" borderId="5" xfId="0" applyFont="1" applyFill="1" applyBorder="1" applyAlignment="1" applyProtection="1">
      <alignment horizontal="left" vertical="center" wrapText="1"/>
      <protection locked="0"/>
    </xf>
    <xf numFmtId="191" fontId="47" fillId="5" borderId="54" xfId="0" applyFont="1" applyFill="1" applyBorder="1" applyAlignment="1" applyProtection="1">
      <alignment vertical="center" wrapText="1"/>
    </xf>
    <xf numFmtId="191" fontId="47" fillId="5" borderId="13" xfId="0" applyFont="1" applyFill="1" applyBorder="1" applyAlignment="1" applyProtection="1">
      <alignment horizontal="left" vertical="center"/>
      <protection locked="0"/>
    </xf>
    <xf numFmtId="191" fontId="47" fillId="5" borderId="22" xfId="0" applyFont="1" applyFill="1" applyBorder="1" applyAlignment="1" applyProtection="1">
      <alignment vertical="center" wrapText="1"/>
    </xf>
    <xf numFmtId="191" fontId="47" fillId="16" borderId="85" xfId="0" applyFont="1" applyFill="1" applyBorder="1" applyAlignment="1" applyProtection="1">
      <alignment vertical="center" wrapText="1"/>
    </xf>
    <xf numFmtId="191" fontId="47" fillId="5" borderId="85" xfId="0" applyFont="1" applyFill="1" applyBorder="1" applyAlignment="1" applyProtection="1">
      <alignment horizontal="left" vertical="center"/>
      <protection locked="0"/>
    </xf>
    <xf numFmtId="191" fontId="47" fillId="5" borderId="88" xfId="0" applyFont="1" applyFill="1" applyBorder="1" applyAlignment="1" applyProtection="1">
      <alignment vertical="center" wrapText="1"/>
    </xf>
    <xf numFmtId="191" fontId="47" fillId="5" borderId="118" xfId="0" applyFont="1" applyFill="1" applyBorder="1" applyAlignment="1" applyProtection="1">
      <alignment vertical="center" wrapText="1"/>
    </xf>
    <xf numFmtId="191" fontId="47" fillId="16" borderId="2" xfId="0" applyFont="1" applyFill="1" applyBorder="1" applyAlignment="1" applyProtection="1">
      <alignment horizontal="left" vertical="center"/>
    </xf>
    <xf numFmtId="191" fontId="47" fillId="2" borderId="7" xfId="0" applyFont="1" applyFill="1" applyBorder="1" applyAlignment="1" applyProtection="1">
      <alignment horizontal="center" vertical="center" wrapText="1"/>
      <protection locked="0"/>
    </xf>
    <xf numFmtId="191"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1" fontId="47" fillId="16" borderId="46" xfId="0" applyFont="1" applyFill="1" applyBorder="1" applyAlignment="1" applyProtection="1">
      <alignment horizontal="left" vertical="center"/>
    </xf>
    <xf numFmtId="191" fontId="47" fillId="5" borderId="13" xfId="0" applyFont="1" applyFill="1" applyBorder="1" applyAlignment="1" applyProtection="1">
      <alignment horizontal="center" vertical="center" wrapText="1"/>
      <protection locked="0"/>
    </xf>
    <xf numFmtId="191" fontId="47" fillId="7" borderId="54" xfId="0" applyFont="1" applyFill="1" applyBorder="1" applyAlignment="1" applyProtection="1">
      <alignment vertical="center" wrapText="1"/>
      <protection locked="0"/>
    </xf>
    <xf numFmtId="191"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1"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1"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1" fontId="47" fillId="6" borderId="0" xfId="0" applyNumberFormat="1" applyFont="1" applyFill="1" applyAlignment="1" applyProtection="1">
      <alignment horizontal="center" vertical="center" wrapText="1"/>
    </xf>
    <xf numFmtId="191"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1" fontId="47" fillId="5" borderId="77" xfId="0" applyFont="1" applyFill="1" applyBorder="1" applyAlignment="1" applyProtection="1">
      <alignment horizontal="left" vertical="center" wrapText="1"/>
      <protection locked="0"/>
    </xf>
    <xf numFmtId="191" fontId="47" fillId="6" borderId="78" xfId="0" applyFont="1" applyFill="1" applyBorder="1" applyAlignment="1" applyProtection="1">
      <alignment horizontal="center" vertical="center" wrapText="1"/>
    </xf>
    <xf numFmtId="191" fontId="47" fillId="2" borderId="4" xfId="0" applyFont="1" applyFill="1" applyBorder="1" applyAlignment="1" applyProtection="1">
      <alignment vertical="center"/>
      <protection locked="0"/>
    </xf>
    <xf numFmtId="191" fontId="47" fillId="2" borderId="7" xfId="0" applyFont="1" applyFill="1" applyBorder="1" applyAlignment="1" applyProtection="1">
      <alignment vertical="center" wrapText="1"/>
    </xf>
    <xf numFmtId="191" fontId="47" fillId="2" borderId="7" xfId="0" applyFont="1" applyFill="1" applyBorder="1" applyAlignment="1" applyProtection="1">
      <alignment horizontal="left" vertical="center"/>
      <protection locked="0"/>
    </xf>
    <xf numFmtId="191" fontId="47" fillId="0" borderId="2" xfId="0" applyFont="1" applyBorder="1" applyAlignment="1" applyProtection="1">
      <alignment horizontal="left" vertical="center" wrapText="1"/>
      <protection locked="0"/>
    </xf>
    <xf numFmtId="191" fontId="47" fillId="2" borderId="5" xfId="0" applyFont="1" applyFill="1" applyBorder="1" applyAlignment="1" applyProtection="1">
      <alignment vertical="center"/>
      <protection locked="0"/>
    </xf>
    <xf numFmtId="191" fontId="47" fillId="2" borderId="3" xfId="0" applyFont="1" applyFill="1" applyBorder="1" applyAlignment="1" applyProtection="1">
      <alignment vertical="center"/>
    </xf>
    <xf numFmtId="191" fontId="47" fillId="5" borderId="3" xfId="0" applyFont="1" applyFill="1" applyBorder="1" applyAlignment="1" applyProtection="1">
      <alignment horizontal="center" vertical="center" wrapText="1"/>
      <protection locked="0"/>
    </xf>
    <xf numFmtId="191" fontId="47" fillId="0" borderId="1" xfId="0" applyFont="1" applyBorder="1" applyAlignment="1" applyProtection="1">
      <alignment horizontal="left" vertical="center"/>
      <protection locked="0"/>
    </xf>
    <xf numFmtId="191" fontId="47" fillId="6" borderId="35" xfId="0" applyFont="1" applyFill="1" applyBorder="1" applyAlignment="1" applyProtection="1">
      <alignment horizontal="left" vertical="center"/>
    </xf>
    <xf numFmtId="191" fontId="47" fillId="5" borderId="22" xfId="0" applyFont="1" applyFill="1" applyBorder="1" applyAlignment="1" applyProtection="1">
      <alignment horizontal="center" vertical="center" wrapText="1"/>
      <protection locked="0"/>
    </xf>
    <xf numFmtId="191" fontId="47" fillId="0" borderId="13" xfId="0" applyFont="1" applyBorder="1" applyAlignment="1" applyProtection="1">
      <alignment horizontal="left" vertical="center"/>
      <protection locked="0"/>
    </xf>
    <xf numFmtId="191" fontId="47" fillId="6" borderId="1" xfId="0" applyFont="1" applyFill="1" applyBorder="1" applyAlignment="1" applyProtection="1">
      <alignment horizontal="center" vertical="center" wrapText="1"/>
    </xf>
    <xf numFmtId="191" fontId="47" fillId="6" borderId="1" xfId="0" applyFont="1" applyFill="1" applyBorder="1" applyAlignment="1" applyProtection="1">
      <alignment vertical="center" wrapText="1"/>
    </xf>
    <xf numFmtId="191" fontId="47" fillId="6" borderId="13" xfId="0" applyNumberFormat="1" applyFont="1" applyFill="1" applyBorder="1" applyAlignment="1" applyProtection="1">
      <alignment vertical="center" wrapText="1"/>
    </xf>
    <xf numFmtId="191" fontId="47" fillId="6" borderId="58" xfId="0" applyNumberFormat="1" applyFont="1" applyFill="1" applyBorder="1" applyAlignment="1" applyProtection="1">
      <alignment vertical="center" wrapText="1"/>
    </xf>
    <xf numFmtId="191" fontId="47" fillId="5" borderId="1" xfId="0" applyNumberFormat="1" applyFont="1" applyFill="1" applyBorder="1" applyAlignment="1" applyProtection="1">
      <alignment horizontal="center" vertical="center" wrapText="1"/>
      <protection locked="0"/>
    </xf>
    <xf numFmtId="191" fontId="47" fillId="5" borderId="78" xfId="0" applyNumberFormat="1" applyFont="1" applyFill="1" applyBorder="1" applyAlignment="1" applyProtection="1">
      <alignment horizontal="center" vertical="center" wrapText="1"/>
      <protection locked="0"/>
    </xf>
    <xf numFmtId="191" fontId="139" fillId="6" borderId="151" xfId="0" applyFont="1" applyFill="1" applyBorder="1" applyAlignment="1" applyProtection="1">
      <alignment vertical="center"/>
    </xf>
    <xf numFmtId="191" fontId="52" fillId="6" borderId="151" xfId="0" applyFont="1" applyFill="1" applyBorder="1" applyAlignment="1" applyProtection="1">
      <alignment vertical="center" wrapText="1"/>
    </xf>
    <xf numFmtId="191" fontId="52" fillId="0" borderId="151" xfId="0" applyFont="1" applyBorder="1" applyAlignment="1" applyProtection="1">
      <alignment vertical="center" wrapText="1"/>
    </xf>
    <xf numFmtId="191" fontId="52" fillId="6" borderId="5" xfId="0" applyFont="1" applyFill="1" applyBorder="1" applyAlignment="1" applyProtection="1">
      <alignment vertical="center"/>
    </xf>
    <xf numFmtId="191"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1"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1" fontId="52" fillId="6" borderId="40" xfId="0" applyFont="1" applyFill="1" applyBorder="1" applyAlignment="1" applyProtection="1">
      <alignment vertical="center" wrapText="1"/>
    </xf>
    <xf numFmtId="191" fontId="52" fillId="6" borderId="14" xfId="0" applyFont="1" applyFill="1" applyBorder="1" applyAlignment="1" applyProtection="1">
      <alignment vertical="center" wrapText="1"/>
    </xf>
    <xf numFmtId="191" fontId="52" fillId="6" borderId="12" xfId="0" applyFont="1" applyFill="1" applyBorder="1" applyAlignment="1" applyProtection="1">
      <alignment vertical="center" wrapText="1"/>
    </xf>
    <xf numFmtId="191"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1"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1" fontId="52" fillId="6" borderId="81" xfId="0" applyFont="1" applyFill="1" applyBorder="1" applyAlignment="1" applyProtection="1">
      <alignment vertical="center" wrapText="1"/>
    </xf>
    <xf numFmtId="191" fontId="47" fillId="6" borderId="0" xfId="0" applyFont="1" applyFill="1" applyAlignment="1" applyProtection="1">
      <alignment horizontal="center" vertical="center" wrapText="1"/>
      <protection locked="0"/>
    </xf>
    <xf numFmtId="191" fontId="47" fillId="6" borderId="0" xfId="0" applyNumberFormat="1" applyFont="1" applyFill="1" applyAlignment="1" applyProtection="1">
      <alignment horizontal="center" vertical="center" wrapText="1"/>
      <protection locked="0"/>
    </xf>
    <xf numFmtId="191" fontId="205" fillId="7" borderId="101" xfId="0" applyFont="1" applyFill="1" applyBorder="1" applyAlignment="1" applyProtection="1">
      <alignment vertical="center" wrapText="1"/>
      <protection locked="0"/>
    </xf>
    <xf numFmtId="191" fontId="205" fillId="7" borderId="101" xfId="0" applyNumberFormat="1" applyFont="1" applyFill="1" applyBorder="1" applyAlignment="1" applyProtection="1">
      <alignment vertical="center" wrapText="1"/>
      <protection locked="0"/>
    </xf>
    <xf numFmtId="191" fontId="205" fillId="7" borderId="102" xfId="0" applyFont="1" applyFill="1" applyBorder="1" applyAlignment="1" applyProtection="1">
      <alignment vertical="center" wrapText="1"/>
      <protection locked="0"/>
    </xf>
    <xf numFmtId="191" fontId="225" fillId="7" borderId="0" xfId="0" applyNumberFormat="1" applyFont="1" applyFill="1" applyAlignment="1" applyProtection="1">
      <alignment vertical="center"/>
      <protection locked="0"/>
    </xf>
    <xf numFmtId="191" fontId="225" fillId="7" borderId="0" xfId="0" applyFont="1" applyFill="1" applyAlignment="1" applyProtection="1">
      <alignment vertical="center"/>
      <protection locked="0"/>
    </xf>
    <xf numFmtId="191" fontId="225" fillId="0" borderId="0" xfId="0" applyFont="1" applyAlignment="1" applyProtection="1">
      <alignment vertical="center"/>
      <protection locked="0"/>
    </xf>
    <xf numFmtId="191" fontId="52" fillId="6" borderId="63" xfId="0" applyFont="1" applyFill="1" applyBorder="1" applyAlignment="1" applyProtection="1">
      <alignment vertical="center" wrapText="1"/>
    </xf>
    <xf numFmtId="191" fontId="52" fillId="6" borderId="34" xfId="0" applyFont="1" applyFill="1" applyBorder="1" applyAlignment="1" applyProtection="1">
      <alignment vertical="center" wrapText="1"/>
    </xf>
    <xf numFmtId="191" fontId="52" fillId="6" borderId="65" xfId="0" applyFont="1" applyFill="1" applyBorder="1" applyAlignment="1" applyProtection="1">
      <alignment vertical="center"/>
    </xf>
    <xf numFmtId="191" fontId="52" fillId="6" borderId="0" xfId="0" applyFont="1" applyFill="1" applyBorder="1" applyAlignment="1" applyProtection="1">
      <alignment vertical="center" wrapText="1"/>
    </xf>
    <xf numFmtId="191" fontId="47" fillId="6" borderId="64" xfId="0" applyFont="1" applyFill="1" applyBorder="1" applyAlignment="1" applyProtection="1">
      <alignment vertical="center"/>
    </xf>
    <xf numFmtId="191"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1" fontId="47" fillId="6" borderId="7" xfId="0" applyFont="1" applyFill="1" applyBorder="1" applyAlignment="1" applyProtection="1">
      <alignment vertical="center" wrapText="1"/>
    </xf>
    <xf numFmtId="191"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1" fontId="168" fillId="0" borderId="24" xfId="0" applyFont="1" applyBorder="1" applyAlignment="1" applyProtection="1">
      <alignment vertical="center" wrapText="1"/>
      <protection locked="0"/>
    </xf>
    <xf numFmtId="191"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1" fontId="47" fillId="6" borderId="66" xfId="0" applyFont="1" applyFill="1" applyBorder="1" applyAlignment="1" applyProtection="1">
      <alignment vertical="center" wrapText="1"/>
    </xf>
    <xf numFmtId="191" fontId="168" fillId="0" borderId="49" xfId="0" applyNumberFormat="1" applyFont="1" applyFill="1" applyBorder="1" applyAlignment="1" applyProtection="1">
      <alignment vertical="center" wrapText="1"/>
      <protection locked="0"/>
    </xf>
    <xf numFmtId="191" fontId="47" fillId="6" borderId="0" xfId="0" applyFont="1" applyFill="1" applyBorder="1" applyAlignment="1" applyProtection="1">
      <alignment vertical="center"/>
      <protection locked="0"/>
    </xf>
    <xf numFmtId="191" fontId="47" fillId="6" borderId="32" xfId="0" applyFont="1" applyFill="1" applyBorder="1" applyAlignment="1" applyProtection="1">
      <alignment vertical="center" wrapText="1"/>
    </xf>
    <xf numFmtId="191" fontId="168" fillId="0" borderId="49" xfId="0" applyFont="1" applyBorder="1" applyAlignment="1" applyProtection="1">
      <alignment vertical="center"/>
      <protection locked="0"/>
    </xf>
    <xf numFmtId="191" fontId="44" fillId="7" borderId="0" xfId="0" applyFont="1" applyFill="1" applyBorder="1" applyAlignment="1" applyProtection="1">
      <alignment vertical="center" wrapText="1"/>
      <protection locked="0"/>
    </xf>
    <xf numFmtId="191"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1" fontId="44" fillId="0" borderId="0" xfId="0" applyFont="1" applyFill="1" applyAlignment="1" applyProtection="1">
      <alignment vertical="center"/>
      <protection locked="0"/>
    </xf>
    <xf numFmtId="191" fontId="52" fillId="6" borderId="0" xfId="0" applyFont="1" applyFill="1" applyBorder="1" applyAlignment="1" applyProtection="1">
      <alignment vertical="center" wrapText="1"/>
      <protection locked="0"/>
    </xf>
    <xf numFmtId="191" fontId="47" fillId="6" borderId="0" xfId="0" applyNumberFormat="1" applyFont="1" applyFill="1" applyBorder="1" applyAlignment="1" applyProtection="1">
      <alignment vertical="center" wrapText="1"/>
      <protection locked="0"/>
    </xf>
    <xf numFmtId="191" fontId="60" fillId="6" borderId="0" xfId="0" applyFont="1" applyFill="1" applyBorder="1" applyAlignment="1" applyProtection="1">
      <alignment vertical="center"/>
    </xf>
    <xf numFmtId="191" fontId="205" fillId="7" borderId="0" xfId="0" applyFont="1" applyFill="1" applyBorder="1" applyAlignment="1" applyProtection="1">
      <alignment vertical="center" wrapText="1"/>
      <protection locked="0"/>
    </xf>
    <xf numFmtId="191" fontId="205" fillId="7" borderId="0" xfId="0" applyNumberFormat="1" applyFont="1" applyFill="1" applyBorder="1" applyAlignment="1" applyProtection="1">
      <alignment vertical="center" wrapText="1"/>
      <protection locked="0"/>
    </xf>
    <xf numFmtId="191" fontId="205" fillId="7" borderId="35" xfId="0" applyNumberFormat="1" applyFont="1" applyFill="1" applyBorder="1" applyAlignment="1" applyProtection="1">
      <alignment vertical="center" wrapText="1"/>
      <protection locked="0"/>
    </xf>
    <xf numFmtId="191" fontId="225" fillId="7" borderId="0" xfId="0" applyFont="1" applyFill="1" applyAlignment="1" applyProtection="1">
      <alignment vertical="center" wrapText="1"/>
      <protection locked="0"/>
    </xf>
    <xf numFmtId="191" fontId="225" fillId="7" borderId="0" xfId="0" applyNumberFormat="1" applyFont="1" applyFill="1" applyAlignment="1" applyProtection="1">
      <alignment vertical="center" wrapText="1"/>
      <protection locked="0"/>
    </xf>
    <xf numFmtId="191" fontId="69" fillId="6" borderId="104" xfId="0" applyFont="1" applyFill="1" applyBorder="1" applyAlignment="1" applyProtection="1">
      <alignment vertical="center"/>
    </xf>
    <xf numFmtId="191" fontId="44" fillId="7" borderId="0" xfId="0" applyFont="1" applyFill="1" applyAlignment="1" applyProtection="1">
      <alignment vertical="center" wrapText="1"/>
      <protection locked="0"/>
    </xf>
    <xf numFmtId="191" fontId="44" fillId="7" borderId="0" xfId="0" applyNumberFormat="1" applyFont="1" applyFill="1" applyAlignment="1" applyProtection="1">
      <alignment vertical="center" wrapText="1"/>
      <protection locked="0"/>
    </xf>
    <xf numFmtId="191" fontId="44" fillId="7" borderId="0" xfId="0" applyNumberFormat="1" applyFont="1" applyFill="1" applyAlignment="1" applyProtection="1">
      <alignment vertical="center"/>
      <protection locked="0"/>
    </xf>
    <xf numFmtId="191" fontId="52" fillId="6" borderId="16" xfId="0" applyFont="1" applyFill="1" applyBorder="1" applyAlignment="1" applyProtection="1">
      <alignment vertical="center" wrapText="1"/>
    </xf>
    <xf numFmtId="191" fontId="52" fillId="6" borderId="31" xfId="0" applyFont="1" applyFill="1" applyBorder="1" applyAlignment="1" applyProtection="1">
      <alignment vertical="center" wrapText="1"/>
    </xf>
    <xf numFmtId="191" fontId="52" fillId="6" borderId="82" xfId="0" applyFont="1" applyFill="1" applyBorder="1" applyAlignment="1" applyProtection="1">
      <alignment vertical="center" wrapText="1"/>
    </xf>
    <xf numFmtId="191"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1" fontId="47" fillId="6" borderId="10" xfId="0" applyNumberFormat="1" applyFont="1" applyFill="1" applyBorder="1" applyAlignment="1" applyProtection="1">
      <alignment vertical="center" wrapText="1"/>
    </xf>
    <xf numFmtId="191"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1" fontId="47" fillId="6" borderId="23" xfId="0" applyFont="1" applyFill="1" applyBorder="1" applyAlignment="1" applyProtection="1">
      <alignment vertical="center" wrapText="1"/>
    </xf>
    <xf numFmtId="191" fontId="47" fillId="6" borderId="24" xfId="0" applyNumberFormat="1" applyFont="1" applyFill="1" applyBorder="1" applyAlignment="1" applyProtection="1">
      <alignment vertical="center" wrapText="1"/>
    </xf>
    <xf numFmtId="191" fontId="47" fillId="0" borderId="24" xfId="0" applyNumberFormat="1" applyFont="1" applyFill="1" applyBorder="1" applyAlignment="1" applyProtection="1">
      <alignment vertical="center" wrapText="1"/>
      <protection locked="0"/>
    </xf>
    <xf numFmtId="191" fontId="47" fillId="5" borderId="24" xfId="0" applyNumberFormat="1" applyFont="1" applyFill="1" applyBorder="1" applyAlignment="1" applyProtection="1">
      <alignment vertical="center" wrapText="1"/>
      <protection locked="0"/>
    </xf>
    <xf numFmtId="191" fontId="47" fillId="6" borderId="25" xfId="0" applyFont="1" applyFill="1" applyBorder="1" applyAlignment="1" applyProtection="1">
      <alignment vertical="center" wrapText="1"/>
    </xf>
    <xf numFmtId="191" fontId="47" fillId="0" borderId="49" xfId="0" applyNumberFormat="1" applyFont="1" applyFill="1" applyBorder="1" applyAlignment="1" applyProtection="1">
      <alignment vertical="center" wrapText="1"/>
      <protection locked="0"/>
    </xf>
    <xf numFmtId="191" fontId="47" fillId="6" borderId="49" xfId="0" applyNumberFormat="1" applyFont="1" applyFill="1" applyBorder="1" applyAlignment="1" applyProtection="1">
      <alignment vertical="center" wrapText="1"/>
    </xf>
    <xf numFmtId="191" fontId="47" fillId="6" borderId="0" xfId="0" applyNumberFormat="1" applyFont="1" applyFill="1" applyAlignment="1" applyProtection="1">
      <alignment vertical="center" wrapText="1"/>
      <protection locked="0"/>
    </xf>
    <xf numFmtId="191" fontId="44" fillId="0" borderId="0" xfId="0" applyFont="1" applyFill="1" applyAlignment="1" applyProtection="1">
      <alignment vertical="center" wrapText="1"/>
      <protection locked="0"/>
    </xf>
    <xf numFmtId="191" fontId="44" fillId="0" borderId="0" xfId="0" applyNumberFormat="1" applyFont="1" applyFill="1" applyAlignment="1" applyProtection="1">
      <alignment vertical="center" wrapText="1"/>
      <protection locked="0"/>
    </xf>
    <xf numFmtId="191" fontId="160" fillId="6" borderId="1" xfId="12" applyFont="1" applyFill="1" applyBorder="1" applyAlignment="1" applyProtection="1">
      <alignment horizontal="left" vertical="center" wrapText="1"/>
    </xf>
    <xf numFmtId="191"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191" fontId="159" fillId="6" borderId="1" xfId="12" applyFill="1" applyBorder="1" applyAlignment="1" applyProtection="1">
      <alignment horizontal="left" vertical="center"/>
    </xf>
    <xf numFmtId="191" fontId="160" fillId="6" borderId="13" xfId="12" applyFont="1" applyFill="1" applyBorder="1" applyAlignment="1" applyProtection="1">
      <alignment horizontal="left" vertical="center" wrapText="1"/>
    </xf>
    <xf numFmtId="191" fontId="95" fillId="0" borderId="1" xfId="12" applyFont="1" applyFill="1" applyBorder="1" applyAlignment="1" applyProtection="1">
      <alignment horizontal="left"/>
      <protection locked="0"/>
    </xf>
    <xf numFmtId="191" fontId="160" fillId="0" borderId="13" xfId="12" applyFont="1" applyFill="1" applyBorder="1" applyAlignment="1" applyProtection="1">
      <alignment horizontal="left" vertical="center" wrapText="1"/>
      <protection locked="0"/>
    </xf>
    <xf numFmtId="191" fontId="159" fillId="0" borderId="1" xfId="12" applyBorder="1" applyAlignment="1" applyProtection="1">
      <alignment horizontal="left"/>
      <protection locked="0"/>
    </xf>
    <xf numFmtId="191" fontId="160" fillId="0" borderId="1" xfId="12" applyFont="1" applyFill="1" applyBorder="1" applyAlignment="1" applyProtection="1">
      <alignment horizontal="left" vertical="center" wrapText="1"/>
      <protection locked="0"/>
    </xf>
    <xf numFmtId="191" fontId="123" fillId="7" borderId="0" xfId="0" applyFont="1" applyFill="1" applyProtection="1">
      <alignment vertical="center"/>
    </xf>
    <xf numFmtId="191" fontId="100" fillId="7" borderId="0" xfId="0" applyFont="1" applyFill="1" applyProtection="1">
      <alignment vertical="center"/>
    </xf>
    <xf numFmtId="191" fontId="99" fillId="6" borderId="1" xfId="0" applyFont="1" applyFill="1" applyBorder="1" applyAlignment="1" applyProtection="1">
      <alignment horizontal="left" vertical="center" wrapText="1"/>
    </xf>
    <xf numFmtId="191" fontId="102" fillId="6" borderId="1" xfId="0" applyFont="1" applyFill="1" applyBorder="1" applyAlignment="1" applyProtection="1">
      <alignment horizontal="left" vertical="center" wrapText="1"/>
    </xf>
    <xf numFmtId="191"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191"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191" fontId="99" fillId="6" borderId="5" xfId="0" applyFont="1" applyFill="1" applyBorder="1" applyAlignment="1" applyProtection="1">
      <alignment horizontal="left" vertical="center" wrapText="1"/>
    </xf>
    <xf numFmtId="191" fontId="106" fillId="6" borderId="46" xfId="0" applyFont="1" applyFill="1" applyBorder="1" applyAlignment="1" applyProtection="1">
      <alignment horizontal="left" vertical="center" wrapText="1"/>
    </xf>
    <xf numFmtId="191" fontId="106" fillId="6" borderId="36" xfId="0" applyFont="1" applyFill="1" applyBorder="1" applyAlignment="1" applyProtection="1">
      <alignment horizontal="left" vertical="center" wrapText="1"/>
    </xf>
    <xf numFmtId="191" fontId="106" fillId="6" borderId="22" xfId="0" applyFont="1" applyFill="1" applyBorder="1" applyAlignment="1" applyProtection="1">
      <alignment horizontal="left" vertical="center" wrapText="1"/>
    </xf>
    <xf numFmtId="191" fontId="106" fillId="6" borderId="5" xfId="0" applyFont="1" applyFill="1" applyBorder="1" applyAlignment="1" applyProtection="1">
      <alignment horizontal="left" vertical="center" wrapText="1"/>
    </xf>
    <xf numFmtId="191" fontId="106" fillId="6" borderId="54" xfId="0" applyFont="1" applyFill="1" applyBorder="1" applyAlignment="1" applyProtection="1">
      <alignment horizontal="left" vertical="center"/>
    </xf>
    <xf numFmtId="191" fontId="106" fillId="6" borderId="3" xfId="0" applyFont="1" applyFill="1" applyBorder="1" applyAlignment="1" applyProtection="1">
      <alignment horizontal="left" vertical="center" wrapText="1"/>
    </xf>
    <xf numFmtId="191" fontId="106" fillId="6" borderId="58" xfId="0" applyFont="1" applyFill="1" applyBorder="1" applyAlignment="1" applyProtection="1">
      <alignment horizontal="left" vertical="center" wrapText="1"/>
    </xf>
    <xf numFmtId="191" fontId="106" fillId="6" borderId="0" xfId="0" applyFont="1" applyFill="1" applyBorder="1" applyAlignment="1" applyProtection="1">
      <alignment horizontal="left" vertical="center" wrapText="1"/>
    </xf>
    <xf numFmtId="191" fontId="106" fillId="6" borderId="35" xfId="0" applyFont="1" applyFill="1" applyBorder="1" applyAlignment="1" applyProtection="1">
      <alignment horizontal="left" vertical="center" wrapText="1"/>
    </xf>
    <xf numFmtId="191" fontId="106" fillId="6" borderId="4" xfId="0" applyFont="1" applyFill="1" applyBorder="1" applyAlignment="1" applyProtection="1">
      <alignment horizontal="left" vertical="center" wrapText="1"/>
    </xf>
    <xf numFmtId="191" fontId="106" fillId="6" borderId="60" xfId="0" applyFont="1" applyFill="1" applyBorder="1" applyAlignment="1" applyProtection="1">
      <alignment horizontal="left" vertical="center" wrapText="1"/>
    </xf>
    <xf numFmtId="191" fontId="106" fillId="6" borderId="7" xfId="0" applyFont="1" applyFill="1" applyBorder="1" applyAlignment="1" applyProtection="1">
      <alignment horizontal="left" vertical="center" wrapText="1"/>
    </xf>
    <xf numFmtId="191" fontId="47" fillId="7" borderId="0" xfId="0" applyFont="1" applyFill="1" applyAlignment="1" applyProtection="1">
      <alignment horizontal="left" vertical="center"/>
      <protection locked="0"/>
    </xf>
    <xf numFmtId="191"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191" fontId="48" fillId="0" borderId="24" xfId="0" applyFont="1" applyFill="1" applyBorder="1" applyAlignment="1" applyProtection="1">
      <alignment horizontal="left" vertical="center" wrapText="1"/>
      <protection locked="0"/>
    </xf>
    <xf numFmtId="191" fontId="47" fillId="5" borderId="3" xfId="0" applyFont="1" applyFill="1" applyBorder="1" applyAlignment="1" applyProtection="1">
      <alignment horizontal="left" vertical="center"/>
      <protection locked="0"/>
    </xf>
    <xf numFmtId="191" fontId="47" fillId="6" borderId="14" xfId="0" applyFont="1" applyFill="1" applyBorder="1" applyAlignment="1" applyProtection="1">
      <alignment horizontal="left" vertical="center" wrapText="1"/>
    </xf>
    <xf numFmtId="191" fontId="47" fillId="6" borderId="58" xfId="0" applyFont="1" applyFill="1" applyBorder="1" applyAlignment="1" applyProtection="1">
      <alignment horizontal="left" vertical="center"/>
    </xf>
    <xf numFmtId="191"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191" fontId="47" fillId="6" borderId="24" xfId="0" applyFont="1" applyFill="1" applyBorder="1" applyAlignment="1" applyProtection="1">
      <alignment horizontal="left" vertical="center"/>
    </xf>
    <xf numFmtId="191" fontId="48" fillId="6" borderId="0" xfId="0" applyFont="1" applyFill="1" applyAlignment="1" applyProtection="1">
      <alignment horizontal="left" vertical="center"/>
      <protection locked="0"/>
    </xf>
    <xf numFmtId="191" fontId="113" fillId="0" borderId="24" xfId="0" applyFont="1" applyFill="1" applyBorder="1" applyAlignment="1" applyProtection="1">
      <alignment horizontal="left" vertical="center" wrapText="1"/>
      <protection locked="0"/>
    </xf>
    <xf numFmtId="191" fontId="47" fillId="2" borderId="3" xfId="0" applyFont="1" applyFill="1" applyBorder="1" applyAlignment="1" applyProtection="1">
      <alignment horizontal="left" vertical="center" wrapText="1"/>
      <protection locked="0"/>
    </xf>
    <xf numFmtId="191" fontId="47" fillId="6" borderId="0" xfId="0" applyFont="1" applyFill="1" applyBorder="1" applyAlignment="1" applyProtection="1">
      <alignment horizontal="left" vertical="center" wrapText="1"/>
      <protection locked="0"/>
    </xf>
    <xf numFmtId="191" fontId="47" fillId="18" borderId="33" xfId="0" applyFont="1" applyFill="1" applyBorder="1" applyAlignment="1" applyProtection="1">
      <alignment horizontal="left" vertical="center"/>
    </xf>
    <xf numFmtId="191"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91"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191"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191" fontId="53" fillId="0" borderId="1" xfId="0" applyFont="1" applyFill="1" applyBorder="1" applyAlignment="1" applyProtection="1">
      <alignment horizontal="left" vertical="center" wrapText="1"/>
      <protection locked="0"/>
    </xf>
    <xf numFmtId="191"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191" fontId="52" fillId="6" borderId="32" xfId="0" applyFont="1" applyFill="1" applyBorder="1" applyAlignment="1" applyProtection="1">
      <alignment horizontal="left" vertical="center" wrapText="1"/>
    </xf>
    <xf numFmtId="191" fontId="53" fillId="6" borderId="32" xfId="0" applyFont="1" applyFill="1" applyBorder="1" applyAlignment="1" applyProtection="1">
      <alignment horizontal="left" vertical="center" wrapText="1"/>
    </xf>
    <xf numFmtId="191"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1" fontId="125" fillId="6" borderId="1" xfId="0" applyFont="1" applyFill="1" applyBorder="1" applyAlignment="1" applyProtection="1">
      <alignment horizontal="left" vertical="center" wrapText="1"/>
    </xf>
    <xf numFmtId="191" fontId="104" fillId="6" borderId="1" xfId="0" applyFont="1" applyFill="1" applyBorder="1" applyAlignment="1" applyProtection="1">
      <alignment horizontal="left" vertical="center" wrapText="1"/>
    </xf>
    <xf numFmtId="191" fontId="104" fillId="6" borderId="24" xfId="0" applyFont="1" applyFill="1" applyBorder="1" applyAlignment="1" applyProtection="1">
      <alignment horizontal="left" vertical="center" wrapText="1"/>
    </xf>
    <xf numFmtId="191" fontId="104" fillId="6" borderId="13" xfId="0" applyFont="1" applyFill="1" applyBorder="1" applyAlignment="1" applyProtection="1">
      <alignment horizontal="left" vertical="center" wrapText="1"/>
    </xf>
    <xf numFmtId="191" fontId="104" fillId="6" borderId="61" xfId="0" applyFont="1" applyFill="1" applyBorder="1" applyAlignment="1" applyProtection="1">
      <alignment horizontal="left" vertical="center" wrapText="1"/>
    </xf>
    <xf numFmtId="191" fontId="125" fillId="6" borderId="5" xfId="0" applyFont="1" applyFill="1" applyBorder="1" applyAlignment="1" applyProtection="1">
      <alignment horizontal="left" vertical="center" wrapText="1"/>
    </xf>
    <xf numFmtId="191" fontId="104" fillId="6" borderId="5" xfId="0" applyFont="1" applyFill="1" applyBorder="1" applyAlignment="1" applyProtection="1">
      <alignment horizontal="left" vertical="center" wrapText="1"/>
    </xf>
    <xf numFmtId="191" fontId="104" fillId="6" borderId="48" xfId="0" applyFont="1" applyFill="1" applyBorder="1" applyAlignment="1" applyProtection="1">
      <alignment horizontal="left" vertical="center" wrapText="1"/>
    </xf>
    <xf numFmtId="191" fontId="125" fillId="6" borderId="33" xfId="0" applyFont="1" applyFill="1" applyBorder="1" applyAlignment="1" applyProtection="1">
      <alignment horizontal="left" vertical="center" wrapText="1"/>
    </xf>
    <xf numFmtId="191" fontId="104" fillId="6" borderId="33" xfId="0" applyFont="1" applyFill="1" applyBorder="1" applyAlignment="1" applyProtection="1">
      <alignment horizontal="left" vertical="center" wrapText="1"/>
    </xf>
    <xf numFmtId="191" fontId="104" fillId="6" borderId="68" xfId="0" applyFont="1" applyFill="1" applyBorder="1" applyAlignment="1" applyProtection="1">
      <alignment horizontal="left" vertical="center" wrapText="1"/>
    </xf>
    <xf numFmtId="191" fontId="46" fillId="6" borderId="24" xfId="0" applyFont="1" applyFill="1" applyBorder="1" applyAlignment="1" applyProtection="1">
      <alignment horizontal="left" vertical="center"/>
    </xf>
    <xf numFmtId="191" fontId="44" fillId="18" borderId="24" xfId="0" applyFont="1" applyFill="1" applyBorder="1" applyAlignment="1" applyProtection="1">
      <alignment horizontal="left" vertical="center"/>
    </xf>
    <xf numFmtId="191" fontId="44" fillId="6" borderId="24" xfId="0" applyFont="1" applyFill="1" applyBorder="1" applyAlignment="1" applyProtection="1">
      <alignment horizontal="left" vertical="center"/>
    </xf>
    <xf numFmtId="191" fontId="52" fillId="6" borderId="24" xfId="0" applyFont="1" applyFill="1" applyBorder="1" applyAlignment="1" applyProtection="1">
      <alignment horizontal="left" vertical="center"/>
    </xf>
    <xf numFmtId="191" fontId="44" fillId="6" borderId="49" xfId="0" applyFont="1" applyFill="1" applyBorder="1" applyAlignment="1" applyProtection="1">
      <alignment horizontal="left" vertical="center"/>
    </xf>
    <xf numFmtId="191" fontId="44" fillId="6" borderId="1" xfId="0" applyFont="1" applyFill="1" applyBorder="1" applyAlignment="1" applyProtection="1">
      <alignment horizontal="left" vertical="center" wrapText="1"/>
      <protection locked="0"/>
    </xf>
    <xf numFmtId="191" fontId="98" fillId="6" borderId="5" xfId="0" applyFont="1" applyFill="1" applyBorder="1" applyAlignment="1">
      <alignment horizontal="right" vertical="center"/>
    </xf>
    <xf numFmtId="191" fontId="98" fillId="6" borderId="1" xfId="0" applyFont="1" applyFill="1" applyBorder="1" applyAlignment="1">
      <alignment horizontal="right" vertical="center"/>
    </xf>
    <xf numFmtId="191" fontId="204" fillId="6" borderId="23" xfId="0" applyFont="1" applyFill="1" applyBorder="1" applyAlignment="1">
      <alignment horizontal="left" vertical="center"/>
    </xf>
    <xf numFmtId="191" fontId="98" fillId="6" borderId="23" xfId="0" applyFont="1" applyFill="1" applyBorder="1" applyAlignment="1">
      <alignment horizontal="left" vertical="center"/>
    </xf>
    <xf numFmtId="191" fontId="98" fillId="6" borderId="25" xfId="0" applyFont="1" applyFill="1" applyBorder="1" applyAlignment="1">
      <alignment horizontal="left" vertical="center"/>
    </xf>
    <xf numFmtId="191" fontId="98" fillId="6" borderId="5" xfId="0" applyFont="1" applyFill="1" applyBorder="1" applyAlignment="1" applyProtection="1">
      <alignment horizontal="left" vertical="center"/>
    </xf>
    <xf numFmtId="191" fontId="98" fillId="6" borderId="24" xfId="0" applyFont="1" applyFill="1" applyBorder="1" applyAlignment="1" applyProtection="1">
      <alignment horizontal="left" vertical="center"/>
    </xf>
    <xf numFmtId="191" fontId="124" fillId="6" borderId="1" xfId="0" applyFont="1" applyFill="1" applyBorder="1" applyAlignment="1">
      <alignment horizontal="left" vertical="center" wrapText="1"/>
    </xf>
    <xf numFmtId="191" fontId="124" fillId="5" borderId="1" xfId="0" applyFont="1" applyFill="1" applyBorder="1" applyAlignment="1" applyProtection="1">
      <alignment horizontal="left" vertical="center"/>
      <protection locked="0"/>
    </xf>
    <xf numFmtId="191" fontId="124" fillId="6" borderId="1" xfId="0" applyFont="1" applyFill="1" applyBorder="1" applyAlignment="1">
      <alignment horizontal="center" vertical="center"/>
    </xf>
    <xf numFmtId="191" fontId="124" fillId="6" borderId="1" xfId="0" applyFont="1" applyFill="1" applyBorder="1" applyAlignment="1">
      <alignment horizontal="left" vertical="center"/>
    </xf>
    <xf numFmtId="191"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1" fontId="47" fillId="6" borderId="58" xfId="0" applyNumberFormat="1" applyFont="1" applyFill="1" applyBorder="1" applyAlignment="1" applyProtection="1">
      <alignment horizontal="left" vertical="center"/>
      <protection locked="0"/>
    </xf>
    <xf numFmtId="191"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1" fontId="47" fillId="6" borderId="58" xfId="0" applyFont="1" applyFill="1" applyBorder="1" applyAlignment="1" applyProtection="1">
      <alignment horizontal="center" vertical="center" wrapText="1"/>
      <protection locked="0"/>
    </xf>
    <xf numFmtId="191" fontId="47" fillId="6" borderId="1" xfId="0" applyFont="1" applyFill="1" applyBorder="1" applyAlignment="1" applyProtection="1">
      <alignment horizontal="center" vertical="center" wrapText="1"/>
      <protection locked="0"/>
    </xf>
    <xf numFmtId="191" fontId="47" fillId="6" borderId="1" xfId="0" applyFont="1" applyFill="1" applyBorder="1" applyAlignment="1" applyProtection="1">
      <alignment vertical="center" wrapText="1"/>
      <protection locked="0"/>
    </xf>
    <xf numFmtId="191" fontId="52" fillId="6" borderId="151" xfId="0" applyFont="1" applyFill="1" applyBorder="1" applyAlignment="1" applyProtection="1">
      <alignment vertical="center" wrapText="1"/>
      <protection locked="0"/>
    </xf>
    <xf numFmtId="191" fontId="52" fillId="6" borderId="152" xfId="0" applyFont="1" applyFill="1" applyBorder="1" applyAlignment="1" applyProtection="1">
      <alignment vertical="center" wrapText="1"/>
      <protection locked="0"/>
    </xf>
    <xf numFmtId="191" fontId="52" fillId="6" borderId="151" xfId="0" applyFont="1" applyFill="1" applyBorder="1" applyAlignment="1" applyProtection="1">
      <alignment horizontal="center" vertical="center" wrapText="1"/>
      <protection locked="0"/>
    </xf>
    <xf numFmtId="191"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1" fontId="47" fillId="16" borderId="15" xfId="0" applyNumberFormat="1" applyFont="1" applyFill="1" applyBorder="1" applyAlignment="1" applyProtection="1">
      <alignment vertical="center" wrapText="1"/>
    </xf>
    <xf numFmtId="191" fontId="47" fillId="16" borderId="78" xfId="0" applyNumberFormat="1" applyFont="1" applyFill="1" applyBorder="1" applyAlignment="1" applyProtection="1">
      <alignment vertical="center" wrapText="1"/>
    </xf>
    <xf numFmtId="191" fontId="47" fillId="6" borderId="5" xfId="0" applyFont="1" applyFill="1" applyBorder="1" applyAlignment="1" applyProtection="1">
      <alignment vertical="center" wrapText="1"/>
    </xf>
    <xf numFmtId="191" fontId="47" fillId="5" borderId="23" xfId="0" applyFont="1" applyFill="1" applyBorder="1" applyAlignment="1" applyProtection="1">
      <alignment vertical="center" wrapText="1"/>
      <protection locked="0"/>
    </xf>
    <xf numFmtId="191" fontId="47" fillId="5" borderId="24" xfId="0" applyFont="1" applyFill="1" applyBorder="1" applyAlignment="1" applyProtection="1">
      <alignment vertical="center" wrapText="1"/>
      <protection locked="0"/>
    </xf>
    <xf numFmtId="191" fontId="47" fillId="5" borderId="5" xfId="0" applyFont="1" applyFill="1" applyBorder="1" applyAlignment="1" applyProtection="1">
      <alignment vertical="center" wrapText="1"/>
      <protection locked="0"/>
    </xf>
    <xf numFmtId="191" fontId="47" fillId="5" borderId="23" xfId="0" applyFont="1" applyFill="1" applyBorder="1" applyAlignment="1" applyProtection="1">
      <alignment vertical="center" wrapText="1" shrinkToFit="1"/>
      <protection locked="0"/>
    </xf>
    <xf numFmtId="191"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1"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1" fontId="168" fillId="0" borderId="24" xfId="0" applyFont="1" applyFill="1" applyBorder="1" applyAlignment="1" applyProtection="1">
      <alignment vertical="center" wrapText="1"/>
      <protection locked="0"/>
    </xf>
    <xf numFmtId="191" fontId="168" fillId="0" borderId="48" xfId="0" applyFont="1" applyFill="1" applyBorder="1" applyAlignment="1" applyProtection="1">
      <alignment vertical="center" wrapText="1"/>
      <protection locked="0"/>
    </xf>
    <xf numFmtId="191" fontId="47" fillId="6" borderId="89" xfId="0" applyFont="1" applyFill="1" applyBorder="1" applyAlignment="1" applyProtection="1">
      <alignment vertical="center" wrapText="1"/>
    </xf>
    <xf numFmtId="191" fontId="47" fillId="6" borderId="91" xfId="0" applyFont="1" applyFill="1" applyBorder="1" applyAlignment="1" applyProtection="1">
      <alignment vertical="center" wrapText="1"/>
    </xf>
    <xf numFmtId="191" fontId="168" fillId="0" borderId="79" xfId="0" applyFont="1" applyFill="1" applyBorder="1" applyAlignment="1" applyProtection="1">
      <alignment vertical="center" wrapText="1"/>
      <protection locked="0"/>
    </xf>
    <xf numFmtId="191" fontId="168" fillId="0" borderId="90" xfId="0" applyFont="1" applyFill="1" applyBorder="1" applyAlignment="1" applyProtection="1">
      <alignment vertical="center" wrapText="1"/>
      <protection locked="0"/>
    </xf>
    <xf numFmtId="191" fontId="47" fillId="6" borderId="27" xfId="0" applyFont="1" applyFill="1" applyBorder="1" applyAlignment="1" applyProtection="1">
      <alignment horizontal="left" vertical="center"/>
    </xf>
    <xf numFmtId="191" fontId="47" fillId="0" borderId="96" xfId="0" applyFont="1" applyBorder="1" applyAlignment="1" applyProtection="1">
      <alignment horizontal="left" vertical="center" wrapText="1"/>
      <protection locked="0"/>
    </xf>
    <xf numFmtId="191" fontId="44" fillId="0" borderId="0" xfId="0" applyFont="1" applyFill="1" applyProtection="1">
      <alignment vertical="center"/>
      <protection locked="0"/>
    </xf>
    <xf numFmtId="191" fontId="44" fillId="6" borderId="51" xfId="0" applyFont="1" applyFill="1" applyBorder="1" applyProtection="1">
      <alignment vertical="center"/>
    </xf>
    <xf numFmtId="191" fontId="44" fillId="6" borderId="20" xfId="0" applyFont="1" applyFill="1" applyBorder="1" applyProtection="1">
      <alignment vertical="center"/>
    </xf>
    <xf numFmtId="191" fontId="44" fillId="6" borderId="41" xfId="0" applyFont="1" applyFill="1" applyBorder="1" applyProtection="1">
      <alignment vertical="center"/>
    </xf>
    <xf numFmtId="191" fontId="44" fillId="6" borderId="14" xfId="0" applyFont="1" applyFill="1" applyBorder="1" applyProtection="1">
      <alignment vertical="center"/>
    </xf>
    <xf numFmtId="191" fontId="44" fillId="6" borderId="61" xfId="0" applyFont="1" applyFill="1" applyBorder="1" applyAlignment="1" applyProtection="1">
      <alignment horizontal="center" vertical="center"/>
    </xf>
    <xf numFmtId="191" fontId="44" fillId="6" borderId="38" xfId="0" applyFont="1" applyFill="1" applyBorder="1" applyProtection="1">
      <alignment vertical="center"/>
    </xf>
    <xf numFmtId="191" fontId="44" fillId="6" borderId="66" xfId="0" applyFont="1" applyFill="1" applyBorder="1" applyProtection="1">
      <alignment vertical="center"/>
    </xf>
    <xf numFmtId="191" fontId="44" fillId="0" borderId="49" xfId="0" applyFont="1" applyFill="1" applyBorder="1" applyAlignment="1" applyProtection="1">
      <alignment horizontal="center" vertical="center"/>
      <protection locked="0"/>
    </xf>
    <xf numFmtId="191" fontId="47" fillId="6" borderId="82" xfId="0" applyFont="1" applyFill="1" applyBorder="1" applyAlignment="1" applyProtection="1">
      <alignment horizontal="center" vertical="center"/>
    </xf>
    <xf numFmtId="191" fontId="44" fillId="12" borderId="0" xfId="0" applyFont="1" applyFill="1" applyProtection="1">
      <alignment vertical="center"/>
      <protection locked="0"/>
    </xf>
    <xf numFmtId="191" fontId="44" fillId="12" borderId="0" xfId="0" applyFont="1" applyFill="1" applyBorder="1" applyProtection="1">
      <alignment vertical="center"/>
      <protection locked="0"/>
    </xf>
    <xf numFmtId="191" fontId="44" fillId="12" borderId="0" xfId="0" applyFont="1" applyFill="1" applyAlignment="1" applyProtection="1">
      <alignment horizontal="center" vertical="center"/>
      <protection locked="0"/>
    </xf>
    <xf numFmtId="191" fontId="47" fillId="12" borderId="0" xfId="0" applyFont="1" applyFill="1" applyBorder="1" applyAlignment="1" applyProtection="1">
      <alignment horizontal="center" vertical="center" wrapText="1"/>
      <protection locked="0"/>
    </xf>
    <xf numFmtId="191" fontId="47" fillId="12" borderId="0" xfId="0" applyFont="1" applyFill="1" applyBorder="1" applyAlignment="1" applyProtection="1">
      <alignment vertical="center" wrapText="1"/>
      <protection locked="0"/>
    </xf>
    <xf numFmtId="191" fontId="47" fillId="12" borderId="0" xfId="0" applyFont="1" applyFill="1" applyAlignment="1" applyProtection="1">
      <alignment vertical="center" wrapText="1"/>
      <protection locked="0"/>
    </xf>
    <xf numFmtId="191"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1" fontId="47" fillId="12" borderId="60" xfId="0" applyFont="1" applyFill="1" applyBorder="1" applyAlignment="1" applyProtection="1">
      <alignment vertical="center" wrapText="1"/>
    </xf>
    <xf numFmtId="191" fontId="47" fillId="12" borderId="60" xfId="0" applyFont="1" applyFill="1" applyBorder="1" applyAlignment="1" applyProtection="1">
      <alignment horizontal="center" vertical="center" wrapText="1"/>
    </xf>
    <xf numFmtId="191" fontId="47" fillId="12" borderId="7" xfId="0" applyFont="1" applyFill="1" applyBorder="1" applyAlignment="1" applyProtection="1">
      <alignment vertical="center" wrapText="1"/>
    </xf>
    <xf numFmtId="191" fontId="47" fillId="12" borderId="0" xfId="0" applyFont="1" applyFill="1" applyBorder="1" applyAlignment="1" applyProtection="1">
      <alignment vertical="center" wrapText="1"/>
    </xf>
    <xf numFmtId="191" fontId="47" fillId="12" borderId="0" xfId="0" applyFont="1" applyFill="1" applyAlignment="1" applyProtection="1">
      <alignment vertical="center"/>
      <protection locked="0"/>
    </xf>
    <xf numFmtId="191" fontId="47" fillId="12" borderId="0" xfId="0" applyFont="1" applyFill="1" applyAlignment="1" applyProtection="1">
      <alignment horizontal="center" vertical="center"/>
      <protection locked="0"/>
    </xf>
    <xf numFmtId="191" fontId="44" fillId="12" borderId="0" xfId="0" applyFont="1" applyFill="1" applyAlignment="1" applyProtection="1">
      <alignment vertical="center"/>
      <protection locked="0"/>
    </xf>
    <xf numFmtId="191"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191" fontId="44" fillId="12" borderId="67" xfId="0" applyFont="1" applyFill="1" applyBorder="1" applyAlignment="1" applyProtection="1">
      <alignment horizontal="center" vertical="center"/>
      <protection locked="0"/>
    </xf>
    <xf numFmtId="191"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1" fontId="100" fillId="12" borderId="0" xfId="0" applyFont="1" applyFill="1" applyAlignment="1" applyProtection="1">
      <alignment horizontal="center" vertical="center"/>
      <protection locked="0"/>
    </xf>
    <xf numFmtId="191" fontId="113" fillId="12" borderId="0" xfId="0" applyFont="1" applyFill="1" applyAlignment="1" applyProtection="1">
      <alignment vertical="center"/>
      <protection locked="0"/>
    </xf>
    <xf numFmtId="191"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91" fontId="44" fillId="12" borderId="0" xfId="0" applyFont="1" applyFill="1" applyAlignment="1" applyProtection="1">
      <alignment vertical="center"/>
    </xf>
    <xf numFmtId="191" fontId="160" fillId="12" borderId="0" xfId="12" applyFont="1" applyFill="1" applyBorder="1" applyAlignment="1" applyProtection="1">
      <alignment horizontal="left" vertical="center" wrapText="1"/>
      <protection locked="0"/>
    </xf>
    <xf numFmtId="191" fontId="159" fillId="12" borderId="0" xfId="12" applyFill="1" applyBorder="1" applyAlignment="1" applyProtection="1">
      <alignment horizontal="left"/>
      <protection locked="0"/>
    </xf>
    <xf numFmtId="191" fontId="159" fillId="12" borderId="0" xfId="12" applyFill="1" applyAlignment="1" applyProtection="1">
      <alignment horizontal="left"/>
      <protection locked="0"/>
    </xf>
    <xf numFmtId="191"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1" fontId="98" fillId="0" borderId="0" xfId="0" applyFont="1" applyFill="1" applyProtection="1">
      <alignment vertical="center"/>
      <protection locked="0"/>
    </xf>
    <xf numFmtId="191"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1"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1" fontId="99" fillId="6" borderId="0" xfId="0" applyFont="1" applyFill="1" applyAlignment="1" applyProtection="1">
      <protection locked="0"/>
    </xf>
    <xf numFmtId="191" fontId="99" fillId="6" borderId="0" xfId="0" applyFont="1" applyFill="1" applyAlignment="1" applyProtection="1">
      <alignment horizontal="left"/>
      <protection locked="0"/>
    </xf>
    <xf numFmtId="191" fontId="52" fillId="6" borderId="0" xfId="0" applyFont="1" applyFill="1" applyAlignment="1" applyProtection="1">
      <alignment horizontal="left"/>
      <protection locked="0"/>
    </xf>
    <xf numFmtId="191" fontId="52" fillId="6" borderId="0" xfId="0" applyFont="1" applyFill="1" applyAlignment="1" applyProtection="1">
      <protection locked="0"/>
    </xf>
    <xf numFmtId="191" fontId="53" fillId="6" borderId="0" xfId="0" applyFont="1" applyFill="1" applyAlignment="1" applyProtection="1">
      <alignment horizontal="left" vertical="center"/>
      <protection locked="0"/>
    </xf>
    <xf numFmtId="191"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1" fontId="98" fillId="12" borderId="0" xfId="0" applyFont="1" applyFill="1">
      <alignment vertical="center"/>
    </xf>
    <xf numFmtId="191" fontId="204" fillId="12" borderId="0" xfId="0" applyFont="1" applyFill="1" applyBorder="1">
      <alignment vertical="center"/>
    </xf>
    <xf numFmtId="191" fontId="98" fillId="12" borderId="0" xfId="0" applyFont="1" applyFill="1" applyBorder="1">
      <alignment vertical="center"/>
    </xf>
    <xf numFmtId="191" fontId="98" fillId="12" borderId="47" xfId="0" applyFont="1" applyFill="1" applyBorder="1">
      <alignment vertical="center"/>
    </xf>
    <xf numFmtId="191" fontId="98" fillId="12" borderId="56" xfId="0" applyFont="1" applyFill="1" applyBorder="1" applyProtection="1">
      <alignment vertical="center"/>
    </xf>
    <xf numFmtId="191"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1"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1"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1"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1"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1"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1"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1"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1" fontId="62" fillId="12" borderId="0" xfId="0" applyFont="1" applyFill="1" applyBorder="1" applyAlignment="1" applyProtection="1">
      <alignment horizontal="center" vertical="center"/>
      <protection locked="0"/>
    </xf>
    <xf numFmtId="191" fontId="51" fillId="12" borderId="18" xfId="0" applyFont="1" applyFill="1" applyBorder="1" applyAlignment="1" applyProtection="1">
      <alignment horizontal="center" vertical="center"/>
      <protection locked="0"/>
    </xf>
    <xf numFmtId="191" fontId="68" fillId="12" borderId="18" xfId="0" applyFont="1" applyFill="1" applyBorder="1" applyAlignment="1" applyProtection="1">
      <alignment horizontal="center" vertical="center"/>
      <protection locked="0"/>
    </xf>
    <xf numFmtId="191"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1" fontId="98" fillId="12" borderId="18" xfId="0" applyFont="1" applyFill="1" applyBorder="1" applyAlignment="1" applyProtection="1">
      <alignment vertical="center"/>
      <protection locked="0"/>
    </xf>
    <xf numFmtId="191" fontId="44" fillId="12" borderId="18" xfId="0" applyFont="1" applyFill="1" applyBorder="1" applyAlignment="1" applyProtection="1">
      <alignment horizontal="center" vertical="center" wrapText="1"/>
      <protection locked="0"/>
    </xf>
    <xf numFmtId="191"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1" fontId="49" fillId="12" borderId="0" xfId="0" applyFont="1" applyFill="1" applyAlignment="1" applyProtection="1">
      <alignment horizontal="center" vertical="center"/>
      <protection locked="0"/>
    </xf>
    <xf numFmtId="191"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1" fontId="49" fillId="12" borderId="18" xfId="0" applyFont="1" applyFill="1" applyBorder="1" applyAlignment="1" applyProtection="1">
      <alignment vertical="center" wrapText="1"/>
      <protection locked="0"/>
    </xf>
    <xf numFmtId="191" fontId="44" fillId="12" borderId="18" xfId="0" applyFont="1" applyFill="1" applyBorder="1" applyAlignment="1" applyProtection="1">
      <alignment vertical="center" wrapText="1"/>
      <protection locked="0"/>
    </xf>
    <xf numFmtId="191" fontId="44" fillId="12" borderId="0" xfId="0" applyNumberFormat="1" applyFont="1" applyFill="1" applyBorder="1" applyAlignment="1" applyProtection="1">
      <alignment horizontal="center" vertical="center" wrapText="1"/>
      <protection locked="0"/>
    </xf>
    <xf numFmtId="191" fontId="68" fillId="12" borderId="0" xfId="0" applyNumberFormat="1" applyFont="1" applyFill="1" applyBorder="1" applyAlignment="1" applyProtection="1">
      <alignment horizontal="center" vertical="center" wrapText="1"/>
      <protection locked="0"/>
    </xf>
    <xf numFmtId="191" fontId="51" fillId="12" borderId="0" xfId="0" applyNumberFormat="1" applyFont="1" applyFill="1" applyBorder="1" applyAlignment="1" applyProtection="1">
      <alignment horizontal="center" vertical="center" wrapText="1"/>
      <protection locked="0"/>
    </xf>
    <xf numFmtId="191" fontId="49" fillId="12" borderId="0" xfId="0" applyNumberFormat="1" applyFont="1" applyFill="1" applyBorder="1" applyAlignment="1" applyProtection="1">
      <alignment horizontal="center" vertical="center" wrapText="1"/>
      <protection locked="0"/>
    </xf>
    <xf numFmtId="191" fontId="51" fillId="12" borderId="58" xfId="0" applyFont="1" applyFill="1" applyBorder="1" applyAlignment="1" applyProtection="1">
      <alignment horizontal="center" vertical="center"/>
      <protection locked="0"/>
    </xf>
    <xf numFmtId="191" fontId="68" fillId="12" borderId="58" xfId="0" applyFont="1" applyFill="1" applyBorder="1" applyAlignment="1" applyProtection="1">
      <alignment horizontal="center" vertical="center"/>
      <protection locked="0"/>
    </xf>
    <xf numFmtId="191"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1" fontId="98" fillId="12" borderId="58" xfId="0" applyFont="1" applyFill="1" applyBorder="1" applyAlignment="1" applyProtection="1">
      <alignment vertical="center"/>
      <protection locked="0"/>
    </xf>
    <xf numFmtId="191" fontId="44"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protection locked="0"/>
    </xf>
    <xf numFmtId="191" fontId="49" fillId="12" borderId="58" xfId="0" applyFont="1" applyFill="1" applyBorder="1" applyAlignment="1" applyProtection="1">
      <alignment vertical="center" wrapText="1"/>
      <protection locked="0"/>
    </xf>
    <xf numFmtId="191" fontId="44" fillId="12" borderId="58" xfId="0" applyFont="1" applyFill="1" applyBorder="1" applyAlignment="1" applyProtection="1">
      <alignment vertical="center" wrapText="1"/>
      <protection locked="0"/>
    </xf>
    <xf numFmtId="191"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1" fontId="51" fillId="12" borderId="0" xfId="0" applyFont="1" applyFill="1" applyBorder="1" applyAlignment="1" applyProtection="1">
      <protection locked="0"/>
    </xf>
    <xf numFmtId="191" fontId="44" fillId="0" borderId="74" xfId="0" applyNumberFormat="1" applyFont="1" applyFill="1" applyBorder="1" applyAlignment="1" applyProtection="1">
      <alignment horizontal="center" vertical="center" wrapText="1"/>
    </xf>
    <xf numFmtId="191" fontId="44" fillId="0" borderId="76" xfId="0" applyNumberFormat="1" applyFont="1" applyFill="1" applyBorder="1" applyAlignment="1" applyProtection="1">
      <alignment horizontal="center" vertical="center" wrapText="1"/>
    </xf>
    <xf numFmtId="191" fontId="44" fillId="12" borderId="35" xfId="0" applyFont="1" applyFill="1" applyBorder="1" applyAlignment="1" applyProtection="1">
      <alignment horizontal="center" vertical="center"/>
      <protection locked="0"/>
    </xf>
    <xf numFmtId="191" fontId="67" fillId="12" borderId="35" xfId="0" applyFont="1" applyFill="1" applyBorder="1" applyAlignment="1" applyProtection="1">
      <alignment horizontal="center" vertical="center"/>
      <protection locked="0"/>
    </xf>
    <xf numFmtId="191" fontId="51" fillId="12" borderId="35" xfId="0" applyFont="1" applyFill="1" applyBorder="1" applyAlignment="1" applyProtection="1">
      <alignment horizontal="center" vertical="center"/>
      <protection locked="0"/>
    </xf>
    <xf numFmtId="191"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1" fontId="98" fillId="12" borderId="0" xfId="0" applyFont="1" applyFill="1" applyBorder="1" applyAlignment="1" applyProtection="1">
      <alignment vertical="center"/>
      <protection locked="0"/>
    </xf>
    <xf numFmtId="191" fontId="44" fillId="12" borderId="0" xfId="0" applyFont="1" applyFill="1" applyBorder="1" applyAlignment="1" applyProtection="1">
      <alignment horizontal="center" vertical="center" wrapText="1"/>
      <protection locked="0"/>
    </xf>
    <xf numFmtId="191" fontId="49" fillId="12" borderId="0" xfId="0" applyFont="1" applyFill="1" applyBorder="1" applyAlignment="1" applyProtection="1">
      <alignment horizontal="center" vertical="center" wrapText="1"/>
      <protection locked="0"/>
    </xf>
    <xf numFmtId="191" fontId="44" fillId="12" borderId="0" xfId="0" applyFont="1" applyFill="1" applyBorder="1" applyAlignment="1" applyProtection="1">
      <alignment vertical="center" wrapText="1"/>
      <protection locked="0"/>
    </xf>
    <xf numFmtId="191" fontId="51" fillId="12" borderId="0" xfId="0" applyFont="1" applyFill="1" applyBorder="1" applyAlignment="1" applyProtection="1">
      <alignment horizontal="center" vertical="center" wrapText="1"/>
      <protection locked="0"/>
    </xf>
    <xf numFmtId="191" fontId="72" fillId="12" borderId="0" xfId="0" applyFont="1" applyFill="1" applyAlignment="1" applyProtection="1">
      <alignment horizontal="center" vertical="center"/>
      <protection locked="0"/>
    </xf>
    <xf numFmtId="191" fontId="53" fillId="12" borderId="0" xfId="0" applyFont="1" applyFill="1" applyAlignment="1" applyProtection="1">
      <protection locked="0"/>
    </xf>
    <xf numFmtId="191" fontId="49" fillId="12" borderId="0" xfId="0" applyFont="1" applyFill="1" applyBorder="1" applyAlignment="1" applyProtection="1">
      <alignment vertical="center" wrapText="1"/>
      <protection locked="0"/>
    </xf>
    <xf numFmtId="191" fontId="51" fillId="6" borderId="40" xfId="8" applyFont="1" applyFill="1" applyBorder="1" applyAlignment="1" applyProtection="1">
      <alignment horizontal="center" vertical="center" wrapText="1"/>
      <protection locked="0"/>
    </xf>
    <xf numFmtId="191"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1" fontId="51" fillId="0" borderId="0" xfId="0" applyFont="1" applyAlignment="1" applyProtection="1">
      <alignment vertical="center" wrapText="1"/>
      <protection locked="0"/>
    </xf>
    <xf numFmtId="191" fontId="53" fillId="7" borderId="0" xfId="8" applyFont="1" applyFill="1" applyAlignment="1" applyProtection="1">
      <alignment horizontal="center" vertical="center" wrapText="1"/>
      <protection locked="0"/>
    </xf>
    <xf numFmtId="191"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1" fontId="51" fillId="0" borderId="0" xfId="0" applyFont="1" applyAlignment="1" applyProtection="1">
      <alignment horizontal="center" vertical="center" wrapText="1"/>
      <protection locked="0"/>
    </xf>
    <xf numFmtId="191" fontId="98" fillId="12" borderId="0" xfId="0" applyFont="1" applyFill="1" applyProtection="1">
      <alignment vertical="center"/>
      <protection locked="0"/>
    </xf>
    <xf numFmtId="191" fontId="124" fillId="12" borderId="0" xfId="0" applyFont="1" applyFill="1" applyProtection="1">
      <alignment vertical="center"/>
      <protection locked="0"/>
    </xf>
    <xf numFmtId="191" fontId="47" fillId="0" borderId="3" xfId="0" applyFont="1" applyFill="1" applyBorder="1" applyProtection="1">
      <alignment vertical="center"/>
      <protection locked="0"/>
    </xf>
    <xf numFmtId="191" fontId="47" fillId="0" borderId="24" xfId="0" applyFont="1" applyFill="1" applyBorder="1" applyProtection="1">
      <alignment vertical="center"/>
      <protection locked="0"/>
    </xf>
    <xf numFmtId="191" fontId="44" fillId="0" borderId="22" xfId="0" applyFont="1" applyFill="1" applyBorder="1" applyProtection="1">
      <alignment vertical="center"/>
      <protection locked="0"/>
    </xf>
    <xf numFmtId="191" fontId="44" fillId="0" borderId="61" xfId="0" applyFont="1" applyFill="1" applyBorder="1" applyProtection="1">
      <alignment vertical="center"/>
      <protection locked="0"/>
    </xf>
    <xf numFmtId="191" fontId="123" fillId="12" borderId="0" xfId="0" applyFont="1" applyFill="1" applyAlignment="1" applyProtection="1">
      <alignment vertical="center"/>
    </xf>
    <xf numFmtId="191" fontId="100" fillId="12" borderId="0" xfId="0" applyFont="1" applyFill="1" applyAlignment="1" applyProtection="1">
      <alignment vertical="center"/>
    </xf>
    <xf numFmtId="191" fontId="240" fillId="12" borderId="0" xfId="0" applyFont="1" applyFill="1" applyAlignment="1" applyProtection="1">
      <alignment horizontal="left" vertical="center"/>
    </xf>
    <xf numFmtId="191" fontId="100" fillId="12" borderId="0" xfId="0" applyFont="1" applyFill="1" applyAlignment="1" applyProtection="1">
      <alignment horizontal="left" vertical="center"/>
    </xf>
    <xf numFmtId="191" fontId="113" fillId="12" borderId="0" xfId="0" applyFont="1" applyFill="1" applyAlignment="1" applyProtection="1">
      <alignment vertical="center"/>
    </xf>
    <xf numFmtId="191" fontId="239" fillId="12" borderId="0" xfId="0" applyFont="1" applyFill="1" applyAlignment="1" applyProtection="1">
      <alignment vertical="center"/>
    </xf>
    <xf numFmtId="191" fontId="123" fillId="12" borderId="0" xfId="0" applyFont="1" applyFill="1" applyAlignment="1" applyProtection="1">
      <alignment horizontal="left" vertical="center"/>
    </xf>
    <xf numFmtId="191" fontId="45" fillId="12" borderId="0" xfId="1" applyFont="1" applyFill="1" applyBorder="1" applyAlignment="1" applyProtection="1">
      <alignment vertical="center"/>
    </xf>
    <xf numFmtId="191"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1" fontId="143" fillId="11" borderId="125" xfId="9" applyFont="1" applyFill="1" applyBorder="1" applyAlignment="1" applyProtection="1">
      <alignment horizontal="left" vertical="center" wrapText="1"/>
    </xf>
    <xf numFmtId="191" fontId="102" fillId="6" borderId="1" xfId="0" applyFont="1" applyFill="1" applyBorder="1" applyAlignment="1" applyProtection="1">
      <alignment horizontal="center" vertical="center"/>
    </xf>
    <xf numFmtId="191" fontId="102" fillId="2" borderId="1" xfId="0" applyFont="1" applyFill="1" applyBorder="1" applyAlignment="1" applyProtection="1">
      <alignment horizontal="center" vertical="center"/>
      <protection locked="0"/>
    </xf>
    <xf numFmtId="191" fontId="143" fillId="11" borderId="125"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191" fontId="44" fillId="5" borderId="11" xfId="0" applyFont="1" applyFill="1" applyBorder="1" applyAlignment="1" applyProtection="1">
      <alignment vertical="center" wrapText="1"/>
      <protection locked="0"/>
    </xf>
    <xf numFmtId="191" fontId="157" fillId="6" borderId="1" xfId="2" applyFont="1" applyFill="1" applyBorder="1" applyAlignment="1">
      <alignment horizontal="left" vertical="center" wrapText="1"/>
    </xf>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29" fillId="6" borderId="1" xfId="2" applyFont="1" applyFill="1" applyBorder="1" applyAlignment="1">
      <alignment horizontal="center" wrapText="1"/>
    </xf>
    <xf numFmtId="193" fontId="157" fillId="6" borderId="1" xfId="2" applyNumberFormat="1" applyFont="1" applyFill="1" applyBorder="1" applyAlignment="1">
      <alignment horizontal="center" vertical="center" wrapText="1"/>
    </xf>
    <xf numFmtId="191" fontId="157" fillId="6" borderId="1" xfId="2" applyFont="1" applyFill="1" applyBorder="1" applyAlignment="1">
      <alignment horizontal="center" vertical="center" wrapText="1"/>
    </xf>
    <xf numFmtId="191" fontId="133" fillId="6" borderId="0" xfId="2" applyFont="1" applyFill="1" applyAlignment="1">
      <alignment vertical="center"/>
    </xf>
    <xf numFmtId="191"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1"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1" fontId="95" fillId="0" borderId="0" xfId="0" applyFont="1" applyAlignment="1"/>
    <xf numFmtId="191" fontId="143" fillId="11" borderId="125"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1"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1" fontId="58" fillId="6" borderId="0" xfId="4" applyNumberFormat="1" applyFont="1" applyFill="1" applyBorder="1" applyAlignment="1" applyProtection="1">
      <alignment horizontal="center"/>
    </xf>
    <xf numFmtId="191" fontId="58" fillId="0" borderId="0" xfId="4" applyNumberFormat="1" applyFont="1" applyFill="1" applyBorder="1" applyAlignment="1" applyProtection="1">
      <alignment horizontal="center"/>
      <protection locked="0"/>
    </xf>
    <xf numFmtId="191" fontId="3" fillId="0" borderId="0" xfId="4" applyFont="1" applyAlignment="1" applyProtection="1">
      <alignment horizontal="left"/>
      <protection locked="0"/>
    </xf>
    <xf numFmtId="191" fontId="242" fillId="0" borderId="0" xfId="4" applyFont="1" applyAlignment="1" applyProtection="1">
      <alignment horizontal="left"/>
      <protection locked="0"/>
    </xf>
    <xf numFmtId="191" fontId="54" fillId="5" borderId="16" xfId="4" applyFont="1" applyFill="1" applyBorder="1" applyAlignment="1" applyProtection="1">
      <alignment vertical="center"/>
      <protection locked="0"/>
    </xf>
    <xf numFmtId="191" fontId="54" fillId="5" borderId="19" xfId="4" applyFont="1" applyFill="1" applyBorder="1" applyAlignment="1" applyProtection="1">
      <alignment vertical="center"/>
      <protection locked="0"/>
    </xf>
    <xf numFmtId="191" fontId="54" fillId="5" borderId="31" xfId="4" applyFont="1" applyFill="1" applyBorder="1" applyAlignment="1" applyProtection="1">
      <alignment vertical="center"/>
      <protection locked="0"/>
    </xf>
    <xf numFmtId="191" fontId="53" fillId="0" borderId="0" xfId="4" applyFont="1" applyAlignment="1" applyProtection="1">
      <alignment horizontal="left" vertical="center"/>
      <protection locked="0"/>
    </xf>
    <xf numFmtId="191"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1"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1" fontId="19" fillId="0" borderId="0" xfId="4" applyFont="1" applyAlignment="1" applyProtection="1">
      <alignment horizontal="left"/>
      <protection locked="0"/>
    </xf>
    <xf numFmtId="191" fontId="53" fillId="0" borderId="0" xfId="4" applyFont="1" applyAlignment="1" applyProtection="1">
      <alignment horizontal="left"/>
      <protection locked="0"/>
    </xf>
    <xf numFmtId="191" fontId="54" fillId="0" borderId="1" xfId="4" applyFont="1" applyFill="1" applyBorder="1" applyAlignment="1" applyProtection="1">
      <alignment horizontal="left" vertical="center"/>
      <protection locked="0"/>
    </xf>
    <xf numFmtId="191" fontId="54" fillId="0" borderId="24" xfId="4" applyFont="1" applyFill="1" applyBorder="1" applyAlignment="1" applyProtection="1">
      <alignment horizontal="left" vertical="center"/>
      <protection locked="0"/>
    </xf>
    <xf numFmtId="191" fontId="54" fillId="6" borderId="24" xfId="4" applyFont="1" applyFill="1" applyBorder="1" applyAlignment="1" applyProtection="1">
      <alignment horizontal="left" vertical="center"/>
      <protection locked="0"/>
    </xf>
    <xf numFmtId="191" fontId="19" fillId="0" borderId="0" xfId="4" applyFont="1" applyAlignment="1">
      <alignment horizontal="left"/>
    </xf>
    <xf numFmtId="191" fontId="54" fillId="6" borderId="13" xfId="1" applyFont="1" applyFill="1" applyBorder="1" applyAlignment="1" applyProtection="1">
      <alignment vertical="center"/>
    </xf>
    <xf numFmtId="191"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1" fontId="19" fillId="6" borderId="1" xfId="4" applyFont="1" applyFill="1" applyBorder="1" applyAlignment="1" applyProtection="1">
      <alignment vertical="center"/>
    </xf>
    <xf numFmtId="191" fontId="53" fillId="0" borderId="1" xfId="4" applyFont="1" applyFill="1" applyBorder="1" applyAlignment="1" applyProtection="1">
      <alignment horizontal="left" vertical="center"/>
      <protection locked="0"/>
    </xf>
    <xf numFmtId="191" fontId="53" fillId="0" borderId="13" xfId="4" applyFont="1" applyFill="1" applyBorder="1" applyAlignment="1" applyProtection="1">
      <alignment horizontal="left" vertical="center"/>
      <protection locked="0"/>
    </xf>
    <xf numFmtId="191" fontId="53" fillId="0" borderId="61" xfId="4" applyFont="1" applyFill="1" applyBorder="1" applyAlignment="1" applyProtection="1">
      <alignment horizontal="left" vertical="center"/>
      <protection locked="0"/>
    </xf>
    <xf numFmtId="191" fontId="53" fillId="6" borderId="61" xfId="4" applyFont="1" applyFill="1" applyBorder="1" applyAlignment="1" applyProtection="1">
      <alignment horizontal="left" vertical="center"/>
      <protection locked="0"/>
    </xf>
    <xf numFmtId="191" fontId="80" fillId="6" borderId="0" xfId="1" applyFont="1" applyFill="1" applyBorder="1" applyAlignment="1" applyProtection="1">
      <alignment vertical="center"/>
    </xf>
    <xf numFmtId="191" fontId="47" fillId="0" borderId="32" xfId="4" applyFont="1" applyFill="1" applyBorder="1" applyAlignment="1" applyProtection="1">
      <alignment horizontal="left" vertical="center"/>
      <protection locked="0"/>
    </xf>
    <xf numFmtId="191" fontId="19" fillId="6" borderId="58" xfId="4" applyFont="1" applyFill="1" applyBorder="1" applyAlignment="1" applyProtection="1">
      <alignment vertical="center"/>
    </xf>
    <xf numFmtId="191" fontId="102" fillId="6" borderId="37" xfId="4" applyFont="1" applyFill="1" applyBorder="1" applyAlignment="1" applyProtection="1">
      <alignment vertical="center"/>
      <protection locked="0"/>
    </xf>
    <xf numFmtId="191" fontId="102" fillId="6" borderId="54" xfId="4" applyFont="1" applyFill="1" applyBorder="1" applyAlignment="1" applyProtection="1">
      <alignment vertical="center"/>
      <protection locked="0"/>
    </xf>
    <xf numFmtId="191" fontId="54" fillId="6" borderId="54" xfId="4" applyFont="1" applyFill="1" applyBorder="1" applyAlignment="1" applyProtection="1">
      <alignment vertical="center"/>
      <protection locked="0"/>
    </xf>
    <xf numFmtId="191" fontId="54" fillId="0" borderId="34" xfId="4" applyFont="1" applyFill="1" applyBorder="1" applyAlignment="1" applyProtection="1">
      <alignment horizontal="left" vertical="center"/>
      <protection locked="0"/>
    </xf>
    <xf numFmtId="191" fontId="54" fillId="6" borderId="64" xfId="4" applyFont="1" applyFill="1" applyBorder="1" applyAlignment="1">
      <alignment vertical="center"/>
    </xf>
    <xf numFmtId="191" fontId="54" fillId="6" borderId="65" xfId="4" applyFont="1" applyFill="1" applyBorder="1" applyAlignment="1">
      <alignment vertical="center"/>
    </xf>
    <xf numFmtId="191" fontId="54" fillId="0" borderId="0" xfId="4" applyFont="1" applyFill="1" applyBorder="1" applyAlignment="1" applyProtection="1">
      <alignment vertical="center"/>
      <protection locked="0"/>
    </xf>
    <xf numFmtId="191" fontId="53" fillId="6" borderId="5" xfId="4" applyFont="1" applyFill="1" applyBorder="1" applyAlignment="1" applyProtection="1">
      <alignment vertical="center"/>
      <protection locked="0"/>
    </xf>
    <xf numFmtId="191" fontId="53" fillId="6" borderId="1" xfId="4" applyFont="1" applyFill="1" applyBorder="1" applyAlignment="1" applyProtection="1">
      <alignment horizontal="left" vertical="center"/>
      <protection locked="0"/>
    </xf>
    <xf numFmtId="191" fontId="54" fillId="6" borderId="69" xfId="4" applyFont="1" applyFill="1" applyBorder="1" applyAlignment="1">
      <alignment horizontal="left" vertical="center"/>
    </xf>
    <xf numFmtId="191" fontId="54" fillId="6" borderId="60" xfId="4" applyFont="1" applyFill="1" applyBorder="1" applyAlignment="1">
      <alignment horizontal="left" vertical="center"/>
    </xf>
    <xf numFmtId="191"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1" fontId="53" fillId="0" borderId="5" xfId="4" applyFont="1" applyFill="1" applyBorder="1" applyAlignment="1" applyProtection="1">
      <alignment vertical="center"/>
      <protection locked="0"/>
    </xf>
    <xf numFmtId="191"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1" fontId="53" fillId="0" borderId="24" xfId="4" applyFont="1" applyFill="1" applyBorder="1" applyAlignment="1" applyProtection="1">
      <alignment horizontal="left" vertical="center"/>
      <protection locked="0"/>
    </xf>
    <xf numFmtId="191"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1" fontId="54" fillId="6" borderId="1" xfId="4" applyFont="1" applyFill="1" applyBorder="1" applyAlignment="1">
      <alignment horizontal="left" vertical="center"/>
    </xf>
    <xf numFmtId="191" fontId="54" fillId="6" borderId="24" xfId="4" applyFont="1" applyFill="1" applyBorder="1" applyAlignment="1">
      <alignment horizontal="left" vertical="center"/>
    </xf>
    <xf numFmtId="191"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1"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1" fontId="53" fillId="6" borderId="5" xfId="4" applyFont="1" applyFill="1" applyBorder="1" applyAlignment="1">
      <alignment horizontal="left" vertical="center"/>
    </xf>
    <xf numFmtId="191"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1" fontId="54" fillId="6" borderId="5" xfId="4" applyFont="1" applyFill="1" applyBorder="1" applyAlignment="1" applyProtection="1">
      <alignment vertical="center"/>
      <protection locked="0"/>
    </xf>
    <xf numFmtId="191"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1"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1"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1" fontId="54" fillId="6" borderId="56" xfId="4" applyFont="1" applyFill="1" applyBorder="1" applyAlignment="1">
      <alignment vertical="center"/>
    </xf>
    <xf numFmtId="191"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1" fontId="102" fillId="6" borderId="24" xfId="4" applyFont="1" applyFill="1" applyBorder="1" applyAlignment="1" applyProtection="1">
      <alignment horizontal="left" vertical="center"/>
      <protection locked="0"/>
    </xf>
    <xf numFmtId="191" fontId="54" fillId="6" borderId="71" xfId="4" applyFont="1" applyFill="1" applyBorder="1" applyAlignment="1">
      <alignment horizontal="left" vertical="center"/>
    </xf>
    <xf numFmtId="191" fontId="99" fillId="0" borderId="1" xfId="4" applyFont="1" applyFill="1" applyBorder="1" applyAlignment="1" applyProtection="1">
      <alignment horizontal="left" vertical="center" wrapText="1"/>
      <protection locked="0"/>
    </xf>
    <xf numFmtId="191" fontId="53" fillId="0" borderId="0" xfId="4" applyFont="1" applyFill="1" applyAlignment="1" applyProtection="1">
      <alignment horizontal="left" vertical="center"/>
      <protection locked="0"/>
    </xf>
    <xf numFmtId="191" fontId="54" fillId="6" borderId="5" xfId="4" applyFont="1" applyFill="1" applyBorder="1" applyAlignment="1">
      <alignment horizontal="left" vertical="center"/>
    </xf>
    <xf numFmtId="191" fontId="54" fillId="6" borderId="158" xfId="4" applyFont="1" applyFill="1" applyBorder="1" applyAlignment="1">
      <alignment horizontal="left" vertical="center"/>
    </xf>
    <xf numFmtId="191" fontId="54" fillId="6" borderId="3" xfId="4" applyFont="1" applyFill="1" applyBorder="1" applyAlignment="1">
      <alignment horizontal="left" vertical="center"/>
    </xf>
    <xf numFmtId="191" fontId="99" fillId="0" borderId="24" xfId="4" applyFont="1" applyFill="1" applyBorder="1" applyAlignment="1" applyProtection="1">
      <alignment horizontal="left" vertical="center"/>
      <protection locked="0"/>
    </xf>
    <xf numFmtId="191" fontId="243" fillId="0" borderId="5" xfId="4" applyFont="1" applyFill="1" applyBorder="1" applyAlignment="1" applyProtection="1">
      <alignment horizontal="left" vertical="center"/>
      <protection locked="0"/>
    </xf>
    <xf numFmtId="191" fontId="243" fillId="0" borderId="158" xfId="4" applyFont="1" applyFill="1" applyBorder="1" applyAlignment="1" applyProtection="1">
      <alignment horizontal="left" vertical="center"/>
      <protection locked="0"/>
    </xf>
    <xf numFmtId="191" fontId="243" fillId="0" borderId="3" xfId="4" applyFont="1" applyFill="1" applyBorder="1" applyAlignment="1" applyProtection="1">
      <alignment horizontal="left" vertical="center"/>
      <protection locked="0"/>
    </xf>
    <xf numFmtId="191" fontId="53" fillId="0" borderId="0" xfId="4" applyFont="1" applyFill="1" applyBorder="1" applyAlignment="1" applyProtection="1">
      <alignment horizontal="left" vertical="center"/>
      <protection locked="0"/>
    </xf>
    <xf numFmtId="191" fontId="53" fillId="6" borderId="37" xfId="4" applyFont="1" applyFill="1" applyBorder="1" applyAlignment="1">
      <alignment horizontal="left" vertical="center"/>
    </xf>
    <xf numFmtId="191"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1" fontId="53" fillId="6" borderId="24" xfId="4" applyFont="1" applyFill="1" applyBorder="1" applyAlignment="1">
      <alignment horizontal="left" vertical="center"/>
    </xf>
    <xf numFmtId="191" fontId="53" fillId="0" borderId="0" xfId="4" applyFont="1" applyFill="1" applyBorder="1" applyAlignment="1" applyProtection="1">
      <alignment horizontal="right" vertical="center"/>
      <protection locked="0"/>
    </xf>
    <xf numFmtId="191" fontId="53" fillId="6" borderId="37" xfId="4" applyFont="1" applyFill="1" applyBorder="1" applyAlignment="1">
      <alignment horizontal="right" vertical="center"/>
    </xf>
    <xf numFmtId="191"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1" fontId="53" fillId="6" borderId="24" xfId="4" applyFont="1" applyFill="1" applyBorder="1" applyAlignment="1">
      <alignment horizontal="right" vertical="center"/>
    </xf>
    <xf numFmtId="191" fontId="54" fillId="6" borderId="23" xfId="4" applyFont="1" applyFill="1" applyBorder="1" applyAlignment="1" applyProtection="1">
      <alignment horizontal="left" vertical="center" wrapText="1"/>
      <protection locked="0"/>
    </xf>
    <xf numFmtId="191" fontId="54" fillId="6" borderId="5" xfId="4" applyFont="1" applyFill="1" applyBorder="1" applyAlignment="1" applyProtection="1">
      <alignment vertical="center" wrapText="1"/>
      <protection locked="0"/>
    </xf>
    <xf numFmtId="191" fontId="54" fillId="6" borderId="54" xfId="4" applyFont="1" applyFill="1" applyBorder="1" applyAlignment="1" applyProtection="1">
      <alignment vertical="center" wrapText="1"/>
      <protection locked="0"/>
    </xf>
    <xf numFmtId="191"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1" fontId="53" fillId="0" borderId="0" xfId="4" applyFont="1" applyAlignment="1" applyProtection="1">
      <alignment horizontal="right"/>
      <protection locked="0"/>
    </xf>
    <xf numFmtId="191" fontId="19" fillId="0" borderId="0" xfId="4" applyFont="1" applyAlignment="1">
      <alignment horizontal="right"/>
    </xf>
    <xf numFmtId="191" fontId="102" fillId="6" borderId="46" xfId="4" applyFont="1" applyFill="1" applyBorder="1" applyAlignment="1" applyProtection="1">
      <alignment vertical="center"/>
      <protection locked="0"/>
    </xf>
    <xf numFmtId="191" fontId="102" fillId="6" borderId="36" xfId="4" applyFont="1" applyFill="1" applyBorder="1" applyAlignment="1" applyProtection="1">
      <alignment vertical="center"/>
      <protection locked="0"/>
    </xf>
    <xf numFmtId="191" fontId="102" fillId="6" borderId="22" xfId="4" applyFont="1" applyFill="1" applyBorder="1" applyAlignment="1" applyProtection="1">
      <alignment vertical="center"/>
      <protection locked="0"/>
    </xf>
    <xf numFmtId="191"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1"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1" fontId="19" fillId="0" borderId="0" xfId="4" applyFont="1" applyAlignment="1" applyProtection="1">
      <alignment horizontal="right"/>
      <protection locked="0"/>
    </xf>
    <xf numFmtId="191" fontId="102" fillId="6" borderId="4" xfId="4" applyFont="1" applyFill="1" applyBorder="1" applyAlignment="1" applyProtection="1">
      <alignment vertical="center"/>
      <protection locked="0"/>
    </xf>
    <xf numFmtId="191" fontId="102" fillId="6" borderId="60" xfId="4" applyFont="1" applyFill="1" applyBorder="1" applyAlignment="1" applyProtection="1">
      <alignment vertical="center"/>
      <protection locked="0"/>
    </xf>
    <xf numFmtId="191" fontId="102" fillId="6" borderId="7" xfId="4" applyFont="1" applyFill="1" applyBorder="1" applyAlignment="1" applyProtection="1">
      <alignment vertical="center"/>
      <protection locked="0"/>
    </xf>
    <xf numFmtId="191"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1" fontId="80" fillId="6" borderId="12" xfId="4" applyFont="1" applyFill="1" applyBorder="1" applyAlignment="1" applyProtection="1">
      <alignment horizontal="left" vertical="center" wrapText="1"/>
      <protection locked="0"/>
    </xf>
    <xf numFmtId="191" fontId="136" fillId="6" borderId="74" xfId="4" applyFont="1" applyFill="1" applyBorder="1" applyAlignment="1" applyProtection="1">
      <alignment vertical="center"/>
      <protection locked="0"/>
    </xf>
    <xf numFmtId="191" fontId="19" fillId="6" borderId="74" xfId="4" applyFont="1" applyFill="1" applyBorder="1" applyAlignment="1" applyProtection="1">
      <alignment vertical="center"/>
      <protection locked="0"/>
    </xf>
    <xf numFmtId="191"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1"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1" fontId="54" fillId="6" borderId="1" xfId="4" applyFont="1" applyFill="1" applyBorder="1" applyAlignment="1" applyProtection="1">
      <alignment horizontal="left" vertical="center"/>
      <protection locked="0"/>
    </xf>
    <xf numFmtId="191" fontId="53" fillId="6" borderId="158" xfId="4" applyFont="1" applyFill="1" applyBorder="1" applyAlignment="1">
      <alignment horizontal="left" vertical="center"/>
    </xf>
    <xf numFmtId="191"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1"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1" fontId="54" fillId="6" borderId="5" xfId="4" applyFont="1" applyFill="1" applyBorder="1" applyAlignment="1" applyProtection="1">
      <alignment horizontal="left" vertical="center"/>
      <protection locked="0"/>
    </xf>
    <xf numFmtId="191"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1" fontId="53" fillId="0" borderId="0" xfId="4" applyFont="1" applyFill="1" applyBorder="1" applyAlignment="1" applyProtection="1">
      <alignment horizontal="left"/>
      <protection locked="0"/>
    </xf>
    <xf numFmtId="191"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1" fontId="53" fillId="6" borderId="1" xfId="4" applyFont="1" applyFill="1" applyBorder="1" applyAlignment="1">
      <alignment horizontal="left"/>
    </xf>
    <xf numFmtId="191" fontId="53" fillId="6" borderId="24" xfId="4" applyFont="1" applyFill="1" applyBorder="1" applyAlignment="1">
      <alignment horizontal="left"/>
    </xf>
    <xf numFmtId="191"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1" fontId="53" fillId="6" borderId="32" xfId="4" applyFont="1" applyFill="1" applyBorder="1" applyAlignment="1">
      <alignment horizontal="left"/>
    </xf>
    <xf numFmtId="191" fontId="53" fillId="6" borderId="49" xfId="4" applyFont="1" applyFill="1" applyBorder="1" applyAlignment="1">
      <alignment horizontal="left" vertical="center"/>
    </xf>
    <xf numFmtId="191" fontId="19" fillId="0" borderId="0" xfId="4" applyFont="1" applyFill="1" applyAlignment="1" applyProtection="1">
      <alignment horizontal="left"/>
      <protection locked="0"/>
    </xf>
    <xf numFmtId="191" fontId="3" fillId="0" borderId="0" xfId="4" applyFont="1" applyFill="1" applyAlignment="1" applyProtection="1">
      <alignment horizontal="left"/>
      <protection locked="0"/>
    </xf>
    <xf numFmtId="191" fontId="242" fillId="0" borderId="0" xfId="4" applyFont="1" applyAlignment="1" applyProtection="1">
      <alignment horizontal="left" vertical="center"/>
      <protection locked="0"/>
    </xf>
    <xf numFmtId="191" fontId="242" fillId="0" borderId="0" xfId="4" applyFont="1" applyAlignment="1">
      <alignment horizontal="left"/>
    </xf>
    <xf numFmtId="191" fontId="80" fillId="6" borderId="74" xfId="4" applyFont="1" applyFill="1" applyBorder="1" applyAlignment="1" applyProtection="1">
      <alignment vertical="center"/>
      <protection locked="0"/>
    </xf>
    <xf numFmtId="191" fontId="143" fillId="11" borderId="125" xfId="9" applyFont="1" applyFill="1" applyBorder="1" applyAlignment="1" applyProtection="1">
      <alignment horizontal="left" vertical="center" wrapText="1"/>
    </xf>
    <xf numFmtId="191" fontId="99" fillId="6" borderId="11" xfId="0" applyFont="1" applyFill="1" applyBorder="1" applyAlignment="1" applyProtection="1">
      <alignment vertical="center"/>
    </xf>
    <xf numFmtId="191" fontId="99" fillId="6" borderId="14" xfId="0" applyFont="1" applyFill="1" applyBorder="1" applyAlignment="1" applyProtection="1">
      <alignment vertical="center"/>
    </xf>
    <xf numFmtId="191" fontId="99" fillId="6" borderId="41" xfId="0" applyFont="1" applyFill="1" applyBorder="1" applyAlignment="1" applyProtection="1">
      <alignment vertical="center"/>
    </xf>
    <xf numFmtId="191" fontId="0" fillId="0" borderId="0" xfId="0" applyNumberFormat="1">
      <alignment vertical="center"/>
    </xf>
    <xf numFmtId="191" fontId="99" fillId="6" borderId="1" xfId="0" applyFont="1" applyFill="1" applyBorder="1" applyAlignment="1" applyProtection="1">
      <alignment horizontal="left" vertical="center" wrapText="1"/>
    </xf>
    <xf numFmtId="191" fontId="139" fillId="6" borderId="15" xfId="0" applyFont="1" applyFill="1" applyBorder="1" applyAlignment="1" applyProtection="1">
      <alignment vertical="center" wrapText="1"/>
    </xf>
    <xf numFmtId="191" fontId="138" fillId="6" borderId="13" xfId="0" applyFont="1" applyFill="1" applyBorder="1" applyAlignment="1" applyProtection="1">
      <alignment vertical="center" wrapText="1"/>
    </xf>
    <xf numFmtId="191" fontId="108" fillId="6" borderId="16" xfId="0" applyNumberFormat="1" applyFont="1" applyFill="1" applyBorder="1" applyAlignment="1" applyProtection="1">
      <alignment horizontal="left" vertical="center"/>
      <protection locked="0"/>
    </xf>
    <xf numFmtId="191" fontId="0" fillId="6" borderId="19" xfId="0" applyNumberFormat="1" applyFill="1" applyBorder="1" applyAlignment="1" applyProtection="1">
      <alignment horizontal="left" vertical="center"/>
      <protection locked="0"/>
    </xf>
    <xf numFmtId="191" fontId="0" fillId="6" borderId="31" xfId="0" applyNumberFormat="1" applyFill="1" applyBorder="1" applyAlignment="1" applyProtection="1">
      <alignment horizontal="left" vertical="center"/>
      <protection locked="0"/>
    </xf>
    <xf numFmtId="191" fontId="0" fillId="0" borderId="0" xfId="0" applyNumberFormat="1" applyAlignment="1" applyProtection="1">
      <alignment horizontal="left" vertical="center"/>
      <protection locked="0"/>
    </xf>
    <xf numFmtId="191" fontId="0" fillId="6" borderId="18" xfId="0" applyNumberFormat="1" applyFill="1" applyBorder="1" applyAlignment="1" applyProtection="1">
      <alignment horizontal="left" vertical="center"/>
      <protection locked="0"/>
    </xf>
    <xf numFmtId="191" fontId="0" fillId="6" borderId="0" xfId="0" applyNumberFormat="1" applyFill="1" applyBorder="1" applyAlignment="1" applyProtection="1">
      <alignment horizontal="left" vertical="center"/>
      <protection locked="0"/>
    </xf>
    <xf numFmtId="191" fontId="0" fillId="6" borderId="56" xfId="0" applyNumberFormat="1" applyFill="1" applyBorder="1" applyAlignment="1" applyProtection="1">
      <alignment horizontal="left" vertical="center"/>
      <protection locked="0"/>
    </xf>
    <xf numFmtId="191"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1" fontId="0" fillId="6" borderId="1" xfId="0" applyNumberFormat="1" applyFill="1" applyBorder="1" applyAlignment="1" applyProtection="1">
      <alignment horizontal="left" vertical="center"/>
      <protection locked="0"/>
    </xf>
    <xf numFmtId="191" fontId="0" fillId="6" borderId="1" xfId="0" applyNumberFormat="1" applyFill="1" applyBorder="1" applyAlignment="1" applyProtection="1">
      <alignment horizontal="left" vertical="center"/>
    </xf>
    <xf numFmtId="191" fontId="0" fillId="0" borderId="23" xfId="0" applyNumberFormat="1" applyBorder="1" applyAlignment="1" applyProtection="1">
      <alignment horizontal="left" vertical="center"/>
      <protection locked="0"/>
    </xf>
    <xf numFmtId="194"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1" fontId="0" fillId="6" borderId="24" xfId="0" applyNumberFormat="1" applyFill="1" applyBorder="1" applyAlignment="1" applyProtection="1">
      <alignment horizontal="left" vertical="center"/>
    </xf>
    <xf numFmtId="191" fontId="0" fillId="0" borderId="1" xfId="0" applyNumberFormat="1" applyFill="1" applyBorder="1" applyAlignment="1" applyProtection="1">
      <alignment horizontal="left" vertical="center"/>
      <protection locked="0"/>
    </xf>
    <xf numFmtId="191" fontId="0" fillId="0" borderId="1" xfId="0" applyNumberFormat="1" applyBorder="1" applyAlignment="1" applyProtection="1">
      <alignment horizontal="left" vertical="center"/>
      <protection locked="0"/>
    </xf>
    <xf numFmtId="194" fontId="0" fillId="6" borderId="24" xfId="0" applyNumberFormat="1" applyFill="1" applyBorder="1" applyAlignment="1" applyProtection="1">
      <alignment horizontal="left" vertical="center"/>
    </xf>
    <xf numFmtId="191" fontId="0" fillId="6" borderId="25" xfId="0" applyNumberFormat="1" applyFill="1" applyBorder="1" applyAlignment="1" applyProtection="1">
      <alignment horizontal="left" vertical="center"/>
    </xf>
    <xf numFmtId="191" fontId="0" fillId="6" borderId="32" xfId="0" applyNumberFormat="1" applyFill="1" applyBorder="1" applyAlignment="1" applyProtection="1">
      <alignment horizontal="left" vertical="center"/>
    </xf>
    <xf numFmtId="191" fontId="0" fillId="6" borderId="47" xfId="0" applyNumberFormat="1" applyFill="1" applyBorder="1" applyAlignment="1" applyProtection="1">
      <alignment horizontal="left" vertical="center"/>
      <protection locked="0"/>
    </xf>
    <xf numFmtId="191" fontId="0" fillId="6" borderId="43" xfId="0" applyNumberFormat="1" applyFill="1" applyBorder="1" applyAlignment="1" applyProtection="1">
      <alignment horizontal="left" vertical="center"/>
      <protection locked="0"/>
    </xf>
    <xf numFmtId="191" fontId="246" fillId="6" borderId="23" xfId="0" applyFont="1" applyFill="1" applyBorder="1" applyAlignment="1" applyProtection="1">
      <alignment horizontal="left" vertical="center"/>
    </xf>
    <xf numFmtId="191" fontId="246" fillId="6" borderId="1" xfId="0" applyFont="1" applyFill="1" applyBorder="1" applyAlignment="1" applyProtection="1">
      <alignment horizontal="left" vertical="center"/>
    </xf>
    <xf numFmtId="191" fontId="246" fillId="6" borderId="24" xfId="0" applyFont="1" applyFill="1" applyBorder="1" applyAlignment="1" applyProtection="1">
      <alignment horizontal="left" vertical="center"/>
    </xf>
    <xf numFmtId="191"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1" fontId="246" fillId="6" borderId="18" xfId="0" applyFont="1" applyFill="1" applyBorder="1" applyAlignment="1" applyProtection="1">
      <alignment horizontal="left" vertical="center"/>
    </xf>
    <xf numFmtId="191" fontId="246" fillId="6" borderId="0" xfId="0" applyFont="1" applyFill="1" applyBorder="1" applyAlignment="1" applyProtection="1">
      <alignment horizontal="left" vertical="center"/>
    </xf>
    <xf numFmtId="191" fontId="246" fillId="6" borderId="56" xfId="0" applyFont="1" applyFill="1" applyBorder="1" applyAlignment="1" applyProtection="1">
      <alignment horizontal="left" vertical="center"/>
    </xf>
    <xf numFmtId="191" fontId="246" fillId="6" borderId="18" xfId="0" applyFont="1" applyFill="1" applyBorder="1" applyAlignment="1" applyProtection="1">
      <alignment horizontal="left"/>
    </xf>
    <xf numFmtId="191" fontId="246" fillId="6" borderId="0" xfId="0" applyFont="1" applyFill="1" applyBorder="1" applyAlignment="1" applyProtection="1">
      <alignment horizontal="left"/>
    </xf>
    <xf numFmtId="191" fontId="246" fillId="6" borderId="56" xfId="0" applyFont="1" applyFill="1" applyBorder="1" applyAlignment="1" applyProtection="1">
      <alignment horizontal="left"/>
    </xf>
    <xf numFmtId="191" fontId="246" fillId="6" borderId="23" xfId="0" applyFont="1" applyFill="1" applyBorder="1" applyAlignment="1" applyProtection="1">
      <alignment horizontal="left"/>
    </xf>
    <xf numFmtId="191" fontId="246" fillId="20" borderId="1" xfId="0" applyFont="1" applyFill="1" applyBorder="1" applyAlignment="1" applyProtection="1">
      <alignment horizontal="left"/>
    </xf>
    <xf numFmtId="191" fontId="246" fillId="6" borderId="1" xfId="0" applyFont="1" applyFill="1" applyBorder="1" applyAlignment="1" applyProtection="1">
      <alignment horizontal="left"/>
    </xf>
    <xf numFmtId="191" fontId="246" fillId="6" borderId="5" xfId="0" applyFont="1" applyFill="1" applyBorder="1" applyAlignment="1" applyProtection="1">
      <alignment horizontal="left"/>
    </xf>
    <xf numFmtId="191" fontId="246" fillId="6" borderId="54" xfId="0" applyFont="1" applyFill="1" applyBorder="1" applyAlignment="1" applyProtection="1">
      <alignment horizontal="left"/>
    </xf>
    <xf numFmtId="191"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1" fontId="246" fillId="6" borderId="25" xfId="0" applyFont="1" applyFill="1" applyBorder="1" applyAlignment="1" applyProtection="1">
      <alignment horizontal="left"/>
    </xf>
    <xf numFmtId="191" fontId="246" fillId="20" borderId="32" xfId="0" applyFont="1" applyFill="1" applyBorder="1" applyAlignment="1" applyProtection="1">
      <alignment horizontal="left"/>
    </xf>
    <xf numFmtId="191" fontId="246" fillId="6" borderId="32" xfId="0" applyFont="1" applyFill="1" applyBorder="1" applyAlignment="1" applyProtection="1">
      <alignment horizontal="left"/>
    </xf>
    <xf numFmtId="191" fontId="246" fillId="6" borderId="47" xfId="0" applyFont="1" applyFill="1" applyBorder="1" applyAlignment="1" applyProtection="1">
      <alignment horizontal="left"/>
    </xf>
    <xf numFmtId="191" fontId="246" fillId="6" borderId="43" xfId="0" applyFont="1" applyFill="1" applyBorder="1" applyAlignment="1" applyProtection="1">
      <alignment horizontal="left"/>
    </xf>
    <xf numFmtId="191" fontId="246" fillId="0" borderId="0" xfId="0" applyNumberFormat="1" applyFont="1" applyAlignment="1" applyProtection="1">
      <alignment horizontal="left" vertical="center"/>
      <protection locked="0"/>
    </xf>
    <xf numFmtId="191"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1"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1" fontId="77" fillId="6" borderId="1" xfId="0" applyNumberFormat="1" applyFont="1" applyFill="1" applyBorder="1" applyAlignment="1" applyProtection="1">
      <alignment horizontal="center" vertical="center" wrapText="1"/>
      <protection locked="0"/>
    </xf>
    <xf numFmtId="191" fontId="108" fillId="6" borderId="160" xfId="0" applyNumberFormat="1" applyFont="1" applyFill="1" applyBorder="1" applyAlignment="1" applyProtection="1">
      <alignment horizontal="left" vertical="center"/>
    </xf>
    <xf numFmtId="191" fontId="0" fillId="6" borderId="161" xfId="0" applyNumberFormat="1" applyFill="1" applyBorder="1" applyAlignment="1" applyProtection="1">
      <alignment horizontal="left" vertical="center"/>
    </xf>
    <xf numFmtId="191" fontId="0" fillId="6" borderId="162" xfId="0" applyNumberFormat="1" applyFill="1" applyBorder="1" applyAlignment="1" applyProtection="1">
      <alignment horizontal="left" vertical="center"/>
    </xf>
    <xf numFmtId="191" fontId="0" fillId="0" borderId="161" xfId="0" applyNumberFormat="1" applyBorder="1" applyAlignment="1" applyProtection="1">
      <alignment horizontal="left" vertical="center"/>
      <protection locked="0"/>
    </xf>
    <xf numFmtId="191" fontId="246" fillId="0" borderId="161" xfId="0" applyNumberFormat="1" applyFont="1" applyBorder="1" applyAlignment="1" applyProtection="1">
      <alignment horizontal="left" vertical="center"/>
      <protection locked="0"/>
    </xf>
    <xf numFmtId="191" fontId="0" fillId="6" borderId="40" xfId="0" applyNumberFormat="1" applyFill="1" applyBorder="1" applyAlignment="1" applyProtection="1">
      <alignment horizontal="left" vertical="center"/>
    </xf>
    <xf numFmtId="191" fontId="0" fillId="6" borderId="17" xfId="0" applyNumberFormat="1" applyFill="1" applyBorder="1" applyAlignment="1" applyProtection="1">
      <alignment horizontal="left" vertical="center"/>
    </xf>
    <xf numFmtId="191" fontId="0" fillId="6" borderId="62" xfId="0" applyNumberFormat="1" applyFill="1" applyBorder="1" applyAlignment="1" applyProtection="1">
      <alignment horizontal="left" vertical="center"/>
    </xf>
    <xf numFmtId="191" fontId="0" fillId="0" borderId="0" xfId="0" applyNumberFormat="1" applyAlignment="1" applyProtection="1">
      <alignment horizontal="left" vertical="center"/>
    </xf>
    <xf numFmtId="191" fontId="0" fillId="6" borderId="6" xfId="0" applyNumberFormat="1" applyFill="1" applyBorder="1" applyAlignment="1" applyProtection="1">
      <alignment horizontal="left" vertical="center"/>
    </xf>
    <xf numFmtId="191" fontId="0" fillId="6" borderId="9" xfId="0" applyNumberFormat="1" applyFill="1" applyBorder="1" applyAlignment="1" applyProtection="1">
      <alignment horizontal="left" vertical="center"/>
    </xf>
    <xf numFmtId="191" fontId="0" fillId="6" borderId="28" xfId="0" applyNumberFormat="1" applyFill="1" applyBorder="1" applyAlignment="1" applyProtection="1">
      <alignment horizontal="left" vertical="center"/>
    </xf>
    <xf numFmtId="191" fontId="0" fillId="6" borderId="10" xfId="0" applyNumberFormat="1" applyFill="1" applyBorder="1" applyAlignment="1" applyProtection="1">
      <alignment horizontal="left" vertical="center"/>
    </xf>
    <xf numFmtId="191" fontId="0" fillId="6" borderId="5" xfId="0" applyNumberFormat="1" applyFill="1" applyBorder="1" applyAlignment="1" applyProtection="1">
      <alignment horizontal="left" vertical="center"/>
    </xf>
    <xf numFmtId="191" fontId="95" fillId="6" borderId="23" xfId="0" applyNumberFormat="1" applyFont="1" applyFill="1" applyBorder="1" applyAlignment="1" applyProtection="1">
      <alignment horizontal="left" vertical="center"/>
    </xf>
    <xf numFmtId="191" fontId="95" fillId="6" borderId="14" xfId="0" applyNumberFormat="1" applyFont="1" applyFill="1" applyBorder="1" applyAlignment="1" applyProtection="1">
      <alignment horizontal="left" vertical="center"/>
    </xf>
    <xf numFmtId="191" fontId="0" fillId="6" borderId="58" xfId="0" applyNumberFormat="1" applyFill="1" applyBorder="1" applyAlignment="1" applyProtection="1">
      <alignment horizontal="left" vertical="center"/>
    </xf>
    <xf numFmtId="191" fontId="0" fillId="6" borderId="15" xfId="0" applyNumberFormat="1" applyFill="1" applyBorder="1" applyAlignment="1" applyProtection="1">
      <alignment horizontal="left" vertical="center"/>
    </xf>
    <xf numFmtId="191" fontId="0" fillId="6" borderId="53" xfId="0" applyNumberFormat="1" applyFill="1" applyBorder="1" applyAlignment="1" applyProtection="1">
      <alignment horizontal="left" vertical="center"/>
    </xf>
    <xf numFmtId="191" fontId="95" fillId="6" borderId="25" xfId="0" applyNumberFormat="1" applyFont="1" applyFill="1" applyBorder="1" applyAlignment="1" applyProtection="1">
      <alignment horizontal="left" vertical="center"/>
    </xf>
    <xf numFmtId="191" fontId="0" fillId="6" borderId="33" xfId="0" applyNumberFormat="1" applyFill="1" applyBorder="1" applyAlignment="1" applyProtection="1">
      <alignment horizontal="left" vertical="center"/>
    </xf>
    <xf numFmtId="191" fontId="0" fillId="6" borderId="49" xfId="0" applyNumberFormat="1" applyFill="1" applyBorder="1" applyAlignment="1" applyProtection="1">
      <alignment horizontal="left" vertical="center"/>
    </xf>
    <xf numFmtId="191" fontId="107" fillId="6" borderId="6" xfId="0" applyNumberFormat="1" applyFont="1" applyFill="1" applyBorder="1" applyAlignment="1" applyProtection="1">
      <alignment horizontal="left" vertical="center" wrapText="1"/>
    </xf>
    <xf numFmtId="191" fontId="107" fillId="6" borderId="9" xfId="0" applyNumberFormat="1" applyFont="1" applyFill="1" applyBorder="1" applyAlignment="1" applyProtection="1">
      <alignment horizontal="left" vertical="center" wrapText="1"/>
    </xf>
    <xf numFmtId="191" fontId="107" fillId="6" borderId="10" xfId="0" applyNumberFormat="1" applyFont="1" applyFill="1" applyBorder="1" applyAlignment="1" applyProtection="1">
      <alignment horizontal="left" vertical="center" wrapText="1"/>
    </xf>
    <xf numFmtId="191" fontId="107" fillId="6" borderId="23" xfId="0" applyNumberFormat="1" applyFont="1" applyFill="1" applyBorder="1" applyAlignment="1" applyProtection="1">
      <alignment horizontal="left" vertical="center" wrapText="1"/>
    </xf>
    <xf numFmtId="191" fontId="107" fillId="6" borderId="1" xfId="0" applyNumberFormat="1" applyFont="1" applyFill="1" applyBorder="1" applyAlignment="1" applyProtection="1">
      <alignment horizontal="left" vertical="center" wrapText="1"/>
    </xf>
    <xf numFmtId="191" fontId="107" fillId="6" borderId="24" xfId="0" applyNumberFormat="1" applyFont="1" applyFill="1" applyBorder="1" applyAlignment="1" applyProtection="1">
      <alignment horizontal="left" vertical="center" wrapText="1"/>
    </xf>
    <xf numFmtId="191" fontId="107" fillId="6" borderId="11" xfId="0" applyNumberFormat="1" applyFont="1" applyFill="1" applyBorder="1" applyAlignment="1" applyProtection="1">
      <alignment horizontal="left" vertical="center" wrapText="1"/>
    </xf>
    <xf numFmtId="191" fontId="107" fillId="6" borderId="13" xfId="0" applyNumberFormat="1" applyFont="1" applyFill="1" applyBorder="1" applyAlignment="1" applyProtection="1">
      <alignment horizontal="left" vertical="center" wrapText="1"/>
    </xf>
    <xf numFmtId="191" fontId="107" fillId="6" borderId="61" xfId="0" applyNumberFormat="1" applyFont="1" applyFill="1" applyBorder="1" applyAlignment="1" applyProtection="1">
      <alignment horizontal="left" vertical="center" wrapText="1"/>
    </xf>
    <xf numFmtId="191" fontId="220" fillId="6" borderId="60" xfId="0" applyNumberFormat="1" applyFont="1" applyFill="1" applyBorder="1" applyAlignment="1" applyProtection="1">
      <alignment horizontal="left" vertical="center"/>
    </xf>
    <xf numFmtId="191" fontId="220" fillId="6" borderId="0" xfId="0" applyNumberFormat="1" applyFont="1" applyFill="1" applyBorder="1" applyAlignment="1" applyProtection="1">
      <alignment horizontal="left" vertical="center"/>
    </xf>
    <xf numFmtId="191" fontId="248" fillId="0" borderId="0" xfId="0" applyNumberFormat="1" applyFont="1" applyAlignment="1" applyProtection="1">
      <alignment horizontal="left" vertical="center"/>
    </xf>
    <xf numFmtId="191" fontId="107" fillId="6" borderId="46" xfId="0" applyNumberFormat="1" applyFont="1" applyFill="1" applyBorder="1" applyAlignment="1" applyProtection="1">
      <alignment horizontal="left" vertical="center" wrapText="1"/>
    </xf>
    <xf numFmtId="191" fontId="107" fillId="6" borderId="22" xfId="0" applyNumberFormat="1" applyFont="1" applyFill="1" applyBorder="1" applyAlignment="1" applyProtection="1">
      <alignment horizontal="left" vertical="center" wrapText="1"/>
    </xf>
    <xf numFmtId="191" fontId="107" fillId="6" borderId="0" xfId="0" applyNumberFormat="1" applyFont="1" applyFill="1" applyBorder="1" applyAlignment="1" applyProtection="1">
      <alignment horizontal="left" vertical="center" wrapText="1"/>
    </xf>
    <xf numFmtId="191" fontId="107" fillId="6" borderId="28" xfId="0" applyNumberFormat="1" applyFont="1" applyFill="1" applyBorder="1" applyAlignment="1" applyProtection="1">
      <alignment horizontal="left" vertical="center"/>
    </xf>
    <xf numFmtId="191" fontId="107" fillId="6" borderId="30" xfId="0" applyNumberFormat="1" applyFont="1" applyFill="1" applyBorder="1" applyAlignment="1" applyProtection="1">
      <alignment horizontal="left" vertical="center"/>
    </xf>
    <xf numFmtId="191" fontId="107" fillId="6" borderId="10" xfId="0" applyNumberFormat="1" applyFont="1" applyFill="1" applyBorder="1" applyAlignment="1" applyProtection="1">
      <alignment horizontal="left" vertical="center"/>
    </xf>
    <xf numFmtId="191" fontId="107" fillId="6" borderId="0" xfId="0" applyNumberFormat="1" applyFont="1" applyFill="1" applyBorder="1" applyAlignment="1" applyProtection="1">
      <alignment horizontal="left" vertical="center"/>
    </xf>
    <xf numFmtId="191" fontId="107" fillId="6" borderId="5" xfId="0" applyNumberFormat="1" applyFont="1" applyFill="1" applyBorder="1" applyAlignment="1" applyProtection="1">
      <alignment horizontal="left" vertical="center"/>
    </xf>
    <xf numFmtId="191" fontId="107" fillId="6" borderId="3" xfId="0" applyNumberFormat="1" applyFont="1" applyFill="1" applyBorder="1" applyAlignment="1" applyProtection="1">
      <alignment horizontal="left" vertical="center"/>
    </xf>
    <xf numFmtId="191" fontId="107" fillId="6" borderId="24" xfId="0" applyNumberFormat="1" applyFont="1" applyFill="1" applyBorder="1" applyAlignment="1" applyProtection="1">
      <alignment horizontal="left" vertical="center"/>
    </xf>
    <xf numFmtId="191" fontId="107" fillId="6" borderId="33" xfId="0" applyNumberFormat="1" applyFont="1" applyFill="1" applyBorder="1" applyAlignment="1" applyProtection="1">
      <alignment horizontal="left" vertical="center"/>
    </xf>
    <xf numFmtId="191" fontId="107" fillId="6" borderId="66" xfId="0" applyNumberFormat="1" applyFont="1" applyFill="1" applyBorder="1" applyAlignment="1" applyProtection="1">
      <alignment horizontal="left" vertical="center"/>
    </xf>
    <xf numFmtId="191" fontId="107" fillId="6" borderId="49" xfId="0" applyNumberFormat="1" applyFont="1" applyFill="1" applyBorder="1" applyAlignment="1" applyProtection="1">
      <alignment horizontal="left" vertical="center"/>
    </xf>
    <xf numFmtId="191" fontId="107" fillId="6" borderId="26" xfId="0" applyNumberFormat="1" applyFont="1" applyFill="1" applyBorder="1" applyAlignment="1" applyProtection="1">
      <alignment horizontal="left" vertical="center"/>
    </xf>
    <xf numFmtId="191" fontId="107" fillId="6" borderId="84" xfId="0" applyNumberFormat="1" applyFont="1" applyFill="1" applyBorder="1" applyAlignment="1" applyProtection="1">
      <alignment horizontal="left" vertical="center"/>
    </xf>
    <xf numFmtId="191" fontId="107" fillId="6" borderId="34" xfId="0" applyNumberFormat="1" applyFont="1" applyFill="1" applyBorder="1" applyAlignment="1" applyProtection="1">
      <alignment horizontal="left" vertical="center"/>
    </xf>
    <xf numFmtId="191" fontId="107" fillId="6" borderId="70" xfId="0" applyNumberFormat="1" applyFont="1" applyFill="1" applyBorder="1" applyAlignment="1" applyProtection="1">
      <alignment horizontal="left" vertical="center"/>
    </xf>
    <xf numFmtId="191" fontId="107" fillId="6" borderId="67" xfId="0" applyNumberFormat="1" applyFont="1" applyFill="1" applyBorder="1" applyAlignment="1" applyProtection="1">
      <alignment horizontal="left" vertical="center"/>
    </xf>
    <xf numFmtId="191" fontId="107" fillId="6" borderId="1" xfId="0" applyNumberFormat="1" applyFont="1" applyFill="1" applyBorder="1" applyAlignment="1" applyProtection="1">
      <alignment horizontal="left" vertical="center"/>
    </xf>
    <xf numFmtId="191" fontId="107" fillId="0" borderId="0" xfId="0" applyNumberFormat="1" applyFont="1" applyBorder="1" applyAlignment="1" applyProtection="1">
      <alignment horizontal="left" vertical="center"/>
    </xf>
    <xf numFmtId="191" fontId="107" fillId="6" borderId="4" xfId="0" applyNumberFormat="1" applyFont="1" applyFill="1" applyBorder="1" applyAlignment="1" applyProtection="1">
      <alignment horizontal="left" vertical="center" wrapText="1"/>
    </xf>
    <xf numFmtId="191" fontId="107" fillId="6" borderId="2" xfId="0" applyNumberFormat="1" applyFont="1" applyFill="1" applyBorder="1" applyAlignment="1" applyProtection="1">
      <alignment horizontal="left" vertical="center" wrapText="1"/>
    </xf>
    <xf numFmtId="191" fontId="107" fillId="6" borderId="7" xfId="0" applyNumberFormat="1" applyFont="1" applyFill="1" applyBorder="1" applyAlignment="1" applyProtection="1">
      <alignment horizontal="left" vertical="center" wrapText="1"/>
    </xf>
    <xf numFmtId="191" fontId="107" fillId="6" borderId="3" xfId="0" applyNumberFormat="1" applyFont="1" applyFill="1" applyBorder="1" applyAlignment="1" applyProtection="1">
      <alignment horizontal="left" vertical="center" wrapText="1"/>
    </xf>
    <xf numFmtId="191" fontId="107" fillId="6" borderId="2" xfId="0" applyNumberFormat="1" applyFont="1" applyFill="1" applyBorder="1" applyAlignment="1" applyProtection="1">
      <alignment horizontal="left" vertical="center"/>
    </xf>
    <xf numFmtId="191" fontId="107" fillId="6" borderId="0" xfId="0" applyNumberFormat="1" applyFont="1" applyFill="1" applyAlignment="1" applyProtection="1">
      <alignment horizontal="left" vertical="center"/>
    </xf>
    <xf numFmtId="191"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1" fontId="102" fillId="0" borderId="119" xfId="9" applyNumberFormat="1" applyFont="1" applyBorder="1" applyAlignment="1" applyProtection="1">
      <alignment horizontal="left" vertical="center"/>
    </xf>
    <xf numFmtId="191" fontId="102" fillId="6" borderId="120" xfId="9" applyNumberFormat="1" applyFont="1" applyFill="1" applyBorder="1" applyAlignment="1" applyProtection="1">
      <alignment horizontal="left" vertical="center"/>
    </xf>
    <xf numFmtId="191" fontId="102" fillId="6" borderId="119" xfId="9" applyNumberFormat="1" applyFont="1" applyFill="1" applyBorder="1" applyAlignment="1" applyProtection="1">
      <alignment horizontal="left" vertical="center"/>
    </xf>
    <xf numFmtId="191" fontId="97" fillId="6" borderId="119" xfId="10" applyNumberFormat="1" applyFont="1" applyFill="1" applyBorder="1" applyAlignment="1" applyProtection="1">
      <alignment horizontal="left" vertical="center"/>
    </xf>
    <xf numFmtId="191" fontId="22" fillId="6" borderId="119" xfId="10" applyNumberFormat="1" applyFont="1" applyFill="1" applyBorder="1" applyAlignment="1" applyProtection="1">
      <alignment horizontal="left" vertical="center"/>
    </xf>
    <xf numFmtId="191" fontId="102" fillId="17" borderId="119" xfId="9" applyNumberFormat="1" applyFont="1" applyFill="1" applyBorder="1" applyAlignment="1" applyProtection="1">
      <alignment horizontal="left" vertical="center"/>
    </xf>
    <xf numFmtId="191" fontId="252" fillId="15" borderId="0" xfId="9" applyNumberFormat="1" applyFont="1" applyFill="1" applyAlignment="1" applyProtection="1">
      <alignment horizontal="left" vertical="center"/>
    </xf>
    <xf numFmtId="191" fontId="243" fillId="15" borderId="121" xfId="9" applyNumberFormat="1" applyFont="1" applyFill="1" applyBorder="1" applyAlignment="1" applyProtection="1">
      <alignment horizontal="left" vertical="center"/>
    </xf>
    <xf numFmtId="191" fontId="243" fillId="15" borderId="0" xfId="9" applyNumberFormat="1" applyFont="1" applyFill="1" applyBorder="1" applyAlignment="1" applyProtection="1">
      <alignment horizontal="left" vertical="center"/>
    </xf>
    <xf numFmtId="191"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1" fontId="168" fillId="15" borderId="0" xfId="9" applyNumberFormat="1" applyFont="1" applyFill="1" applyAlignment="1" applyProtection="1">
      <alignment horizontal="left" vertical="center"/>
    </xf>
    <xf numFmtId="191"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1" fontId="243" fillId="15" borderId="0" xfId="9" applyNumberFormat="1" applyFont="1" applyFill="1" applyAlignment="1" applyProtection="1">
      <alignment horizontal="left" vertical="center"/>
    </xf>
    <xf numFmtId="191" fontId="102" fillId="0" borderId="0" xfId="9" applyNumberFormat="1" applyFont="1" applyFill="1" applyAlignment="1" applyProtection="1">
      <alignment horizontal="left" vertical="center"/>
    </xf>
    <xf numFmtId="191" fontId="102" fillId="0" borderId="121" xfId="9" applyNumberFormat="1" applyFont="1" applyFill="1" applyBorder="1" applyAlignment="1" applyProtection="1">
      <alignment horizontal="left" vertical="center"/>
    </xf>
    <xf numFmtId="191" fontId="102" fillId="0" borderId="0" xfId="9" applyNumberFormat="1" applyFont="1" applyFill="1" applyBorder="1" applyAlignment="1" applyProtection="1">
      <alignment horizontal="left" vertical="center"/>
    </xf>
    <xf numFmtId="191"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1" fontId="99" fillId="0" borderId="0" xfId="9" applyNumberFormat="1" applyFont="1" applyAlignment="1" applyProtection="1">
      <alignment horizontal="left" vertical="center"/>
    </xf>
    <xf numFmtId="191" fontId="99" fillId="0" borderId="163" xfId="9" applyNumberFormat="1" applyFont="1" applyBorder="1" applyAlignment="1" applyProtection="1">
      <alignment horizontal="left" vertical="center"/>
    </xf>
    <xf numFmtId="191" fontId="99" fillId="0" borderId="164" xfId="9" applyNumberFormat="1" applyFont="1" applyBorder="1" applyAlignment="1" applyProtection="1">
      <alignment horizontal="left" vertical="center"/>
    </xf>
    <xf numFmtId="191"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1" fontId="53" fillId="6" borderId="1" xfId="9" applyNumberFormat="1" applyFont="1" applyFill="1" applyBorder="1" applyAlignment="1" applyProtection="1">
      <alignment horizontal="left" vertical="center" wrapText="1"/>
    </xf>
    <xf numFmtId="191" fontId="143" fillId="11" borderId="125" xfId="9" applyNumberFormat="1" applyFont="1" applyFill="1" applyBorder="1" applyAlignment="1" applyProtection="1">
      <alignment horizontal="left" vertical="center" wrapText="1"/>
    </xf>
    <xf numFmtId="191" fontId="143" fillId="12" borderId="126" xfId="9" applyNumberFormat="1" applyFont="1" applyFill="1" applyBorder="1" applyAlignment="1" applyProtection="1">
      <alignment horizontal="left" vertical="center" wrapText="1"/>
    </xf>
    <xf numFmtId="191" fontId="143" fillId="12" borderId="126" xfId="16" applyNumberFormat="1" applyFont="1" applyFill="1" applyBorder="1" applyAlignment="1" applyProtection="1">
      <alignment horizontal="left" vertical="center" wrapText="1"/>
    </xf>
    <xf numFmtId="191" fontId="143" fillId="12" borderId="130" xfId="16" applyNumberFormat="1" applyFont="1" applyFill="1" applyBorder="1" applyAlignment="1" applyProtection="1">
      <alignment horizontal="left" vertical="center" wrapText="1"/>
    </xf>
    <xf numFmtId="191"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1"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1" fontId="144" fillId="13" borderId="0" xfId="9" applyNumberFormat="1" applyFont="1" applyFill="1" applyAlignment="1" applyProtection="1">
      <alignment horizontal="left" vertical="center"/>
    </xf>
    <xf numFmtId="191" fontId="54" fillId="21" borderId="1" xfId="9" applyNumberFormat="1" applyFont="1" applyFill="1" applyBorder="1" applyAlignment="1" applyProtection="1">
      <alignment horizontal="left" vertical="center" wrapText="1"/>
    </xf>
    <xf numFmtId="191" fontId="253" fillId="21" borderId="125" xfId="9" applyNumberFormat="1" applyFont="1" applyFill="1" applyBorder="1" applyAlignment="1" applyProtection="1">
      <alignment horizontal="left" vertical="center" wrapText="1"/>
    </xf>
    <xf numFmtId="191" fontId="253" fillId="21" borderId="126" xfId="9" applyNumberFormat="1" applyFont="1" applyFill="1" applyBorder="1" applyAlignment="1" applyProtection="1">
      <alignment horizontal="left" vertical="center" wrapText="1"/>
    </xf>
    <xf numFmtId="191" fontId="253" fillId="21" borderId="126" xfId="16" applyNumberFormat="1" applyFont="1" applyFill="1" applyBorder="1" applyAlignment="1" applyProtection="1">
      <alignment horizontal="left" vertical="center" wrapText="1"/>
    </xf>
    <xf numFmtId="191" fontId="253" fillId="21" borderId="135" xfId="16" applyNumberFormat="1" applyFont="1" applyFill="1" applyBorder="1" applyAlignment="1" applyProtection="1">
      <alignment horizontal="left" vertical="center" wrapText="1"/>
    </xf>
    <xf numFmtId="191" fontId="253" fillId="21" borderId="130" xfId="16" applyNumberFormat="1" applyFont="1" applyFill="1" applyBorder="1" applyAlignment="1" applyProtection="1">
      <alignment horizontal="left" vertical="center" wrapText="1"/>
    </xf>
    <xf numFmtId="191"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1" fontId="144" fillId="21" borderId="0" xfId="9" applyNumberFormat="1" applyFont="1" applyFill="1" applyAlignment="1" applyProtection="1">
      <alignment horizontal="left" vertical="center"/>
    </xf>
    <xf numFmtId="191" fontId="143" fillId="12" borderId="135" xfId="16" applyNumberFormat="1" applyFont="1" applyFill="1" applyBorder="1" applyAlignment="1" applyProtection="1">
      <alignment horizontal="left" vertical="center" wrapText="1"/>
    </xf>
    <xf numFmtId="191" fontId="53" fillId="18" borderId="166" xfId="9" applyNumberFormat="1" applyFont="1" applyFill="1" applyBorder="1" applyAlignment="1" applyProtection="1">
      <alignment horizontal="left" vertical="center" wrapText="1"/>
    </xf>
    <xf numFmtId="191" fontId="143" fillId="18" borderId="167" xfId="9" applyNumberFormat="1" applyFont="1" applyFill="1" applyBorder="1" applyAlignment="1" applyProtection="1">
      <alignment horizontal="left" vertical="center" wrapText="1"/>
    </xf>
    <xf numFmtId="191" fontId="143" fillId="18" borderId="168" xfId="9" applyNumberFormat="1" applyFont="1" applyFill="1" applyBorder="1" applyAlignment="1" applyProtection="1">
      <alignment horizontal="left" vertical="center" wrapText="1"/>
    </xf>
    <xf numFmtId="191" fontId="143" fillId="18" borderId="168" xfId="16" applyNumberFormat="1" applyFont="1" applyFill="1" applyBorder="1" applyAlignment="1" applyProtection="1">
      <alignment horizontal="left" vertical="center" wrapText="1"/>
    </xf>
    <xf numFmtId="191" fontId="143" fillId="18" borderId="169" xfId="16" applyNumberFormat="1" applyFont="1" applyFill="1" applyBorder="1" applyAlignment="1" applyProtection="1">
      <alignment horizontal="left" vertical="center" wrapText="1"/>
    </xf>
    <xf numFmtId="191" fontId="143" fillId="18" borderId="170" xfId="16" applyNumberFormat="1" applyFont="1" applyFill="1" applyBorder="1" applyAlignment="1" applyProtection="1">
      <alignment horizontal="left" vertical="center" wrapText="1"/>
    </xf>
    <xf numFmtId="191"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1" fontId="99" fillId="18" borderId="171" xfId="9" applyNumberFormat="1" applyFont="1" applyFill="1" applyBorder="1" applyAlignment="1" applyProtection="1">
      <alignment horizontal="left" vertical="center"/>
    </xf>
    <xf numFmtId="191" fontId="144" fillId="18" borderId="171" xfId="9" applyNumberFormat="1" applyFont="1" applyFill="1" applyBorder="1" applyAlignment="1" applyProtection="1">
      <alignment horizontal="left" vertical="center"/>
    </xf>
    <xf numFmtId="191" fontId="95" fillId="0" borderId="0" xfId="0" applyNumberFormat="1" applyFont="1">
      <alignment vertical="center"/>
    </xf>
    <xf numFmtId="191" fontId="102" fillId="0" borderId="0" xfId="9" applyNumberFormat="1" applyFont="1" applyAlignment="1" applyProtection="1">
      <alignment horizontal="left" vertical="center"/>
    </xf>
    <xf numFmtId="191" fontId="141" fillId="0" borderId="0" xfId="9" applyNumberFormat="1" applyFont="1" applyAlignment="1" applyProtection="1">
      <alignment vertical="center"/>
    </xf>
    <xf numFmtId="191"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1" fontId="246" fillId="6" borderId="18" xfId="0" applyNumberFormat="1" applyFont="1" applyFill="1" applyBorder="1" applyAlignment="1" applyProtection="1">
      <alignment horizontal="left" vertical="center"/>
    </xf>
    <xf numFmtId="191" fontId="246" fillId="6" borderId="40" xfId="0" applyNumberFormat="1" applyFont="1" applyFill="1" applyBorder="1" applyAlignment="1" applyProtection="1">
      <alignment horizontal="left" vertical="center"/>
    </xf>
    <xf numFmtId="191" fontId="246" fillId="6" borderId="17" xfId="0" applyNumberFormat="1" applyFont="1" applyFill="1" applyBorder="1" applyAlignment="1" applyProtection="1">
      <alignment horizontal="left" vertical="center"/>
    </xf>
    <xf numFmtId="191" fontId="246" fillId="6" borderId="62" xfId="0" applyNumberFormat="1" applyFont="1" applyFill="1" applyBorder="1" applyAlignment="1" applyProtection="1">
      <alignment horizontal="left" vertical="center"/>
    </xf>
    <xf numFmtId="191" fontId="246" fillId="6" borderId="0" xfId="0" applyNumberFormat="1" applyFont="1" applyFill="1" applyAlignment="1" applyProtection="1">
      <alignment horizontal="left" vertical="center"/>
    </xf>
    <xf numFmtId="191" fontId="255" fillId="6" borderId="47" xfId="0" applyNumberFormat="1" applyFont="1" applyFill="1" applyBorder="1" applyAlignment="1" applyProtection="1">
      <alignment vertical="center"/>
    </xf>
    <xf numFmtId="191" fontId="255" fillId="6" borderId="43" xfId="0" applyNumberFormat="1" applyFont="1" applyFill="1" applyBorder="1" applyAlignment="1" applyProtection="1">
      <alignment horizontal="right" vertical="center"/>
    </xf>
    <xf numFmtId="191" fontId="255" fillId="6" borderId="9" xfId="0" applyNumberFormat="1" applyFont="1" applyFill="1" applyBorder="1" applyAlignment="1" applyProtection="1">
      <alignment horizontal="left" vertical="center" wrapText="1"/>
    </xf>
    <xf numFmtId="191" fontId="256" fillId="6" borderId="19" xfId="0" applyNumberFormat="1" applyFont="1" applyFill="1" applyBorder="1" applyAlignment="1" applyProtection="1">
      <alignment horizontal="left" vertical="center"/>
    </xf>
    <xf numFmtId="191" fontId="254" fillId="6" borderId="28" xfId="0" applyNumberFormat="1" applyFont="1" applyFill="1" applyBorder="1" applyAlignment="1" applyProtection="1">
      <alignment horizontal="left" vertical="center"/>
    </xf>
    <xf numFmtId="191" fontId="256" fillId="6" borderId="18" xfId="0" applyNumberFormat="1" applyFont="1" applyFill="1" applyBorder="1" applyAlignment="1" applyProtection="1">
      <alignment horizontal="left" vertical="center"/>
    </xf>
    <xf numFmtId="191" fontId="255" fillId="6" borderId="1" xfId="0" applyNumberFormat="1" applyFont="1" applyFill="1" applyBorder="1" applyAlignment="1" applyProtection="1">
      <alignment horizontal="left" vertical="center" wrapText="1"/>
    </xf>
    <xf numFmtId="191" fontId="255" fillId="6" borderId="2" xfId="0" applyNumberFormat="1" applyFont="1" applyFill="1" applyBorder="1" applyAlignment="1" applyProtection="1">
      <alignment horizontal="left" vertical="center" wrapText="1"/>
    </xf>
    <xf numFmtId="191" fontId="256" fillId="6" borderId="0" xfId="0" applyNumberFormat="1" applyFont="1" applyFill="1" applyAlignment="1" applyProtection="1">
      <alignment horizontal="left" vertical="center"/>
    </xf>
    <xf numFmtId="191" fontId="254" fillId="6" borderId="32" xfId="0" applyNumberFormat="1" applyFont="1" applyFill="1" applyBorder="1" applyAlignment="1" applyProtection="1">
      <alignment horizontal="left" vertical="center"/>
    </xf>
    <xf numFmtId="191" fontId="254" fillId="6" borderId="33" xfId="0" applyNumberFormat="1" applyFont="1" applyFill="1" applyBorder="1" applyAlignment="1" applyProtection="1">
      <alignment horizontal="left" vertical="center"/>
    </xf>
    <xf numFmtId="191" fontId="255" fillId="6" borderId="40" xfId="0" applyNumberFormat="1" applyFont="1" applyFill="1" applyBorder="1" applyAlignment="1" applyProtection="1">
      <alignment horizontal="left" vertical="center" wrapText="1"/>
    </xf>
    <xf numFmtId="191" fontId="255" fillId="6" borderId="74" xfId="0" applyNumberFormat="1" applyFont="1" applyFill="1" applyBorder="1" applyAlignment="1" applyProtection="1">
      <alignment horizontal="left" vertical="center" wrapText="1"/>
    </xf>
    <xf numFmtId="191" fontId="255" fillId="6" borderId="32" xfId="0" applyNumberFormat="1" applyFont="1" applyFill="1" applyBorder="1" applyAlignment="1" applyProtection="1">
      <alignment horizontal="left" vertical="center" wrapText="1"/>
    </xf>
    <xf numFmtId="191" fontId="255" fillId="6" borderId="14" xfId="0" applyNumberFormat="1" applyFont="1" applyFill="1" applyBorder="1" applyAlignment="1" applyProtection="1">
      <alignment horizontal="left" vertical="center" wrapText="1"/>
    </xf>
    <xf numFmtId="191" fontId="255" fillId="6" borderId="1" xfId="18" applyNumberFormat="1" applyFont="1" applyFill="1" applyBorder="1" applyAlignment="1" applyProtection="1">
      <alignment horizontal="left" vertical="center" wrapText="1"/>
    </xf>
    <xf numFmtId="191" fontId="255" fillId="6" borderId="15" xfId="0" applyNumberFormat="1" applyFont="1" applyFill="1" applyBorder="1" applyAlignment="1" applyProtection="1">
      <alignment horizontal="left" vertical="center" wrapText="1"/>
    </xf>
    <xf numFmtId="191" fontId="255" fillId="6" borderId="13" xfId="0" applyNumberFormat="1" applyFont="1" applyFill="1" applyBorder="1" applyAlignment="1" applyProtection="1">
      <alignment horizontal="left" vertical="center" wrapText="1"/>
    </xf>
    <xf numFmtId="191" fontId="255" fillId="6" borderId="10" xfId="0" applyNumberFormat="1" applyFont="1" applyFill="1" applyBorder="1" applyAlignment="1" applyProtection="1">
      <alignment horizontal="left" vertical="center" wrapText="1"/>
    </xf>
    <xf numFmtId="191" fontId="255" fillId="6" borderId="24" xfId="0" applyNumberFormat="1" applyFont="1" applyFill="1" applyBorder="1" applyAlignment="1" applyProtection="1">
      <alignment horizontal="left" vertical="center" wrapText="1"/>
    </xf>
    <xf numFmtId="191" fontId="255" fillId="6" borderId="12" xfId="0" applyNumberFormat="1" applyFont="1" applyFill="1" applyBorder="1" applyAlignment="1" applyProtection="1">
      <alignment horizontal="left" vertical="center" wrapText="1"/>
    </xf>
    <xf numFmtId="191" fontId="255" fillId="6" borderId="49" xfId="0" applyNumberFormat="1" applyFont="1" applyFill="1" applyBorder="1" applyAlignment="1" applyProtection="1">
      <alignment horizontal="left" vertical="center" wrapText="1"/>
    </xf>
    <xf numFmtId="191" fontId="255" fillId="6" borderId="61" xfId="0" applyNumberFormat="1" applyFont="1" applyFill="1" applyBorder="1" applyAlignment="1" applyProtection="1">
      <alignment horizontal="left" vertical="center" wrapText="1"/>
    </xf>
    <xf numFmtId="191" fontId="255" fillId="6" borderId="6" xfId="0" applyNumberFormat="1" applyFont="1" applyFill="1" applyBorder="1" applyAlignment="1" applyProtection="1">
      <alignment horizontal="left" vertical="center" wrapText="1"/>
    </xf>
    <xf numFmtId="191" fontId="255" fillId="6" borderId="23" xfId="0" applyNumberFormat="1" applyFont="1" applyFill="1" applyBorder="1" applyAlignment="1" applyProtection="1">
      <alignment horizontal="left" vertical="center" wrapText="1"/>
    </xf>
    <xf numFmtId="191" fontId="255" fillId="6" borderId="25" xfId="0" applyNumberFormat="1" applyFont="1" applyFill="1" applyBorder="1" applyAlignment="1" applyProtection="1">
      <alignment horizontal="left" vertical="center" wrapText="1"/>
    </xf>
    <xf numFmtId="191" fontId="0" fillId="6" borderId="0" xfId="0" applyFill="1" applyAlignment="1">
      <alignment horizontal="left" vertical="center"/>
    </xf>
    <xf numFmtId="191" fontId="0" fillId="0" borderId="0" xfId="0" applyAlignment="1">
      <alignment horizontal="left" vertical="center"/>
    </xf>
    <xf numFmtId="191" fontId="121" fillId="6" borderId="0" xfId="0" applyFont="1" applyFill="1" applyAlignment="1" applyProtection="1">
      <alignment horizontal="left" vertical="center"/>
    </xf>
    <xf numFmtId="191" fontId="111" fillId="6" borderId="29" xfId="0" applyFont="1" applyFill="1" applyBorder="1" applyAlignment="1" applyProtection="1">
      <alignment horizontal="left" vertical="center"/>
    </xf>
    <xf numFmtId="191" fontId="111" fillId="6" borderId="40" xfId="0" applyFont="1" applyFill="1" applyBorder="1" applyAlignment="1" applyProtection="1">
      <alignment horizontal="left" vertical="center" wrapText="1"/>
    </xf>
    <xf numFmtId="191" fontId="111" fillId="6" borderId="13" xfId="0" applyFont="1" applyFill="1" applyBorder="1" applyAlignment="1" applyProtection="1">
      <alignment horizontal="left" vertical="center"/>
    </xf>
    <xf numFmtId="191" fontId="110" fillId="6" borderId="6" xfId="0" applyFont="1" applyFill="1" applyBorder="1" applyAlignment="1" applyProtection="1">
      <alignment horizontal="left" vertical="center" wrapText="1"/>
    </xf>
    <xf numFmtId="191"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1" fontId="110" fillId="6" borderId="23" xfId="0" applyFont="1" applyFill="1" applyBorder="1" applyAlignment="1" applyProtection="1">
      <alignment horizontal="left" vertical="center" wrapText="1"/>
    </xf>
    <xf numFmtId="191"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1" fontId="110" fillId="6" borderId="11" xfId="0" applyFont="1" applyFill="1" applyBorder="1" applyAlignment="1" applyProtection="1">
      <alignment horizontal="left" vertical="center" wrapText="1"/>
    </xf>
    <xf numFmtId="191"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1" fontId="260" fillId="6" borderId="1" xfId="0" applyFont="1" applyFill="1" applyBorder="1" applyAlignment="1">
      <alignment horizontal="left" vertical="center" wrapText="1"/>
    </xf>
    <xf numFmtId="191" fontId="260" fillId="6" borderId="13" xfId="0" applyFont="1" applyFill="1" applyBorder="1" applyAlignment="1">
      <alignment horizontal="left" vertical="center" wrapText="1"/>
    </xf>
    <xf numFmtId="191" fontId="258" fillId="6" borderId="6" xfId="0" applyFont="1" applyFill="1" applyBorder="1" applyAlignment="1" applyProtection="1">
      <alignment horizontal="left" vertical="center" wrapText="1"/>
    </xf>
    <xf numFmtId="191"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1"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pplyProtection="1">
      <alignment horizontal="left" vertical="center" wrapText="1"/>
    </xf>
    <xf numFmtId="191" fontId="258" fillId="6" borderId="25" xfId="0" applyFont="1" applyFill="1" applyBorder="1" applyAlignment="1" applyProtection="1">
      <alignment horizontal="left" vertical="center" wrapText="1"/>
    </xf>
    <xf numFmtId="191"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1" fontId="0" fillId="6" borderId="0" xfId="0" applyFill="1" applyAlignment="1" applyProtection="1">
      <alignment horizontal="left" vertical="center"/>
    </xf>
    <xf numFmtId="191" fontId="0" fillId="0" borderId="0" xfId="0" applyNumberFormat="1" applyAlignment="1">
      <alignment horizontal="left" vertical="center"/>
    </xf>
    <xf numFmtId="191" fontId="263" fillId="0" borderId="0" xfId="0" applyNumberFormat="1" applyFont="1" applyFill="1" applyAlignment="1">
      <alignment horizontal="left" vertical="center"/>
    </xf>
    <xf numFmtId="191" fontId="0" fillId="0" borderId="0" xfId="0" applyNumberFormat="1" applyFill="1" applyAlignment="1">
      <alignment horizontal="left" vertical="center"/>
    </xf>
    <xf numFmtId="191" fontId="95" fillId="0" borderId="0" xfId="0" applyNumberFormat="1" applyFont="1" applyFill="1" applyAlignment="1">
      <alignment horizontal="right" vertical="center"/>
    </xf>
    <xf numFmtId="191" fontId="264" fillId="0" borderId="1" xfId="0" applyNumberFormat="1" applyFont="1" applyFill="1" applyBorder="1" applyAlignment="1">
      <alignment horizontal="left" vertical="center"/>
    </xf>
    <xf numFmtId="191" fontId="264" fillId="0" borderId="1" xfId="0" applyNumberFormat="1" applyFont="1" applyFill="1" applyBorder="1" applyAlignment="1">
      <alignment horizontal="left" vertical="center" wrapText="1"/>
    </xf>
    <xf numFmtId="191" fontId="265" fillId="0" borderId="1" xfId="0" applyNumberFormat="1" applyFont="1" applyFill="1" applyBorder="1" applyAlignment="1">
      <alignment horizontal="left" vertical="center"/>
    </xf>
    <xf numFmtId="191"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1" fontId="98" fillId="6" borderId="0" xfId="0" applyNumberFormat="1" applyFont="1" applyFill="1" applyBorder="1" applyAlignment="1" applyProtection="1">
      <alignment horizontal="center" vertical="center"/>
    </xf>
    <xf numFmtId="191"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1" fontId="54" fillId="6" borderId="84" xfId="0" applyNumberFormat="1" applyFont="1" applyFill="1" applyBorder="1" applyAlignment="1" applyProtection="1">
      <alignment horizontal="left" vertical="center" wrapText="1"/>
    </xf>
    <xf numFmtId="191" fontId="53" fillId="0" borderId="34" xfId="0" applyNumberFormat="1" applyFont="1" applyFill="1" applyBorder="1" applyAlignment="1" applyProtection="1">
      <alignment horizontal="left" vertical="center" wrapText="1"/>
      <protection locked="0"/>
    </xf>
    <xf numFmtId="191" fontId="53" fillId="6" borderId="34" xfId="0" applyNumberFormat="1" applyFont="1" applyFill="1" applyBorder="1" applyAlignment="1" applyProtection="1">
      <alignment horizontal="left" vertical="center" wrapText="1"/>
    </xf>
    <xf numFmtId="191" fontId="19" fillId="6" borderId="34" xfId="0" applyNumberFormat="1" applyFont="1" applyFill="1" applyBorder="1" applyAlignment="1" applyProtection="1">
      <alignment horizontal="left" vertical="center"/>
      <protection locked="0"/>
    </xf>
    <xf numFmtId="191" fontId="53" fillId="6" borderId="64" xfId="0" applyNumberFormat="1" applyFont="1" applyFill="1" applyBorder="1" applyAlignment="1" applyProtection="1">
      <alignment horizontal="left" vertical="center"/>
      <protection locked="0"/>
    </xf>
    <xf numFmtId="191" fontId="53" fillId="6" borderId="64" xfId="0" applyNumberFormat="1" applyFont="1" applyFill="1" applyBorder="1" applyAlignment="1" applyProtection="1">
      <alignment horizontal="left" vertical="center" wrapText="1"/>
      <protection locked="0"/>
    </xf>
    <xf numFmtId="191" fontId="53" fillId="6" borderId="65" xfId="0" applyNumberFormat="1" applyFont="1" applyFill="1" applyBorder="1" applyAlignment="1" applyProtection="1">
      <alignment horizontal="left" vertical="center" wrapText="1"/>
      <protection locked="0"/>
    </xf>
    <xf numFmtId="191" fontId="53" fillId="0" borderId="1" xfId="0" applyNumberFormat="1" applyFont="1" applyFill="1" applyBorder="1" applyAlignment="1" applyProtection="1">
      <alignment horizontal="left" vertical="center"/>
      <protection locked="0"/>
    </xf>
    <xf numFmtId="191" fontId="48" fillId="6" borderId="4" xfId="0" applyNumberFormat="1" applyFont="1" applyFill="1" applyBorder="1" applyAlignment="1" applyProtection="1">
      <alignment horizontal="left" vertical="center"/>
    </xf>
    <xf numFmtId="191" fontId="51" fillId="6" borderId="0" xfId="0" applyNumberFormat="1" applyFont="1" applyFill="1" applyAlignment="1" applyProtection="1">
      <alignment horizontal="left" vertical="center" wrapText="1"/>
    </xf>
    <xf numFmtId="191" fontId="53" fillId="6" borderId="0" xfId="0" applyNumberFormat="1" applyFont="1" applyFill="1" applyBorder="1" applyAlignment="1" applyProtection="1">
      <alignment horizontal="left" vertical="center" wrapText="1"/>
    </xf>
    <xf numFmtId="191" fontId="113" fillId="6" borderId="60" xfId="0" applyNumberFormat="1" applyFont="1" applyFill="1" applyBorder="1" applyAlignment="1" applyProtection="1">
      <alignment horizontal="left" vertical="center"/>
    </xf>
    <xf numFmtId="191" fontId="113" fillId="6" borderId="71" xfId="0" applyNumberFormat="1" applyFont="1" applyFill="1" applyBorder="1" applyAlignment="1" applyProtection="1">
      <alignment horizontal="left" vertical="center"/>
    </xf>
    <xf numFmtId="191" fontId="53" fillId="0" borderId="13" xfId="0" applyNumberFormat="1" applyFont="1" applyFill="1" applyBorder="1" applyAlignment="1" applyProtection="1">
      <alignment horizontal="left" vertical="center" wrapText="1"/>
      <protection locked="0"/>
    </xf>
    <xf numFmtId="191" fontId="53" fillId="0" borderId="61" xfId="0" applyNumberFormat="1" applyFont="1" applyFill="1" applyBorder="1" applyAlignment="1" applyProtection="1">
      <alignment horizontal="left" vertical="center" wrapText="1"/>
      <protection locked="0"/>
    </xf>
    <xf numFmtId="191" fontId="99" fillId="6" borderId="15" xfId="0" applyFont="1" applyFill="1" applyBorder="1" applyAlignment="1" applyProtection="1">
      <alignment horizontal="left" vertical="center" wrapText="1"/>
    </xf>
    <xf numFmtId="191" fontId="80" fillId="6" borderId="9" xfId="0" applyNumberFormat="1" applyFont="1" applyFill="1" applyBorder="1" applyAlignment="1" applyProtection="1">
      <alignment horizontal="left" vertical="center" wrapText="1"/>
    </xf>
    <xf numFmtId="191" fontId="19" fillId="6" borderId="9" xfId="0" applyNumberFormat="1" applyFont="1" applyFill="1" applyBorder="1" applyAlignment="1" applyProtection="1">
      <alignment horizontal="left" vertical="center" wrapText="1"/>
      <protection locked="0"/>
    </xf>
    <xf numFmtId="191" fontId="19" fillId="6" borderId="1" xfId="0" applyNumberFormat="1" applyFont="1" applyFill="1" applyBorder="1" applyAlignment="1" applyProtection="1">
      <alignment horizontal="left" vertical="center"/>
    </xf>
    <xf numFmtId="191" fontId="19" fillId="6" borderId="1" xfId="0" applyNumberFormat="1" applyFont="1" applyFill="1" applyBorder="1" applyAlignment="1" applyProtection="1">
      <alignment horizontal="left" vertical="center" wrapText="1"/>
    </xf>
    <xf numFmtId="191" fontId="54" fillId="6" borderId="2" xfId="0" applyFont="1" applyFill="1" applyBorder="1" applyAlignment="1" applyProtection="1">
      <alignment horizontal="center" vertical="center" wrapText="1"/>
    </xf>
    <xf numFmtId="191" fontId="53" fillId="5" borderId="2" xfId="0" applyFont="1" applyFill="1" applyBorder="1" applyAlignment="1" applyProtection="1">
      <alignment horizontal="center" vertical="center" wrapText="1"/>
      <protection locked="0"/>
    </xf>
    <xf numFmtId="191" fontId="53" fillId="5" borderId="4" xfId="0" applyFont="1" applyFill="1" applyBorder="1" applyAlignment="1" applyProtection="1">
      <alignment horizontal="center" vertical="center" wrapText="1"/>
      <protection locked="0"/>
    </xf>
    <xf numFmtId="191" fontId="53" fillId="6" borderId="1" xfId="0" applyNumberFormat="1" applyFont="1" applyFill="1" applyBorder="1" applyAlignment="1" applyProtection="1">
      <alignment horizontal="left" vertical="center" wrapText="1"/>
      <protection locked="0"/>
    </xf>
    <xf numFmtId="191"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1" fontId="53" fillId="6" borderId="9" xfId="0" applyNumberFormat="1" applyFont="1" applyFill="1" applyBorder="1" applyAlignment="1" applyProtection="1">
      <alignment horizontal="left" vertical="center" wrapText="1"/>
      <protection locked="0"/>
    </xf>
    <xf numFmtId="191"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1"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1" fontId="99" fillId="6" borderId="32" xfId="0" applyFont="1" applyFill="1" applyBorder="1" applyAlignment="1" applyProtection="1">
      <alignment horizontal="left" vertical="center" wrapText="1"/>
    </xf>
    <xf numFmtId="191" fontId="53" fillId="6" borderId="32" xfId="0" applyNumberFormat="1" applyFont="1" applyFill="1" applyBorder="1" applyAlignment="1" applyProtection="1">
      <alignment horizontal="left" vertical="center" wrapText="1"/>
      <protection locked="0"/>
    </xf>
    <xf numFmtId="191" fontId="53" fillId="0" borderId="32" xfId="0" applyNumberFormat="1" applyFont="1" applyFill="1" applyBorder="1" applyAlignment="1" applyProtection="1">
      <alignment horizontal="left" vertical="center" wrapText="1"/>
      <protection locked="0"/>
    </xf>
    <xf numFmtId="191" fontId="19" fillId="6" borderId="32" xfId="0" applyNumberFormat="1" applyFont="1" applyFill="1" applyBorder="1" applyAlignment="1" applyProtection="1">
      <alignment horizontal="left" vertical="center" wrapText="1"/>
      <protection locked="0"/>
    </xf>
    <xf numFmtId="191" fontId="53" fillId="6" borderId="49" xfId="0" applyNumberFormat="1" applyFont="1" applyFill="1" applyBorder="1" applyAlignment="1" applyProtection="1">
      <alignment horizontal="left" vertical="center" wrapText="1"/>
      <protection locked="0"/>
    </xf>
    <xf numFmtId="191" fontId="53" fillId="6" borderId="28" xfId="0" applyFont="1" applyFill="1" applyBorder="1" applyAlignment="1" applyProtection="1">
      <alignment vertical="center" wrapText="1"/>
    </xf>
    <xf numFmtId="191" fontId="53" fillId="6" borderId="30" xfId="0" applyFont="1" applyFill="1" applyBorder="1" applyAlignment="1" applyProtection="1">
      <alignment vertical="center" wrapText="1"/>
    </xf>
    <xf numFmtId="191"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1" fontId="51" fillId="6" borderId="1" xfId="0" applyNumberFormat="1" applyFont="1" applyFill="1" applyBorder="1" applyAlignment="1" applyProtection="1">
      <alignment horizontal="left" vertical="center" wrapText="1"/>
    </xf>
    <xf numFmtId="191" fontId="77" fillId="6" borderId="5" xfId="0" applyFont="1" applyFill="1" applyBorder="1" applyAlignment="1" applyProtection="1">
      <alignment vertical="center"/>
    </xf>
    <xf numFmtId="191" fontId="19" fillId="6" borderId="20" xfId="0" applyFont="1" applyFill="1" applyBorder="1" applyAlignment="1" applyProtection="1">
      <alignment vertical="center"/>
    </xf>
    <xf numFmtId="191" fontId="53" fillId="6" borderId="24" xfId="0" applyNumberFormat="1" applyFont="1" applyFill="1" applyBorder="1" applyAlignment="1" applyProtection="1">
      <alignment horizontal="left" vertical="center" wrapText="1"/>
    </xf>
    <xf numFmtId="191" fontId="19" fillId="7" borderId="0" xfId="0" applyNumberFormat="1" applyFont="1" applyFill="1" applyAlignment="1" applyProtection="1">
      <alignment horizontal="left" vertical="center" wrapText="1"/>
    </xf>
    <xf numFmtId="191" fontId="53" fillId="7" borderId="0" xfId="0" applyNumberFormat="1" applyFont="1" applyFill="1" applyAlignment="1" applyProtection="1">
      <alignment horizontal="left" vertical="center" wrapText="1"/>
    </xf>
    <xf numFmtId="191" fontId="53" fillId="6" borderId="6" xfId="0" applyFont="1" applyFill="1" applyBorder="1" applyAlignment="1" applyProtection="1">
      <alignment horizontal="left" vertical="center" wrapText="1"/>
    </xf>
    <xf numFmtId="191" fontId="53" fillId="6" borderId="9" xfId="0" applyFont="1" applyFill="1" applyBorder="1" applyAlignment="1" applyProtection="1">
      <alignment horizontal="left" vertical="center" wrapText="1"/>
    </xf>
    <xf numFmtId="191"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1" fontId="53" fillId="7" borderId="0" xfId="0" applyNumberFormat="1" applyFont="1" applyFill="1" applyAlignment="1" applyProtection="1">
      <alignment horizontal="left" vertical="center" wrapText="1"/>
      <protection locked="0"/>
    </xf>
    <xf numFmtId="191" fontId="53" fillId="6" borderId="32" xfId="0" applyNumberFormat="1" applyFont="1" applyFill="1" applyBorder="1" applyAlignment="1" applyProtection="1">
      <alignment horizontal="left" vertical="center" wrapText="1"/>
    </xf>
    <xf numFmtId="191" fontId="19" fillId="7" borderId="0" xfId="0" applyNumberFormat="1" applyFont="1" applyFill="1" applyAlignment="1" applyProtection="1">
      <alignment horizontal="left" vertical="center" wrapText="1"/>
      <protection locked="0"/>
    </xf>
    <xf numFmtId="191" fontId="53" fillId="6" borderId="23" xfId="0" applyNumberFormat="1" applyFont="1" applyFill="1" applyBorder="1" applyAlignment="1" applyProtection="1">
      <alignment horizontal="left" vertical="center"/>
    </xf>
    <xf numFmtId="191" fontId="58" fillId="6" borderId="1" xfId="8" applyNumberFormat="1" applyFont="1" applyFill="1" applyBorder="1" applyAlignment="1" applyProtection="1">
      <alignment horizontal="left" vertical="center" wrapText="1"/>
    </xf>
    <xf numFmtId="191" fontId="99" fillId="6" borderId="1" xfId="8" applyNumberFormat="1" applyFont="1" applyFill="1" applyBorder="1" applyAlignment="1" applyProtection="1">
      <alignment horizontal="left" vertical="center"/>
    </xf>
    <xf numFmtId="191" fontId="113" fillId="0" borderId="1" xfId="8" applyNumberFormat="1" applyFont="1" applyFill="1" applyBorder="1" applyAlignment="1" applyProtection="1">
      <alignment horizontal="left" vertical="center"/>
      <protection locked="0"/>
    </xf>
    <xf numFmtId="191" fontId="113" fillId="6" borderId="1" xfId="8" applyNumberFormat="1" applyFont="1" applyFill="1" applyBorder="1" applyAlignment="1" applyProtection="1">
      <alignment horizontal="left" vertical="center"/>
    </xf>
    <xf numFmtId="191" fontId="113" fillId="6" borderId="1" xfId="8" applyNumberFormat="1" applyFont="1" applyFill="1" applyBorder="1" applyAlignment="1" applyProtection="1">
      <alignment horizontal="left" vertical="center" wrapText="1"/>
    </xf>
    <xf numFmtId="191"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1" fontId="122" fillId="6" borderId="23" xfId="0" applyNumberFormat="1" applyFont="1" applyFill="1" applyBorder="1" applyAlignment="1" applyProtection="1">
      <alignment horizontal="left" vertical="center" wrapText="1"/>
    </xf>
    <xf numFmtId="191" fontId="99" fillId="6" borderId="0" xfId="0" applyNumberFormat="1" applyFont="1" applyFill="1" applyBorder="1" applyAlignment="1" applyProtection="1">
      <alignment horizontal="center" vertical="center" wrapText="1"/>
    </xf>
    <xf numFmtId="191"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1" fontId="109" fillId="6" borderId="51" xfId="0" applyNumberFormat="1" applyFont="1" applyFill="1" applyBorder="1" applyAlignment="1" applyProtection="1">
      <alignment horizontal="left" vertical="center"/>
    </xf>
    <xf numFmtId="191" fontId="204" fillId="6" borderId="19" xfId="0" applyNumberFormat="1" applyFont="1" applyFill="1" applyBorder="1" applyAlignment="1" applyProtection="1">
      <alignment horizontal="left" vertical="center" wrapText="1"/>
    </xf>
    <xf numFmtId="191" fontId="99" fillId="6" borderId="23" xfId="0" applyNumberFormat="1" applyFont="1" applyFill="1" applyBorder="1" applyAlignment="1" applyProtection="1">
      <alignment horizontal="left" vertical="center" wrapText="1"/>
    </xf>
    <xf numFmtId="191" fontId="99" fillId="6" borderId="25" xfId="0" applyNumberFormat="1" applyFont="1" applyFill="1" applyBorder="1" applyAlignment="1" applyProtection="1">
      <alignment horizontal="left" vertical="center" wrapText="1"/>
    </xf>
    <xf numFmtId="191" fontId="113" fillId="6" borderId="58" xfId="0" applyNumberFormat="1" applyFont="1" applyFill="1" applyBorder="1" applyAlignment="1" applyProtection="1">
      <alignment horizontal="left" vertical="center" wrapText="1"/>
    </xf>
    <xf numFmtId="191" fontId="53" fillId="6" borderId="61" xfId="0" applyNumberFormat="1" applyFont="1" applyFill="1" applyBorder="1" applyAlignment="1" applyProtection="1">
      <alignment horizontal="left" vertical="center" wrapText="1"/>
    </xf>
    <xf numFmtId="191" fontId="53" fillId="6" borderId="53" xfId="0" applyNumberFormat="1" applyFont="1" applyFill="1" applyBorder="1" applyAlignment="1" applyProtection="1">
      <alignment horizontal="left" vertical="center" wrapText="1"/>
    </xf>
    <xf numFmtId="191" fontId="53" fillId="6" borderId="76" xfId="0" applyNumberFormat="1" applyFont="1" applyFill="1" applyBorder="1" applyAlignment="1" applyProtection="1">
      <alignment horizontal="left" vertical="center" wrapText="1"/>
    </xf>
    <xf numFmtId="191" fontId="168" fillId="0" borderId="1" xfId="0" applyNumberFormat="1" applyFont="1" applyFill="1" applyBorder="1" applyAlignment="1" applyProtection="1">
      <alignment horizontal="left" vertical="center" wrapText="1"/>
      <protection locked="0"/>
    </xf>
    <xf numFmtId="191"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1" fontId="113" fillId="6" borderId="1" xfId="0" applyNumberFormat="1" applyFont="1" applyFill="1" applyBorder="1" applyAlignment="1" applyProtection="1">
      <alignment horizontal="left" vertical="center" wrapText="1"/>
    </xf>
    <xf numFmtId="191" fontId="44" fillId="6" borderId="1" xfId="0" applyNumberFormat="1" applyFont="1" applyFill="1" applyBorder="1" applyAlignment="1" applyProtection="1">
      <alignment horizontal="left" vertical="center" wrapText="1"/>
    </xf>
    <xf numFmtId="191" fontId="102" fillId="6" borderId="0" xfId="0" applyNumberFormat="1" applyFont="1" applyFill="1" applyAlignment="1" applyProtection="1">
      <alignment horizontal="left" vertical="center"/>
    </xf>
    <xf numFmtId="191" fontId="99" fillId="6" borderId="5" xfId="0" applyNumberFormat="1" applyFont="1" applyFill="1" applyBorder="1" applyAlignment="1" applyProtection="1">
      <alignment horizontal="left" vertical="center"/>
    </xf>
    <xf numFmtId="191" fontId="99" fillId="6" borderId="54" xfId="0" applyNumberFormat="1" applyFont="1" applyFill="1" applyBorder="1" applyAlignment="1" applyProtection="1">
      <alignment horizontal="left" vertical="center"/>
    </xf>
    <xf numFmtId="191" fontId="99" fillId="6" borderId="3" xfId="0" applyNumberFormat="1" applyFont="1" applyFill="1" applyBorder="1" applyAlignment="1" applyProtection="1">
      <alignment horizontal="left" vertical="center"/>
    </xf>
    <xf numFmtId="191" fontId="99" fillId="6" borderId="0" xfId="0" applyNumberFormat="1" applyFont="1" applyFill="1" applyBorder="1" applyAlignment="1" applyProtection="1">
      <alignment horizontal="left" vertical="center"/>
    </xf>
    <xf numFmtId="191" fontId="99" fillId="6" borderId="1" xfId="0" applyNumberFormat="1" applyFont="1" applyFill="1" applyBorder="1" applyAlignment="1" applyProtection="1">
      <alignment horizontal="left" vertical="center"/>
    </xf>
    <xf numFmtId="191" fontId="113" fillId="6" borderId="1" xfId="0" applyNumberFormat="1" applyFont="1" applyFill="1" applyBorder="1" applyAlignment="1" applyProtection="1">
      <alignment horizontal="left" vertical="center"/>
    </xf>
    <xf numFmtId="191" fontId="99" fillId="0" borderId="0" xfId="0" applyNumberFormat="1" applyFont="1" applyAlignment="1" applyProtection="1">
      <alignment horizontal="left" vertical="center"/>
    </xf>
    <xf numFmtId="191" fontId="53" fillId="0" borderId="0" xfId="0" applyNumberFormat="1" applyFont="1" applyAlignment="1" applyProtection="1">
      <alignment horizontal="left" vertical="center" wrapText="1"/>
      <protection locked="0"/>
    </xf>
    <xf numFmtId="191" fontId="53" fillId="6" borderId="15" xfId="0" applyNumberFormat="1" applyFont="1" applyFill="1" applyBorder="1" applyAlignment="1" applyProtection="1">
      <alignment horizontal="left" vertical="center" wrapText="1"/>
    </xf>
    <xf numFmtId="191" fontId="53" fillId="6" borderId="17" xfId="0" applyNumberFormat="1" applyFont="1" applyFill="1" applyBorder="1" applyAlignment="1" applyProtection="1">
      <alignment horizontal="left" vertical="center" wrapText="1"/>
    </xf>
    <xf numFmtId="191" fontId="113" fillId="6" borderId="19" xfId="0" applyNumberFormat="1" applyFont="1" applyFill="1" applyBorder="1" applyAlignment="1" applyProtection="1">
      <alignment horizontal="left" vertical="center" wrapText="1"/>
    </xf>
    <xf numFmtId="191" fontId="170" fillId="6" borderId="1" xfId="3" applyNumberFormat="1" applyFont="1" applyFill="1" applyBorder="1" applyAlignment="1" applyProtection="1">
      <alignment horizontal="left" vertical="center"/>
    </xf>
    <xf numFmtId="191" fontId="98" fillId="0" borderId="0" xfId="0" applyNumberFormat="1" applyFont="1" applyAlignment="1" applyProtection="1">
      <alignment horizontal="left" vertical="center"/>
    </xf>
    <xf numFmtId="191" fontId="53" fillId="6" borderId="16" xfId="0" applyNumberFormat="1" applyFont="1" applyFill="1" applyBorder="1" applyAlignment="1" applyProtection="1">
      <alignment horizontal="left" vertical="center" wrapText="1"/>
    </xf>
    <xf numFmtId="191" fontId="53" fillId="6" borderId="9" xfId="3" applyNumberFormat="1" applyFont="1" applyFill="1" applyBorder="1" applyAlignment="1" applyProtection="1">
      <alignment horizontal="left" vertical="center"/>
    </xf>
    <xf numFmtId="191" fontId="53" fillId="6" borderId="2" xfId="3" applyNumberFormat="1" applyFont="1" applyFill="1" applyBorder="1" applyAlignment="1" applyProtection="1">
      <alignment horizontal="left" vertical="center"/>
    </xf>
    <xf numFmtId="191" fontId="53" fillId="6" borderId="2" xfId="3" applyNumberFormat="1" applyFont="1" applyFill="1" applyBorder="1" applyAlignment="1" applyProtection="1">
      <alignment horizontal="left" vertical="center" wrapText="1"/>
    </xf>
    <xf numFmtId="191" fontId="53" fillId="6" borderId="17" xfId="3" applyNumberFormat="1" applyFont="1" applyFill="1" applyBorder="1" applyAlignment="1" applyProtection="1">
      <alignment horizontal="left" vertical="center"/>
    </xf>
    <xf numFmtId="191" fontId="53" fillId="6" borderId="62" xfId="3" applyNumberFormat="1" applyFont="1" applyFill="1" applyBorder="1" applyAlignment="1" applyProtection="1">
      <alignment horizontal="left" vertical="center"/>
    </xf>
    <xf numFmtId="191" fontId="53" fillId="6" borderId="23" xfId="0" applyNumberFormat="1" applyFont="1" applyFill="1" applyBorder="1" applyAlignment="1" applyProtection="1">
      <alignment horizontal="left" vertical="center" wrapText="1"/>
    </xf>
    <xf numFmtId="191" fontId="113" fillId="6" borderId="24" xfId="0" applyNumberFormat="1" applyFont="1" applyFill="1" applyBorder="1" applyAlignment="1" applyProtection="1">
      <alignment horizontal="left" vertical="center" wrapText="1"/>
    </xf>
    <xf numFmtId="191" fontId="53" fillId="6" borderId="25" xfId="0" applyNumberFormat="1" applyFont="1" applyFill="1" applyBorder="1" applyAlignment="1" applyProtection="1">
      <alignment horizontal="left" vertical="center" wrapText="1"/>
    </xf>
    <xf numFmtId="191" fontId="113" fillId="6" borderId="32" xfId="0" applyNumberFormat="1" applyFont="1" applyFill="1" applyBorder="1" applyAlignment="1" applyProtection="1">
      <alignment horizontal="left" vertical="center" wrapText="1"/>
    </xf>
    <xf numFmtId="191" fontId="113" fillId="6" borderId="49" xfId="0" applyNumberFormat="1" applyFont="1" applyFill="1" applyBorder="1" applyAlignment="1" applyProtection="1">
      <alignment horizontal="left" vertical="center" wrapText="1"/>
    </xf>
    <xf numFmtId="191"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191" fontId="58" fillId="0" borderId="1" xfId="8" applyFont="1" applyFill="1" applyBorder="1" applyAlignment="1" applyProtection="1">
      <alignment horizontal="center" vertical="center" wrapText="1"/>
    </xf>
    <xf numFmtId="191"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1" fontId="53" fillId="5" borderId="1" xfId="0" applyNumberFormat="1" applyFont="1" applyFill="1" applyBorder="1" applyAlignment="1" applyProtection="1">
      <alignment horizontal="left" vertical="center" wrapText="1"/>
      <protection locked="0"/>
    </xf>
    <xf numFmtId="191"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1"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191" fontId="138" fillId="7" borderId="0" xfId="0" applyFont="1" applyFill="1" applyAlignment="1" applyProtection="1">
      <protection locked="0"/>
    </xf>
    <xf numFmtId="191" fontId="77" fillId="6" borderId="0" xfId="0" applyFont="1" applyFill="1" applyAlignment="1" applyProtection="1">
      <protection locked="0"/>
    </xf>
    <xf numFmtId="191"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1" fontId="143" fillId="11" borderId="125" xfId="9" applyFont="1" applyFill="1" applyBorder="1" applyAlignment="1" applyProtection="1">
      <alignment horizontal="left" vertical="center" wrapText="1"/>
    </xf>
    <xf numFmtId="191" fontId="108" fillId="6" borderId="16" xfId="0" applyNumberFormat="1" applyFont="1" applyFill="1" applyBorder="1" applyAlignment="1" applyProtection="1">
      <alignment horizontal="left" vertical="center"/>
    </xf>
    <xf numFmtId="191" fontId="0" fillId="6" borderId="0" xfId="0" applyNumberFormat="1" applyFill="1" applyAlignment="1" applyProtection="1">
      <alignment horizontal="left" vertical="center"/>
    </xf>
    <xf numFmtId="191" fontId="246" fillId="6" borderId="1" xfId="0" applyNumberFormat="1" applyFont="1" applyFill="1" applyBorder="1" applyAlignment="1" applyProtection="1">
      <alignment horizontal="left" vertical="center"/>
    </xf>
    <xf numFmtId="191" fontId="95" fillId="6" borderId="1" xfId="0" applyNumberFormat="1" applyFont="1" applyFill="1" applyBorder="1" applyAlignment="1" applyProtection="1">
      <alignment horizontal="left" vertical="center"/>
    </xf>
    <xf numFmtId="9" fontId="159" fillId="12" borderId="1" xfId="12" applyNumberFormat="1" applyFill="1" applyBorder="1" applyAlignment="1" applyProtection="1">
      <alignment horizontal="left"/>
      <protection locked="0"/>
    </xf>
    <xf numFmtId="191"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1"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1" fontId="268" fillId="0" borderId="0" xfId="9" applyNumberFormat="1" applyFont="1" applyAlignment="1" applyProtection="1">
      <alignment vertical="center"/>
    </xf>
    <xf numFmtId="191"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191" fontId="95" fillId="6" borderId="1" xfId="0" applyNumberFormat="1" applyFont="1" applyFill="1" applyBorder="1" applyAlignment="1" applyProtection="1">
      <alignment horizontal="center" vertical="center"/>
      <protection locked="0"/>
    </xf>
    <xf numFmtId="191" fontId="0" fillId="0" borderId="1" xfId="0" applyNumberFormat="1" applyBorder="1" applyAlignment="1" applyProtection="1">
      <alignment horizontal="center" vertical="center"/>
      <protection locked="0"/>
    </xf>
    <xf numFmtId="191"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191"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191" fontId="144" fillId="13" borderId="0" xfId="9" applyNumberFormat="1" applyFont="1" applyFill="1" applyAlignment="1" applyProtection="1">
      <alignment horizontal="right" vertical="center"/>
    </xf>
    <xf numFmtId="191" fontId="144" fillId="21" borderId="0" xfId="9" applyNumberFormat="1" applyFont="1" applyFill="1" applyAlignment="1" applyProtection="1">
      <alignment horizontal="right" vertical="center"/>
    </xf>
    <xf numFmtId="195" fontId="0" fillId="5" borderId="0" xfId="0" applyNumberFormat="1" applyFill="1" applyAlignment="1">
      <alignment horizontal="right" vertical="center"/>
    </xf>
    <xf numFmtId="191" fontId="0" fillId="5" borderId="0" xfId="0" applyFill="1">
      <alignment vertical="center"/>
    </xf>
    <xf numFmtId="191"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191" fontId="0" fillId="0" borderId="0" xfId="0" applyAlignment="1">
      <alignment horizontal="center" vertical="center"/>
    </xf>
    <xf numFmtId="191" fontId="95" fillId="0" borderId="0" xfId="0" applyFont="1">
      <alignment vertical="center"/>
    </xf>
    <xf numFmtId="14" fontId="0" fillId="0" borderId="0" xfId="0" applyNumberFormat="1" applyAlignment="1">
      <alignment horizontal="center" vertical="center"/>
    </xf>
    <xf numFmtId="191" fontId="95" fillId="0" borderId="0" xfId="0" applyFont="1" applyAlignment="1">
      <alignment horizontal="center" vertical="center"/>
    </xf>
    <xf numFmtId="14" fontId="0" fillId="0" borderId="0" xfId="0" applyNumberFormat="1" applyAlignment="1">
      <alignment horizontal="left" vertical="center"/>
    </xf>
    <xf numFmtId="14" fontId="0" fillId="0" borderId="0" xfId="0" applyNumberFormat="1" applyAlignment="1">
      <alignment horizontal="left" vertical="center"/>
    </xf>
    <xf numFmtId="191" fontId="0" fillId="0" borderId="0" xfId="0" applyNumberFormat="1" applyAlignment="1"/>
    <xf numFmtId="191" fontId="95" fillId="0" borderId="0" xfId="0" applyNumberFormat="1" applyFont="1" applyAlignment="1"/>
    <xf numFmtId="49" fontId="95" fillId="0" borderId="0" xfId="0" applyNumberFormat="1" applyFont="1">
      <alignment vertical="center"/>
    </xf>
    <xf numFmtId="49" fontId="0" fillId="0" borderId="0" xfId="0" applyNumberFormat="1">
      <alignment vertical="center"/>
    </xf>
    <xf numFmtId="191" fontId="128" fillId="0" borderId="44" xfId="0" applyNumberFormat="1" applyFont="1" applyFill="1" applyBorder="1" applyAlignment="1" applyProtection="1">
      <alignment horizontal="center" vertical="center" wrapText="1"/>
      <protection locked="0"/>
    </xf>
    <xf numFmtId="191" fontId="128" fillId="0" borderId="83" xfId="0"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191" fontId="128" fillId="0" borderId="5" xfId="0" applyFont="1" applyFill="1" applyBorder="1" applyAlignment="1" applyProtection="1">
      <alignment horizontal="center" vertical="center" wrapText="1"/>
      <protection locked="0"/>
    </xf>
    <xf numFmtId="191" fontId="94" fillId="0" borderId="9" xfId="0" applyNumberFormat="1" applyFont="1" applyFill="1" applyBorder="1" applyAlignment="1" applyProtection="1">
      <alignment horizontal="center" vertical="center" wrapText="1"/>
      <protection locked="0"/>
    </xf>
    <xf numFmtId="191" fontId="128" fillId="0" borderId="51" xfId="0" applyNumberFormat="1" applyFont="1" applyFill="1" applyBorder="1" applyAlignment="1" applyProtection="1">
      <alignment horizontal="center" vertical="center" wrapText="1"/>
      <protection locked="0"/>
    </xf>
    <xf numFmtId="0" fontId="95" fillId="0" borderId="0" xfId="0" applyNumberFormat="1" applyFont="1" applyAlignment="1">
      <alignment horizontal="center" vertical="center"/>
    </xf>
    <xf numFmtId="0" fontId="0" fillId="0" borderId="0" xfId="0" applyNumberFormat="1" applyAlignment="1">
      <alignment horizontal="center" vertical="center"/>
    </xf>
    <xf numFmtId="191" fontId="95" fillId="0" borderId="0" xfId="0" applyFont="1" applyAlignment="1">
      <alignment horizontal="right" vertical="center"/>
    </xf>
    <xf numFmtId="191" fontId="186" fillId="0" borderId="0" xfId="5" applyFont="1" applyAlignment="1" applyProtection="1">
      <alignment horizontal="left" vertical="top" wrapText="1"/>
    </xf>
    <xf numFmtId="191" fontId="45" fillId="0" borderId="13" xfId="7" applyFont="1" applyFill="1" applyBorder="1" applyAlignment="1" applyProtection="1">
      <alignment horizontal="left" vertical="center" wrapText="1"/>
    </xf>
    <xf numFmtId="191" fontId="45" fillId="0" borderId="15" xfId="7" applyFont="1" applyFill="1" applyBorder="1" applyAlignment="1" applyProtection="1">
      <alignment horizontal="left" vertical="center" wrapText="1"/>
    </xf>
    <xf numFmtId="191" fontId="45" fillId="0" borderId="77" xfId="7" applyFont="1" applyFill="1" applyBorder="1" applyAlignment="1" applyProtection="1">
      <alignment horizontal="left" vertical="center" wrapText="1"/>
    </xf>
    <xf numFmtId="191" fontId="196" fillId="0" borderId="87" xfId="7" applyFont="1" applyBorder="1" applyAlignment="1" applyProtection="1">
      <alignment horizontal="center" vertical="center"/>
    </xf>
    <xf numFmtId="191" fontId="130" fillId="0" borderId="0" xfId="7" applyFont="1" applyAlignment="1" applyProtection="1">
      <alignment horizontal="left" vertical="center" wrapText="1"/>
    </xf>
    <xf numFmtId="191" fontId="196" fillId="0" borderId="0" xfId="7" applyFont="1" applyAlignment="1" applyProtection="1">
      <alignment horizontal="center" vertical="center"/>
    </xf>
    <xf numFmtId="191" fontId="45" fillId="0" borderId="2" xfId="7" applyFont="1" applyFill="1" applyBorder="1" applyAlignment="1" applyProtection="1">
      <alignment horizontal="left" vertical="center" wrapText="1"/>
    </xf>
    <xf numFmtId="191" fontId="45" fillId="0" borderId="13" xfId="7" applyFont="1" applyFill="1" applyBorder="1" applyAlignment="1" applyProtection="1">
      <alignment vertical="center" wrapText="1"/>
    </xf>
    <xf numFmtId="191" fontId="45" fillId="0" borderId="15" xfId="7" applyFont="1" applyFill="1" applyBorder="1" applyAlignment="1" applyProtection="1">
      <alignment vertical="center" wrapText="1"/>
    </xf>
    <xf numFmtId="191" fontId="45" fillId="0" borderId="2" xfId="7" applyFont="1" applyFill="1" applyBorder="1" applyAlignment="1" applyProtection="1">
      <alignment vertical="center" wrapText="1"/>
    </xf>
    <xf numFmtId="191" fontId="61" fillId="0" borderId="78" xfId="0" applyFont="1" applyFill="1" applyBorder="1" applyAlignment="1" applyProtection="1">
      <alignment horizontal="center" vertical="center" wrapText="1"/>
    </xf>
    <xf numFmtId="191" fontId="47" fillId="0" borderId="0" xfId="0" applyFont="1" applyFill="1" applyBorder="1" applyAlignment="1" applyProtection="1">
      <alignment horizontal="left" vertical="center"/>
    </xf>
    <xf numFmtId="191" fontId="45" fillId="0" borderId="1" xfId="0" applyFont="1" applyFill="1" applyBorder="1" applyAlignment="1" applyProtection="1">
      <alignment horizontal="center" vertical="center" wrapText="1"/>
    </xf>
    <xf numFmtId="191" fontId="61" fillId="0" borderId="1" xfId="0" applyFont="1" applyFill="1" applyBorder="1" applyAlignment="1" applyProtection="1">
      <alignment horizontal="center" vertical="center" wrapText="1"/>
    </xf>
    <xf numFmtId="191" fontId="61" fillId="0" borderId="5" xfId="0" applyFont="1" applyFill="1" applyBorder="1" applyAlignment="1" applyProtection="1">
      <alignment horizontal="center" vertical="center" wrapText="1"/>
    </xf>
    <xf numFmtId="191" fontId="61" fillId="0" borderId="54" xfId="0" applyFont="1" applyFill="1" applyBorder="1" applyAlignment="1" applyProtection="1">
      <alignment horizontal="center" vertical="center" wrapText="1"/>
    </xf>
    <xf numFmtId="191" fontId="61" fillId="0" borderId="3" xfId="0" applyFont="1" applyFill="1" applyBorder="1" applyAlignment="1" applyProtection="1">
      <alignment horizontal="center" vertical="center" wrapText="1"/>
    </xf>
    <xf numFmtId="191" fontId="205" fillId="0" borderId="0" xfId="0" applyFont="1" applyFill="1" applyBorder="1" applyAlignment="1" applyProtection="1">
      <alignment horizontal="center" vertical="center"/>
    </xf>
    <xf numFmtId="191" fontId="61" fillId="0" borderId="44" xfId="0" applyFont="1" applyFill="1" applyBorder="1" applyAlignment="1" applyProtection="1">
      <alignment horizontal="center" vertical="center" wrapText="1"/>
    </xf>
    <xf numFmtId="191" fontId="125" fillId="0" borderId="0" xfId="0" applyFont="1" applyBorder="1" applyAlignment="1" applyProtection="1">
      <alignment horizontal="left" vertical="center" wrapText="1"/>
    </xf>
    <xf numFmtId="191" fontId="200" fillId="0" borderId="0" xfId="0" applyNumberFormat="1" applyFont="1" applyAlignment="1" applyProtection="1">
      <alignment horizontal="right" vertical="center"/>
      <protection locked="0"/>
    </xf>
    <xf numFmtId="191" fontId="213" fillId="0" borderId="0" xfId="0" applyFont="1" applyBorder="1" applyAlignment="1" applyProtection="1">
      <alignment horizontal="left" vertical="center" wrapText="1"/>
      <protection locked="0"/>
    </xf>
    <xf numFmtId="191" fontId="98" fillId="0" borderId="0" xfId="0" applyFont="1" applyAlignment="1" applyProtection="1">
      <alignment vertical="center" wrapText="1"/>
    </xf>
    <xf numFmtId="191" fontId="166" fillId="0" borderId="0" xfId="0" applyFont="1" applyAlignment="1" applyProtection="1">
      <alignment vertical="center" wrapText="1"/>
      <protection locked="0"/>
    </xf>
    <xf numFmtId="191" fontId="124" fillId="0" borderId="0" xfId="0" applyFont="1" applyBorder="1" applyAlignment="1" applyProtection="1">
      <alignment horizontal="left" vertical="center" wrapText="1"/>
    </xf>
    <xf numFmtId="191" fontId="196" fillId="0" borderId="0" xfId="0" applyFont="1" applyBorder="1" applyAlignment="1" applyProtection="1">
      <alignment horizontal="left" vertical="center"/>
    </xf>
    <xf numFmtId="191" fontId="196" fillId="0" borderId="0" xfId="0" applyFont="1" applyBorder="1" applyAlignment="1" applyProtection="1">
      <alignment horizontal="justify" vertical="center" wrapText="1"/>
    </xf>
    <xf numFmtId="191" fontId="61" fillId="0" borderId="0" xfId="0" applyFont="1" applyBorder="1" applyAlignment="1" applyProtection="1">
      <alignment horizontal="left" vertical="center" wrapText="1"/>
    </xf>
    <xf numFmtId="191" fontId="217" fillId="0" borderId="5" xfId="0" applyFont="1" applyBorder="1" applyAlignment="1" applyProtection="1">
      <alignment horizontal="left" vertical="center"/>
    </xf>
    <xf numFmtId="191" fontId="95" fillId="0" borderId="3" xfId="0" applyFont="1" applyBorder="1" applyAlignment="1" applyProtection="1">
      <alignment horizontal="left" vertical="center"/>
    </xf>
    <xf numFmtId="191" fontId="95" fillId="0" borderId="5" xfId="0" applyFont="1" applyBorder="1" applyAlignment="1" applyProtection="1">
      <alignment horizontal="left" vertical="center"/>
    </xf>
    <xf numFmtId="191" fontId="95" fillId="0" borderId="1" xfId="0" applyFont="1" applyBorder="1" applyAlignment="1" applyProtection="1">
      <alignment horizontal="left" vertical="center"/>
    </xf>
    <xf numFmtId="191" fontId="95" fillId="9" borderId="1" xfId="0" applyFont="1" applyFill="1" applyBorder="1" applyAlignment="1" applyProtection="1">
      <alignment horizontal="left" vertical="center"/>
    </xf>
    <xf numFmtId="191" fontId="95" fillId="5" borderId="13" xfId="0" applyFont="1" applyFill="1" applyBorder="1" applyAlignment="1" applyProtection="1">
      <alignment horizontal="left" vertical="center"/>
    </xf>
    <xf numFmtId="191" fontId="95" fillId="5" borderId="15" xfId="0" applyFont="1" applyFill="1" applyBorder="1" applyAlignment="1" applyProtection="1">
      <alignment horizontal="left" vertical="center"/>
    </xf>
    <xf numFmtId="191" fontId="95" fillId="5" borderId="2" xfId="0" applyFont="1" applyFill="1" applyBorder="1" applyAlignment="1" applyProtection="1">
      <alignment horizontal="left" vertical="center"/>
    </xf>
    <xf numFmtId="191" fontId="117" fillId="5" borderId="1" xfId="5" applyFont="1" applyFill="1" applyBorder="1" applyAlignment="1">
      <alignment horizontal="left" vertical="center"/>
    </xf>
    <xf numFmtId="191" fontId="118" fillId="0" borderId="1" xfId="5" applyFont="1" applyBorder="1" applyAlignment="1">
      <alignment horizontal="left" vertical="center"/>
    </xf>
    <xf numFmtId="191" fontId="118" fillId="0" borderId="156" xfId="5" applyFont="1" applyBorder="1" applyAlignment="1">
      <alignment horizontal="left" vertical="center"/>
    </xf>
    <xf numFmtId="191" fontId="95" fillId="6" borderId="0" xfId="0" applyFont="1" applyFill="1" applyBorder="1" applyAlignment="1" applyProtection="1">
      <alignment horizontal="center" vertical="center" wrapText="1"/>
    </xf>
    <xf numFmtId="191" fontId="246" fillId="6" borderId="60" xfId="0" applyNumberFormat="1" applyFont="1" applyFill="1" applyBorder="1" applyAlignment="1" applyProtection="1">
      <alignment horizontal="left" vertical="center"/>
    </xf>
    <xf numFmtId="191" fontId="47" fillId="6" borderId="1" xfId="0" applyFont="1" applyFill="1" applyBorder="1" applyAlignment="1" applyProtection="1">
      <alignment horizontal="center" vertical="center" wrapText="1"/>
    </xf>
    <xf numFmtId="191" fontId="47" fillId="6" borderId="15" xfId="0" applyFont="1" applyFill="1" applyBorder="1" applyAlignment="1" applyProtection="1">
      <alignment horizontal="left" vertical="center"/>
    </xf>
    <xf numFmtId="191" fontId="47" fillId="6" borderId="2" xfId="0" applyFont="1" applyFill="1" applyBorder="1" applyAlignment="1" applyProtection="1">
      <alignment horizontal="left" vertical="center"/>
    </xf>
    <xf numFmtId="191" fontId="47" fillId="0" borderId="5" xfId="0" applyFont="1" applyBorder="1" applyAlignment="1" applyProtection="1">
      <alignment horizontal="left" vertical="center" wrapText="1"/>
      <protection locked="0"/>
    </xf>
    <xf numFmtId="191" fontId="47" fillId="0" borderId="3" xfId="0" applyFont="1" applyBorder="1" applyAlignment="1" applyProtection="1">
      <alignment horizontal="left" vertical="center" wrapText="1"/>
      <protection locked="0"/>
    </xf>
    <xf numFmtId="191" fontId="47" fillId="6" borderId="22" xfId="0" applyFont="1" applyFill="1" applyBorder="1" applyAlignment="1" applyProtection="1">
      <alignment horizontal="left" vertical="center"/>
    </xf>
    <xf numFmtId="191" fontId="47" fillId="6" borderId="35" xfId="0" applyFont="1" applyFill="1" applyBorder="1" applyAlignment="1" applyProtection="1">
      <alignment horizontal="left" vertical="center"/>
    </xf>
    <xf numFmtId="191" fontId="47" fillId="6" borderId="1" xfId="0" applyNumberFormat="1" applyFont="1" applyFill="1" applyBorder="1" applyAlignment="1" applyProtection="1">
      <alignment horizontal="center" vertical="center" wrapText="1"/>
    </xf>
    <xf numFmtId="191" fontId="47" fillId="6" borderId="34" xfId="0" applyFont="1" applyFill="1" applyBorder="1" applyAlignment="1" applyProtection="1">
      <alignment horizontal="left" vertical="center" wrapText="1"/>
    </xf>
    <xf numFmtId="191" fontId="47" fillId="6" borderId="64" xfId="0" applyFont="1" applyFill="1" applyBorder="1" applyAlignment="1" applyProtection="1">
      <alignment horizontal="left" vertical="center" wrapText="1"/>
    </xf>
    <xf numFmtId="191" fontId="47" fillId="6" borderId="65" xfId="0" applyFont="1" applyFill="1" applyBorder="1" applyAlignment="1" applyProtection="1">
      <alignment horizontal="left" vertical="center" wrapText="1"/>
    </xf>
    <xf numFmtId="191" fontId="47" fillId="16" borderId="13" xfId="0" applyFont="1" applyFill="1" applyBorder="1" applyAlignment="1" applyProtection="1">
      <alignment horizontal="center" vertical="center" wrapText="1"/>
    </xf>
    <xf numFmtId="191" fontId="47" fillId="16" borderId="103" xfId="0" applyFont="1" applyFill="1" applyBorder="1" applyAlignment="1" applyProtection="1">
      <alignment horizontal="center" vertical="center" wrapText="1"/>
    </xf>
    <xf numFmtId="191" fontId="47" fillId="6" borderId="58" xfId="0" applyFont="1" applyFill="1" applyBorder="1" applyAlignment="1" applyProtection="1">
      <alignment horizontal="center" vertical="center" wrapText="1"/>
    </xf>
    <xf numFmtId="191" fontId="47" fillId="6" borderId="6" xfId="0" applyFont="1" applyFill="1" applyBorder="1" applyAlignment="1" applyProtection="1">
      <alignment vertical="center"/>
    </xf>
    <xf numFmtId="191" fontId="47" fillId="6" borderId="10" xfId="0" applyFont="1" applyFill="1" applyBorder="1" applyAlignment="1" applyProtection="1">
      <alignment vertical="center"/>
    </xf>
    <xf numFmtId="191" fontId="47" fillId="6" borderId="51" xfId="0" applyFont="1" applyFill="1" applyBorder="1" applyAlignment="1" applyProtection="1">
      <alignment vertical="center"/>
    </xf>
    <xf numFmtId="191"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1" fontId="168" fillId="0" borderId="5" xfId="0" applyNumberFormat="1" applyFont="1" applyBorder="1" applyAlignment="1" applyProtection="1">
      <alignment horizontal="left" vertical="center"/>
      <protection locked="0"/>
    </xf>
    <xf numFmtId="191" fontId="168" fillId="0" borderId="54" xfId="0" applyNumberFormat="1" applyFont="1" applyBorder="1" applyAlignment="1" applyProtection="1">
      <alignment horizontal="left" vertical="center"/>
      <protection locked="0"/>
    </xf>
    <xf numFmtId="191"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91" fontId="44" fillId="6" borderId="6" xfId="0" applyFont="1" applyFill="1" applyBorder="1" applyAlignment="1" applyProtection="1">
      <alignment horizontal="center" vertical="center"/>
    </xf>
    <xf numFmtId="191" fontId="44" fillId="6" borderId="9" xfId="0" applyFont="1" applyFill="1" applyBorder="1" applyAlignment="1" applyProtection="1">
      <alignment horizontal="center" vertical="center"/>
    </xf>
    <xf numFmtId="191" fontId="44" fillId="6" borderId="10" xfId="0" applyFont="1" applyFill="1" applyBorder="1" applyAlignment="1" applyProtection="1">
      <alignment horizontal="center" vertical="center"/>
    </xf>
    <xf numFmtId="191" fontId="46" fillId="6" borderId="40" xfId="0" applyFont="1" applyFill="1" applyBorder="1" applyAlignment="1" applyProtection="1">
      <alignment horizontal="center" vertical="center"/>
    </xf>
    <xf numFmtId="191" fontId="46" fillId="6" borderId="17" xfId="0" applyFont="1" applyFill="1" applyBorder="1" applyAlignment="1" applyProtection="1">
      <alignment horizontal="center" vertical="center"/>
    </xf>
    <xf numFmtId="191" fontId="46" fillId="6" borderId="62" xfId="0" applyFont="1" applyFill="1" applyBorder="1" applyAlignment="1" applyProtection="1">
      <alignment horizontal="center" vertical="center"/>
    </xf>
    <xf numFmtId="191" fontId="44" fillId="6" borderId="51" xfId="0" applyFont="1" applyFill="1" applyBorder="1" applyAlignment="1" applyProtection="1">
      <alignment horizontal="center" vertical="center"/>
    </xf>
    <xf numFmtId="191" fontId="44" fillId="6" borderId="20" xfId="0" applyFont="1" applyFill="1" applyBorder="1" applyAlignment="1" applyProtection="1">
      <alignment horizontal="center" vertical="center"/>
    </xf>
    <xf numFmtId="191" fontId="44" fillId="6" borderId="30" xfId="0" applyFont="1" applyFill="1" applyBorder="1" applyAlignment="1" applyProtection="1">
      <alignment horizontal="center" vertical="center"/>
    </xf>
    <xf numFmtId="191" fontId="46" fillId="6" borderId="1" xfId="0" applyFont="1" applyFill="1" applyBorder="1" applyAlignment="1" applyProtection="1">
      <alignment horizontal="center" vertical="center"/>
    </xf>
    <xf numFmtId="191" fontId="46" fillId="6" borderId="13" xfId="0" applyFont="1" applyFill="1" applyBorder="1" applyAlignment="1" applyProtection="1">
      <alignment horizontal="center" vertical="center"/>
    </xf>
    <xf numFmtId="191" fontId="46" fillId="6" borderId="51" xfId="0" applyFont="1" applyFill="1" applyBorder="1" applyAlignment="1" applyProtection="1">
      <alignment horizontal="center" vertical="center"/>
    </xf>
    <xf numFmtId="191" fontId="46" fillId="6" borderId="20" xfId="0" applyFont="1" applyFill="1" applyBorder="1" applyAlignment="1" applyProtection="1">
      <alignment horizontal="center" vertical="center"/>
    </xf>
    <xf numFmtId="191" fontId="46" fillId="6" borderId="30" xfId="0" applyFont="1" applyFill="1" applyBorder="1" applyAlignment="1" applyProtection="1">
      <alignment horizontal="center" vertical="center"/>
    </xf>
    <xf numFmtId="191" fontId="44" fillId="6" borderId="1" xfId="0" applyFont="1" applyFill="1" applyBorder="1" applyAlignment="1" applyProtection="1">
      <alignment horizontal="center" vertical="center"/>
    </xf>
    <xf numFmtId="191" fontId="69" fillId="6" borderId="105" xfId="0" applyFont="1" applyFill="1" applyBorder="1" applyAlignment="1" applyProtection="1">
      <alignment vertical="center"/>
    </xf>
    <xf numFmtId="191" fontId="69" fillId="6" borderId="101" xfId="0" applyFont="1" applyFill="1" applyBorder="1" applyAlignment="1" applyProtection="1">
      <alignment vertical="center"/>
    </xf>
    <xf numFmtId="191" fontId="47" fillId="6" borderId="54" xfId="0" applyFont="1" applyFill="1" applyBorder="1" applyAlignment="1" applyProtection="1">
      <alignment horizontal="left" vertical="center" wrapText="1"/>
    </xf>
    <xf numFmtId="191" fontId="44" fillId="6" borderId="1" xfId="0" applyFont="1" applyFill="1" applyBorder="1" applyAlignment="1" applyProtection="1">
      <alignment horizontal="center" vertical="center" wrapText="1"/>
    </xf>
    <xf numFmtId="191" fontId="52" fillId="6" borderId="51" xfId="0" applyFont="1" applyFill="1" applyBorder="1" applyAlignment="1" applyProtection="1">
      <alignment horizontal="center" vertical="center" wrapText="1"/>
    </xf>
    <xf numFmtId="191" fontId="52" fillId="6" borderId="20" xfId="0" applyFont="1" applyFill="1" applyBorder="1" applyAlignment="1" applyProtection="1">
      <alignment horizontal="center" vertical="center" wrapText="1"/>
    </xf>
    <xf numFmtId="191" fontId="52" fillId="6" borderId="21" xfId="0" applyFont="1" applyFill="1" applyBorder="1" applyAlignment="1" applyProtection="1">
      <alignment horizontal="center" vertical="center" wrapText="1"/>
    </xf>
    <xf numFmtId="191" fontId="52" fillId="6" borderId="46" xfId="0" applyFont="1" applyFill="1" applyBorder="1" applyAlignment="1" applyProtection="1">
      <alignment horizontal="left" vertical="center" wrapText="1"/>
    </xf>
    <xf numFmtId="191" fontId="52" fillId="6" borderId="36" xfId="0" applyFont="1" applyFill="1" applyBorder="1" applyAlignment="1" applyProtection="1">
      <alignment horizontal="left" vertical="center" wrapText="1"/>
    </xf>
    <xf numFmtId="191" fontId="52" fillId="6" borderId="22" xfId="0" applyFont="1" applyFill="1" applyBorder="1" applyAlignment="1" applyProtection="1">
      <alignment horizontal="left" vertical="center" wrapText="1"/>
    </xf>
    <xf numFmtId="191" fontId="46" fillId="6" borderId="40" xfId="0" applyFont="1" applyFill="1" applyBorder="1" applyAlignment="1" applyProtection="1">
      <alignment horizontal="left" vertical="center" wrapText="1"/>
    </xf>
    <xf numFmtId="191"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91" fontId="46" fillId="6" borderId="21" xfId="0" applyFont="1" applyFill="1" applyBorder="1" applyAlignment="1" applyProtection="1">
      <alignment horizontal="center" vertical="center"/>
    </xf>
    <xf numFmtId="191" fontId="52" fillId="6" borderId="47" xfId="0" applyFont="1" applyFill="1" applyBorder="1" applyAlignment="1" applyProtection="1">
      <alignment horizontal="center" vertical="center"/>
    </xf>
    <xf numFmtId="191" fontId="44" fillId="6" borderId="1" xfId="0" applyFont="1" applyFill="1" applyBorder="1" applyAlignment="1" applyProtection="1">
      <alignment horizontal="left" vertical="center" wrapText="1"/>
    </xf>
    <xf numFmtId="191" fontId="47" fillId="6" borderId="23" xfId="0" applyFont="1" applyFill="1" applyBorder="1" applyAlignment="1" applyProtection="1">
      <alignment horizontal="left" vertical="center" wrapText="1"/>
    </xf>
    <xf numFmtId="191" fontId="47" fillId="6" borderId="1" xfId="0" applyFont="1" applyFill="1" applyBorder="1" applyAlignment="1" applyProtection="1">
      <alignment horizontal="left" vertical="center" wrapText="1"/>
    </xf>
    <xf numFmtId="191" fontId="44" fillId="0" borderId="13" xfId="0" applyFont="1" applyBorder="1" applyAlignment="1" applyProtection="1">
      <alignment horizontal="center" vertical="center"/>
      <protection locked="0"/>
    </xf>
    <xf numFmtId="191" fontId="44" fillId="0" borderId="15" xfId="0" applyFont="1" applyBorder="1" applyAlignment="1" applyProtection="1">
      <alignment horizontal="center" vertical="center"/>
      <protection locked="0"/>
    </xf>
    <xf numFmtId="191"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191" fontId="129" fillId="6" borderId="58" xfId="0" applyFont="1" applyFill="1" applyBorder="1" applyAlignment="1" applyProtection="1">
      <alignment horizontal="left" vertical="center" wrapText="1"/>
    </xf>
    <xf numFmtId="191" fontId="129" fillId="6" borderId="0" xfId="0" applyFont="1" applyFill="1" applyAlignment="1" applyProtection="1">
      <alignment horizontal="left" vertical="center" wrapText="1"/>
    </xf>
    <xf numFmtId="191" fontId="47" fillId="6" borderId="5" xfId="0" applyFont="1" applyFill="1" applyBorder="1" applyAlignment="1" applyProtection="1">
      <alignment horizontal="left" vertical="center" wrapText="1"/>
    </xf>
    <xf numFmtId="191" fontId="47" fillId="6" borderId="3" xfId="0" applyFont="1" applyFill="1" applyBorder="1" applyAlignment="1" applyProtection="1">
      <alignment horizontal="left" vertical="center" wrapText="1"/>
    </xf>
    <xf numFmtId="191" fontId="46" fillId="6" borderId="40" xfId="0" applyFont="1" applyFill="1" applyBorder="1" applyAlignment="1" applyProtection="1">
      <alignment horizontal="center" vertical="center" wrapText="1"/>
    </xf>
    <xf numFmtId="191" fontId="46" fillId="6" borderId="14" xfId="0" applyFont="1" applyFill="1" applyBorder="1" applyAlignment="1" applyProtection="1">
      <alignment horizontal="center" vertical="center" wrapText="1"/>
    </xf>
    <xf numFmtId="191" fontId="46" fillId="6" borderId="12" xfId="0" applyFont="1" applyFill="1" applyBorder="1" applyAlignment="1" applyProtection="1">
      <alignment horizontal="center" vertical="center" wrapText="1"/>
    </xf>
    <xf numFmtId="191" fontId="54" fillId="6" borderId="6" xfId="0" applyFont="1" applyFill="1" applyBorder="1" applyAlignment="1" applyProtection="1">
      <alignment horizontal="left" vertical="center" wrapText="1"/>
    </xf>
    <xf numFmtId="191" fontId="54" fillId="6" borderId="9" xfId="0" applyFont="1" applyFill="1" applyBorder="1" applyAlignment="1" applyProtection="1">
      <alignment horizontal="left" vertical="center" wrapText="1"/>
    </xf>
    <xf numFmtId="191" fontId="47" fillId="6" borderId="11" xfId="0" applyFont="1" applyFill="1" applyBorder="1" applyAlignment="1" applyProtection="1">
      <alignment horizontal="left" vertical="center" wrapText="1"/>
    </xf>
    <xf numFmtId="191" fontId="100" fillId="6" borderId="63" xfId="0" applyFont="1" applyFill="1" applyBorder="1" applyAlignment="1" applyProtection="1">
      <alignment horizontal="center" vertical="center"/>
    </xf>
    <xf numFmtId="191" fontId="100" fillId="6" borderId="64" xfId="0" applyFont="1" applyFill="1" applyBorder="1" applyAlignment="1" applyProtection="1">
      <alignment horizontal="center" vertical="center"/>
    </xf>
    <xf numFmtId="191" fontId="100" fillId="6" borderId="65" xfId="0" applyFont="1" applyFill="1" applyBorder="1" applyAlignment="1" applyProtection="1">
      <alignment horizontal="center" vertical="center"/>
    </xf>
    <xf numFmtId="191" fontId="44" fillId="0" borderId="1" xfId="0" applyFont="1" applyBorder="1" applyAlignment="1" applyProtection="1">
      <alignment horizontal="center" vertical="center"/>
      <protection locked="0"/>
    </xf>
    <xf numFmtId="191" fontId="47" fillId="6" borderId="69" xfId="0" applyFont="1" applyFill="1" applyBorder="1" applyAlignment="1" applyProtection="1">
      <alignment horizontal="center" vertical="center"/>
    </xf>
    <xf numFmtId="191" fontId="47" fillId="6" borderId="60" xfId="0" applyFont="1" applyFill="1" applyBorder="1" applyAlignment="1" applyProtection="1">
      <alignment horizontal="center" vertical="center"/>
    </xf>
    <xf numFmtId="191" fontId="47" fillId="6" borderId="5" xfId="0" applyFont="1" applyFill="1" applyBorder="1" applyAlignment="1" applyProtection="1">
      <alignment horizontal="center" vertical="center" wrapText="1"/>
    </xf>
    <xf numFmtId="191" fontId="47" fillId="6" borderId="54" xfId="0" applyFont="1" applyFill="1" applyBorder="1" applyAlignment="1" applyProtection="1">
      <alignment horizontal="center" vertical="center" wrapText="1"/>
    </xf>
    <xf numFmtId="191" fontId="47" fillId="6" borderId="3" xfId="0" applyFont="1" applyFill="1" applyBorder="1" applyAlignment="1" applyProtection="1">
      <alignment horizontal="center" vertical="center" wrapText="1"/>
    </xf>
    <xf numFmtId="191" fontId="46" fillId="6" borderId="23" xfId="0" applyFont="1" applyFill="1" applyBorder="1" applyAlignment="1" applyProtection="1">
      <alignment horizontal="left" vertical="center"/>
    </xf>
    <xf numFmtId="191" fontId="46" fillId="6" borderId="1" xfId="0" applyFont="1" applyFill="1" applyBorder="1" applyAlignment="1" applyProtection="1">
      <alignment horizontal="left" vertical="center"/>
    </xf>
    <xf numFmtId="191" fontId="46" fillId="6" borderId="1" xfId="0" applyFont="1" applyFill="1" applyBorder="1" applyAlignment="1" applyProtection="1">
      <alignment horizontal="left" vertical="center" wrapText="1"/>
    </xf>
    <xf numFmtId="191" fontId="125" fillId="6" borderId="23" xfId="0" applyFont="1" applyFill="1" applyBorder="1" applyAlignment="1" applyProtection="1">
      <alignment horizontal="left" vertical="center"/>
    </xf>
    <xf numFmtId="191" fontId="125" fillId="6" borderId="25" xfId="0" applyFont="1" applyFill="1" applyBorder="1" applyAlignment="1" applyProtection="1">
      <alignment horizontal="left" vertical="center"/>
    </xf>
    <xf numFmtId="191" fontId="47" fillId="6" borderId="19" xfId="0" applyFont="1" applyFill="1" applyBorder="1" applyAlignment="1" applyProtection="1">
      <alignment horizontal="left" vertical="center" wrapText="1"/>
    </xf>
    <xf numFmtId="191" fontId="44" fillId="5" borderId="13" xfId="0" applyFont="1" applyFill="1" applyBorder="1" applyAlignment="1" applyProtection="1">
      <alignment horizontal="left" vertical="center" wrapText="1"/>
      <protection locked="0"/>
    </xf>
    <xf numFmtId="191" fontId="44" fillId="5" borderId="2" xfId="0" applyFont="1" applyFill="1" applyBorder="1" applyAlignment="1" applyProtection="1">
      <alignment horizontal="left" vertical="center" wrapText="1"/>
      <protection locked="0"/>
    </xf>
    <xf numFmtId="191" fontId="47" fillId="6" borderId="48" xfId="0" applyFont="1" applyFill="1" applyBorder="1" applyAlignment="1" applyProtection="1">
      <alignment horizontal="left" vertical="center" wrapText="1"/>
    </xf>
    <xf numFmtId="191" fontId="54" fillId="6" borderId="18" xfId="0" applyFont="1" applyFill="1" applyBorder="1" applyAlignment="1" applyProtection="1">
      <alignment horizontal="center" vertical="center" wrapText="1"/>
    </xf>
    <xf numFmtId="191" fontId="54" fillId="6" borderId="0" xfId="0" applyFont="1" applyFill="1" applyBorder="1" applyAlignment="1" applyProtection="1">
      <alignment horizontal="center" vertical="center" wrapText="1"/>
    </xf>
    <xf numFmtId="191" fontId="44" fillId="6" borderId="5" xfId="0" applyFont="1" applyFill="1" applyBorder="1" applyAlignment="1" applyProtection="1">
      <alignment horizontal="left" vertical="center" wrapText="1"/>
    </xf>
    <xf numFmtId="191" fontId="44" fillId="6" borderId="54" xfId="0" applyFont="1" applyFill="1" applyBorder="1" applyAlignment="1" applyProtection="1">
      <alignment horizontal="left" vertical="center" wrapText="1"/>
    </xf>
    <xf numFmtId="191" fontId="44" fillId="6" borderId="3" xfId="0" applyFont="1" applyFill="1" applyBorder="1" applyAlignment="1" applyProtection="1">
      <alignment horizontal="left" vertical="center" wrapText="1"/>
    </xf>
    <xf numFmtId="191" fontId="44" fillId="5" borderId="1" xfId="0" applyFont="1" applyFill="1" applyBorder="1" applyAlignment="1" applyProtection="1">
      <alignment horizontal="left" vertical="center" wrapText="1"/>
      <protection locked="0"/>
    </xf>
    <xf numFmtId="191" fontId="46" fillId="6" borderId="5" xfId="0" applyFont="1" applyFill="1" applyBorder="1" applyAlignment="1" applyProtection="1">
      <alignment horizontal="center" vertical="center"/>
    </xf>
    <xf numFmtId="191" fontId="46" fillId="6" borderId="54" xfId="0" applyFont="1" applyFill="1" applyBorder="1" applyAlignment="1" applyProtection="1">
      <alignment horizontal="center" vertical="center"/>
    </xf>
    <xf numFmtId="191" fontId="46" fillId="6" borderId="3" xfId="0" applyFont="1" applyFill="1" applyBorder="1" applyAlignment="1" applyProtection="1">
      <alignment horizontal="center" vertical="center"/>
    </xf>
    <xf numFmtId="191" fontId="47" fillId="6" borderId="36" xfId="0" applyFont="1" applyFill="1" applyBorder="1" applyAlignment="1" applyProtection="1">
      <alignment horizontal="left" vertical="center"/>
    </xf>
    <xf numFmtId="191" fontId="44" fillId="5" borderId="5" xfId="0" applyFont="1" applyFill="1" applyBorder="1" applyAlignment="1" applyProtection="1">
      <alignment horizontal="left" vertical="center" wrapText="1"/>
      <protection locked="0"/>
    </xf>
    <xf numFmtId="191" fontId="44" fillId="5" borderId="3" xfId="0" applyFont="1" applyFill="1" applyBorder="1" applyAlignment="1" applyProtection="1">
      <alignment horizontal="left" vertical="center" wrapText="1"/>
      <protection locked="0"/>
    </xf>
    <xf numFmtId="191" fontId="102" fillId="6" borderId="1" xfId="0" applyFont="1" applyFill="1" applyBorder="1" applyAlignment="1" applyProtection="1">
      <alignment horizontal="left" vertical="center" wrapText="1"/>
    </xf>
    <xf numFmtId="191" fontId="99" fillId="6" borderId="1" xfId="0" applyFont="1" applyFill="1" applyBorder="1" applyAlignment="1" applyProtection="1">
      <alignment horizontal="left" vertical="center" wrapText="1"/>
    </xf>
    <xf numFmtId="191" fontId="99" fillId="6" borderId="13" xfId="0" applyFont="1" applyFill="1" applyBorder="1" applyAlignment="1" applyProtection="1">
      <alignment horizontal="left" vertical="center" wrapText="1"/>
    </xf>
    <xf numFmtId="191" fontId="99" fillId="6" borderId="2" xfId="0" applyFont="1" applyFill="1" applyBorder="1" applyAlignment="1" applyProtection="1">
      <alignment horizontal="left" vertical="center" wrapText="1"/>
    </xf>
    <xf numFmtId="191" fontId="47" fillId="6" borderId="25" xfId="0" applyFont="1" applyFill="1" applyBorder="1" applyAlignment="1" applyProtection="1">
      <alignment horizontal="left" vertical="center" wrapText="1"/>
    </xf>
    <xf numFmtId="191" fontId="47" fillId="6" borderId="32" xfId="0" applyFont="1" applyFill="1" applyBorder="1" applyAlignment="1" applyProtection="1">
      <alignment horizontal="left" vertical="center" wrapText="1"/>
    </xf>
    <xf numFmtId="191" fontId="47" fillId="6" borderId="61" xfId="0" applyFont="1" applyFill="1" applyBorder="1" applyAlignment="1" applyProtection="1">
      <alignment horizontal="left" vertical="center"/>
    </xf>
    <xf numFmtId="191" fontId="47" fillId="6" borderId="53" xfId="0" applyFont="1" applyFill="1" applyBorder="1" applyAlignment="1" applyProtection="1">
      <alignment horizontal="left" vertical="center"/>
    </xf>
    <xf numFmtId="191" fontId="47" fillId="6" borderId="8" xfId="0" applyFont="1" applyFill="1" applyBorder="1" applyAlignment="1" applyProtection="1">
      <alignment horizontal="left" vertical="center"/>
    </xf>
    <xf numFmtId="191" fontId="104" fillId="6" borderId="106" xfId="0" applyFont="1" applyFill="1" applyBorder="1" applyProtection="1">
      <alignment vertical="center"/>
    </xf>
    <xf numFmtId="191" fontId="104" fillId="6" borderId="107" xfId="0" applyFont="1" applyFill="1" applyBorder="1" applyProtection="1">
      <alignment vertical="center"/>
    </xf>
    <xf numFmtId="191" fontId="46" fillId="6" borderId="23" xfId="0" applyFont="1" applyFill="1" applyBorder="1" applyAlignment="1" applyProtection="1">
      <alignment horizontal="left" vertical="center" wrapText="1"/>
    </xf>
    <xf numFmtId="191" fontId="46" fillId="6" borderId="25" xfId="0" applyFont="1" applyFill="1" applyBorder="1" applyAlignment="1" applyProtection="1">
      <alignment horizontal="left" vertical="center" wrapText="1"/>
    </xf>
    <xf numFmtId="191" fontId="46" fillId="6" borderId="32" xfId="0" applyFont="1" applyFill="1" applyBorder="1" applyAlignment="1" applyProtection="1">
      <alignment horizontal="left" vertical="center" wrapText="1"/>
    </xf>
    <xf numFmtId="191" fontId="46" fillId="6" borderId="5" xfId="0" applyFont="1" applyFill="1" applyBorder="1" applyAlignment="1" applyProtection="1">
      <alignment horizontal="left" vertical="center" wrapText="1"/>
    </xf>
    <xf numFmtId="191" fontId="46" fillId="6" borderId="54" xfId="0" applyFont="1" applyFill="1" applyBorder="1" applyAlignment="1" applyProtection="1">
      <alignment horizontal="left" vertical="center" wrapText="1"/>
    </xf>
    <xf numFmtId="191" fontId="46" fillId="6" borderId="3" xfId="0" applyFont="1" applyFill="1" applyBorder="1" applyAlignment="1" applyProtection="1">
      <alignment horizontal="left" vertical="center" wrapText="1"/>
    </xf>
    <xf numFmtId="191" fontId="46" fillId="5" borderId="37" xfId="0" applyFont="1" applyFill="1" applyBorder="1" applyAlignment="1" applyProtection="1">
      <alignment horizontal="left" vertical="center" wrapText="1"/>
      <protection locked="0"/>
    </xf>
    <xf numFmtId="191" fontId="46" fillId="5" borderId="3" xfId="0" applyFont="1" applyFill="1" applyBorder="1" applyAlignment="1" applyProtection="1">
      <alignment horizontal="left" vertical="center" wrapText="1"/>
      <protection locked="0"/>
    </xf>
    <xf numFmtId="191" fontId="102" fillId="6" borderId="1" xfId="0" applyFont="1" applyFill="1" applyBorder="1" applyAlignment="1" applyProtection="1">
      <alignment horizontal="center" vertical="center" wrapText="1"/>
    </xf>
    <xf numFmtId="191"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191" fontId="126" fillId="6" borderId="1" xfId="0" applyFont="1" applyFill="1" applyBorder="1" applyAlignment="1" applyProtection="1">
      <alignment horizontal="center" vertical="center" wrapText="1"/>
    </xf>
    <xf numFmtId="191" fontId="46" fillId="6" borderId="3" xfId="0" applyFont="1" applyFill="1" applyBorder="1" applyAlignment="1" applyProtection="1">
      <alignment horizontal="left" vertical="center"/>
    </xf>
    <xf numFmtId="191" fontId="47" fillId="6" borderId="5" xfId="0" applyFont="1" applyFill="1" applyBorder="1" applyAlignment="1" applyProtection="1">
      <alignment horizontal="left" vertical="center"/>
    </xf>
    <xf numFmtId="191" fontId="47" fillId="6" borderId="54" xfId="0" applyFont="1" applyFill="1" applyBorder="1" applyAlignment="1" applyProtection="1">
      <alignment horizontal="left" vertical="center"/>
    </xf>
    <xf numFmtId="191" fontId="164" fillId="6" borderId="1" xfId="0" applyFont="1" applyFill="1" applyBorder="1" applyAlignment="1">
      <alignment horizontal="left" vertical="center" wrapText="1"/>
    </xf>
    <xf numFmtId="191"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91" fontId="53" fillId="6" borderId="61" xfId="0" applyFont="1" applyFill="1" applyBorder="1" applyAlignment="1" applyProtection="1">
      <alignment horizontal="left" vertical="center"/>
    </xf>
    <xf numFmtId="191" fontId="53" fillId="6" borderId="53" xfId="0" applyFont="1" applyFill="1" applyBorder="1" applyAlignment="1" applyProtection="1">
      <alignment horizontal="left" vertical="center"/>
    </xf>
    <xf numFmtId="191" fontId="53" fillId="6" borderId="8" xfId="0" applyFont="1" applyFill="1" applyBorder="1" applyAlignment="1" applyProtection="1">
      <alignment horizontal="left" vertical="center"/>
    </xf>
    <xf numFmtId="191" fontId="113" fillId="6" borderId="34" xfId="0" applyFont="1" applyFill="1" applyBorder="1" applyAlignment="1" applyProtection="1">
      <alignment horizontal="left" vertical="center" wrapText="1"/>
    </xf>
    <xf numFmtId="191" fontId="113" fillId="6" borderId="65" xfId="0" applyFont="1" applyFill="1" applyBorder="1" applyAlignment="1" applyProtection="1">
      <alignment horizontal="left" vertical="center" wrapText="1"/>
    </xf>
    <xf numFmtId="191" fontId="47" fillId="6" borderId="13" xfId="0" applyFont="1" applyFill="1" applyBorder="1" applyAlignment="1" applyProtection="1">
      <alignment vertical="top" wrapText="1"/>
    </xf>
    <xf numFmtId="191" fontId="47" fillId="6" borderId="15" xfId="0" applyFont="1" applyFill="1" applyBorder="1" applyAlignment="1" applyProtection="1">
      <alignment vertical="top" wrapText="1"/>
    </xf>
    <xf numFmtId="191" fontId="47" fillId="6" borderId="2" xfId="0" applyFont="1" applyFill="1" applyBorder="1" applyAlignment="1" applyProtection="1">
      <alignment vertical="top" wrapText="1"/>
    </xf>
    <xf numFmtId="191" fontId="54" fillId="6" borderId="23" xfId="4" applyFont="1" applyFill="1" applyBorder="1" applyAlignment="1" applyProtection="1">
      <alignment horizontal="left" vertical="center" wrapText="1"/>
      <protection locked="0"/>
    </xf>
    <xf numFmtId="191" fontId="54" fillId="6" borderId="13" xfId="4" applyFont="1" applyFill="1" applyBorder="1" applyAlignment="1" applyProtection="1">
      <alignment horizontal="left" vertical="center" wrapText="1"/>
      <protection locked="0"/>
    </xf>
    <xf numFmtId="191" fontId="54" fillId="6" borderId="15" xfId="4" applyFont="1" applyFill="1" applyBorder="1" applyAlignment="1" applyProtection="1">
      <alignment horizontal="left" vertical="center" wrapText="1"/>
      <protection locked="0"/>
    </xf>
    <xf numFmtId="191" fontId="54" fillId="6" borderId="2" xfId="4" applyFont="1" applyFill="1" applyBorder="1" applyAlignment="1" applyProtection="1">
      <alignment horizontal="left" vertical="center" wrapText="1"/>
      <protection locked="0"/>
    </xf>
    <xf numFmtId="191" fontId="102" fillId="6" borderId="11" xfId="4" applyFont="1" applyFill="1" applyBorder="1" applyAlignment="1" applyProtection="1">
      <alignment horizontal="left" vertical="center"/>
      <protection locked="0"/>
    </xf>
    <xf numFmtId="191" fontId="102" fillId="6" borderId="41" xfId="4" applyFont="1" applyFill="1" applyBorder="1" applyAlignment="1" applyProtection="1">
      <alignment horizontal="left" vertical="center"/>
      <protection locked="0"/>
    </xf>
    <xf numFmtId="191" fontId="54" fillId="19" borderId="69" xfId="4" applyFont="1" applyFill="1" applyBorder="1" applyAlignment="1" applyProtection="1">
      <alignment vertical="center"/>
      <protection locked="0"/>
    </xf>
    <xf numFmtId="191" fontId="54" fillId="19" borderId="7" xfId="4" applyFont="1" applyFill="1" applyBorder="1" applyAlignment="1" applyProtection="1">
      <alignment vertical="center"/>
      <protection locked="0"/>
    </xf>
    <xf numFmtId="191" fontId="54" fillId="6" borderId="37" xfId="4" applyFont="1" applyFill="1" applyBorder="1" applyAlignment="1" applyProtection="1">
      <alignment horizontal="left" vertical="center"/>
      <protection locked="0"/>
    </xf>
    <xf numFmtId="191" fontId="54" fillId="6" borderId="3" xfId="4" applyFont="1" applyFill="1" applyBorder="1" applyAlignment="1" applyProtection="1">
      <alignment horizontal="left" vertical="center"/>
      <protection locked="0"/>
    </xf>
    <xf numFmtId="191" fontId="53" fillId="6" borderId="5" xfId="4" applyFont="1" applyFill="1" applyBorder="1" applyAlignment="1">
      <alignment horizontal="left" vertical="center"/>
    </xf>
    <xf numFmtId="191" fontId="53" fillId="6" borderId="3" xfId="4" applyFont="1" applyFill="1" applyBorder="1" applyAlignment="1">
      <alignment horizontal="left" vertical="center"/>
    </xf>
    <xf numFmtId="191" fontId="54" fillId="6" borderId="33" xfId="4" applyFont="1" applyFill="1" applyBorder="1" applyAlignment="1">
      <alignment horizontal="left" vertical="center"/>
    </xf>
    <xf numFmtId="191" fontId="54" fillId="6" borderId="66" xfId="4" applyFont="1" applyFill="1" applyBorder="1" applyAlignment="1">
      <alignment horizontal="left" vertical="center"/>
    </xf>
    <xf numFmtId="191" fontId="102" fillId="6" borderId="63" xfId="4" applyFont="1" applyFill="1" applyBorder="1" applyAlignment="1">
      <alignment horizontal="left" vertical="center"/>
    </xf>
    <xf numFmtId="191" fontId="102" fillId="6" borderId="64" xfId="4" applyFont="1" applyFill="1" applyBorder="1" applyAlignment="1">
      <alignment horizontal="left" vertical="center"/>
    </xf>
    <xf numFmtId="191" fontId="102" fillId="6" borderId="70" xfId="4" applyFont="1" applyFill="1" applyBorder="1" applyAlignment="1">
      <alignment horizontal="left" vertical="center"/>
    </xf>
    <xf numFmtId="191" fontId="54" fillId="6" borderId="5" xfId="4" applyFont="1" applyFill="1" applyBorder="1" applyAlignment="1">
      <alignment horizontal="left" vertical="center"/>
    </xf>
    <xf numFmtId="191" fontId="54" fillId="6" borderId="3" xfId="4" applyFont="1" applyFill="1" applyBorder="1" applyAlignment="1">
      <alignment horizontal="left" vertical="center"/>
    </xf>
    <xf numFmtId="191" fontId="204" fillId="6" borderId="5" xfId="0" applyFont="1" applyFill="1" applyBorder="1" applyAlignment="1">
      <alignment horizontal="center" vertical="center"/>
    </xf>
    <xf numFmtId="191" fontId="204" fillId="6" borderId="3" xfId="0" applyFont="1" applyFill="1" applyBorder="1" applyAlignment="1">
      <alignment horizontal="center" vertical="center"/>
    </xf>
    <xf numFmtId="191" fontId="51" fillId="6" borderId="5" xfId="0" applyFont="1" applyFill="1" applyBorder="1" applyAlignment="1" applyProtection="1">
      <alignment horizontal="center" vertical="center" wrapText="1"/>
    </xf>
    <xf numFmtId="191" fontId="51" fillId="6" borderId="3" xfId="0" applyFont="1" applyFill="1" applyBorder="1" applyAlignment="1" applyProtection="1">
      <alignment horizontal="center" vertical="center" wrapText="1"/>
    </xf>
    <xf numFmtId="191" fontId="50" fillId="18" borderId="1" xfId="0" applyNumberFormat="1" applyFont="1" applyFill="1" applyBorder="1" applyAlignment="1" applyProtection="1">
      <alignment horizontal="center" vertical="center"/>
    </xf>
    <xf numFmtId="191" fontId="51" fillId="6" borderId="1" xfId="0"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xf>
    <xf numFmtId="191" fontId="51" fillId="6" borderId="13"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wrapText="1"/>
    </xf>
    <xf numFmtId="191" fontId="51" fillId="6" borderId="11" xfId="0" applyFont="1" applyFill="1" applyBorder="1" applyAlignment="1" applyProtection="1">
      <alignment horizontal="center" vertical="center" textRotation="255" wrapText="1"/>
    </xf>
    <xf numFmtId="191" fontId="51" fillId="6" borderId="14" xfId="0" applyFont="1" applyFill="1" applyBorder="1" applyAlignment="1" applyProtection="1">
      <alignment horizontal="center" vertical="center" textRotation="255" wrapText="1"/>
    </xf>
    <xf numFmtId="191" fontId="51" fillId="6" borderId="41" xfId="0" applyFont="1" applyFill="1" applyBorder="1" applyAlignment="1" applyProtection="1">
      <alignment horizontal="center" vertical="center" textRotation="255" wrapText="1"/>
    </xf>
    <xf numFmtId="191" fontId="51" fillId="6" borderId="15" xfId="0" applyFont="1" applyFill="1" applyBorder="1" applyAlignment="1" applyProtection="1">
      <alignment horizontal="center" vertical="center" textRotation="255" wrapText="1"/>
    </xf>
    <xf numFmtId="191" fontId="51" fillId="6" borderId="2" xfId="0" applyFont="1" applyFill="1" applyBorder="1" applyAlignment="1" applyProtection="1">
      <alignment horizontal="center" vertical="center" textRotation="255" wrapText="1"/>
    </xf>
    <xf numFmtId="191" fontId="51" fillId="6" borderId="11" xfId="0" applyFont="1" applyFill="1" applyBorder="1" applyAlignment="1" applyProtection="1">
      <alignment horizontal="center" vertical="center" wrapText="1"/>
    </xf>
    <xf numFmtId="191" fontId="51" fillId="6" borderId="14" xfId="0" applyFont="1" applyFill="1" applyBorder="1" applyAlignment="1" applyProtection="1">
      <alignment horizontal="center" vertical="center" wrapText="1"/>
    </xf>
    <xf numFmtId="191" fontId="51" fillId="6" borderId="23" xfId="0" applyFont="1" applyFill="1" applyBorder="1" applyAlignment="1" applyProtection="1">
      <alignment horizontal="center" vertical="center" wrapText="1"/>
    </xf>
    <xf numFmtId="191" fontId="51" fillId="6" borderId="13" xfId="0" applyFont="1" applyFill="1" applyBorder="1" applyAlignment="1" applyProtection="1">
      <alignment horizontal="center" vertical="center"/>
    </xf>
    <xf numFmtId="191" fontId="51" fillId="6" borderId="15" xfId="0" applyFont="1" applyFill="1" applyBorder="1" applyAlignment="1" applyProtection="1">
      <alignment horizontal="center" vertical="center"/>
    </xf>
    <xf numFmtId="191" fontId="51" fillId="6" borderId="2" xfId="0" applyFont="1" applyFill="1" applyBorder="1" applyAlignment="1" applyProtection="1">
      <alignment horizontal="center" vertical="center"/>
    </xf>
    <xf numFmtId="191" fontId="51" fillId="6" borderId="6" xfId="0" applyFont="1" applyFill="1" applyBorder="1" applyAlignment="1" applyProtection="1">
      <alignment horizontal="center" vertical="center" wrapText="1"/>
    </xf>
    <xf numFmtId="191" fontId="51" fillId="6" borderId="10" xfId="0" applyFont="1" applyFill="1" applyBorder="1" applyAlignment="1" applyProtection="1">
      <alignment horizontal="center" vertical="center" wrapText="1"/>
    </xf>
    <xf numFmtId="191" fontId="51" fillId="6" borderId="30" xfId="0" applyFont="1" applyFill="1" applyBorder="1" applyAlignment="1" applyProtection="1">
      <alignment horizontal="center" vertical="center" wrapText="1"/>
    </xf>
    <xf numFmtId="191" fontId="51" fillId="6" borderId="28" xfId="0" applyFont="1" applyFill="1" applyBorder="1" applyAlignment="1" applyProtection="1">
      <alignment horizontal="center" vertical="center" wrapText="1"/>
    </xf>
    <xf numFmtId="191" fontId="51" fillId="6" borderId="46" xfId="0" applyFont="1" applyFill="1" applyBorder="1" applyAlignment="1" applyProtection="1">
      <alignment horizontal="center" vertical="center" wrapText="1"/>
    </xf>
    <xf numFmtId="191" fontId="51" fillId="6" borderId="22" xfId="0" applyFont="1" applyFill="1" applyBorder="1" applyAlignment="1" applyProtection="1">
      <alignment horizontal="center" vertical="center" wrapText="1"/>
    </xf>
    <xf numFmtId="191" fontId="51" fillId="6" borderId="58" xfId="0" applyFont="1" applyFill="1" applyBorder="1" applyAlignment="1" applyProtection="1">
      <alignment horizontal="center" vertical="center" wrapText="1"/>
    </xf>
    <xf numFmtId="191" fontId="51" fillId="6" borderId="35" xfId="0" applyFont="1" applyFill="1" applyBorder="1" applyAlignment="1" applyProtection="1">
      <alignment horizontal="center" vertical="center" wrapText="1"/>
    </xf>
    <xf numFmtId="191" fontId="51" fillId="6" borderId="4" xfId="0" applyFont="1" applyFill="1" applyBorder="1" applyAlignment="1" applyProtection="1">
      <alignment horizontal="center" vertical="center" wrapText="1"/>
    </xf>
    <xf numFmtId="191" fontId="51" fillId="6" borderId="7" xfId="0" applyFont="1" applyFill="1" applyBorder="1" applyAlignment="1" applyProtection="1">
      <alignment horizontal="center" vertical="center" wrapText="1"/>
    </xf>
    <xf numFmtId="191" fontId="51" fillId="6" borderId="46" xfId="0" applyFont="1" applyFill="1" applyBorder="1" applyAlignment="1" applyProtection="1">
      <alignment horizontal="center" vertical="center"/>
    </xf>
    <xf numFmtId="191" fontId="51" fillId="6" borderId="22" xfId="0" applyFont="1" applyFill="1" applyBorder="1" applyAlignment="1" applyProtection="1">
      <alignment horizontal="center" vertical="center"/>
    </xf>
    <xf numFmtId="191" fontId="51" fillId="6" borderId="58" xfId="0" applyFont="1" applyFill="1" applyBorder="1" applyAlignment="1" applyProtection="1">
      <alignment horizontal="center" vertical="center"/>
    </xf>
    <xf numFmtId="191" fontId="51" fillId="6" borderId="35" xfId="0" applyFont="1" applyFill="1" applyBorder="1" applyAlignment="1" applyProtection="1">
      <alignment horizontal="center" vertical="center"/>
    </xf>
    <xf numFmtId="191" fontId="51" fillId="6" borderId="4" xfId="0" applyFont="1" applyFill="1" applyBorder="1" applyAlignment="1" applyProtection="1">
      <alignment horizontal="center" vertical="center"/>
    </xf>
    <xf numFmtId="191" fontId="51" fillId="6" borderId="7"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166" fillId="0" borderId="11" xfId="0" applyFont="1" applyFill="1" applyBorder="1" applyAlignment="1" applyProtection="1">
      <alignment horizontal="center" vertical="center" wrapText="1"/>
      <protection locked="0"/>
    </xf>
    <xf numFmtId="191" fontId="166" fillId="0" borderId="61" xfId="0" applyFont="1" applyFill="1" applyBorder="1" applyAlignment="1" applyProtection="1">
      <alignment horizontal="center" vertical="center" wrapText="1"/>
      <protection locked="0"/>
    </xf>
    <xf numFmtId="191" fontId="166" fillId="0" borderId="23" xfId="0" applyFont="1" applyFill="1" applyBorder="1" applyAlignment="1" applyProtection="1">
      <alignment horizontal="center" vertical="center" wrapText="1"/>
      <protection locked="0"/>
    </xf>
    <xf numFmtId="191" fontId="166" fillId="0" borderId="24" xfId="0" applyFont="1" applyFill="1" applyBorder="1" applyAlignment="1" applyProtection="1">
      <alignment horizontal="center" vertical="center" wrapText="1"/>
      <protection locked="0"/>
    </xf>
    <xf numFmtId="191" fontId="44" fillId="6" borderId="5" xfId="0" applyFont="1" applyFill="1" applyBorder="1" applyAlignment="1" applyProtection="1">
      <alignment horizontal="center" vertical="center"/>
    </xf>
    <xf numFmtId="191" fontId="44" fillId="6" borderId="3" xfId="0" applyFont="1" applyFill="1" applyBorder="1" applyAlignment="1" applyProtection="1">
      <alignment horizontal="center" vertical="center"/>
    </xf>
    <xf numFmtId="191" fontId="44" fillId="6" borderId="54" xfId="0" applyFont="1" applyFill="1" applyBorder="1" applyAlignment="1" applyProtection="1">
      <alignment horizontal="center" vertical="center"/>
    </xf>
    <xf numFmtId="191" fontId="208" fillId="0" borderId="22" xfId="0" applyFont="1" applyFill="1" applyBorder="1" applyAlignment="1" applyProtection="1">
      <alignment horizontal="center" vertical="center" wrapText="1"/>
      <protection locked="0"/>
    </xf>
    <xf numFmtId="191" fontId="166" fillId="0" borderId="46" xfId="0" applyFont="1" applyFill="1" applyBorder="1" applyAlignment="1" applyProtection="1">
      <alignment horizontal="center" vertical="center" wrapText="1"/>
      <protection locked="0"/>
    </xf>
    <xf numFmtId="191" fontId="208" fillId="0" borderId="3" xfId="0" applyFont="1" applyFill="1" applyBorder="1" applyAlignment="1" applyProtection="1">
      <alignment horizontal="center" vertical="center" wrapText="1"/>
      <protection locked="0"/>
    </xf>
    <xf numFmtId="191" fontId="166" fillId="0" borderId="5" xfId="0" applyFont="1" applyFill="1" applyBorder="1" applyAlignment="1" applyProtection="1">
      <alignment horizontal="center" vertical="center" wrapText="1"/>
      <protection locked="0"/>
    </xf>
    <xf numFmtId="191" fontId="0" fillId="0" borderId="0" xfId="0" applyNumberFormat="1" applyAlignment="1"/>
    <xf numFmtId="191" fontId="166" fillId="0" borderId="22" xfId="0" applyFont="1" applyFill="1" applyBorder="1" applyAlignment="1" applyProtection="1">
      <alignment horizontal="center" vertical="center" wrapText="1"/>
      <protection locked="0"/>
    </xf>
    <xf numFmtId="191" fontId="166" fillId="0" borderId="3" xfId="0" applyFont="1" applyFill="1" applyBorder="1" applyAlignment="1" applyProtection="1">
      <alignment horizontal="center" vertical="center" wrapText="1"/>
      <protection locked="0"/>
    </xf>
    <xf numFmtId="191" fontId="51" fillId="6" borderId="38" xfId="0" applyFont="1" applyFill="1" applyBorder="1" applyAlignment="1" applyProtection="1">
      <alignment horizontal="center" vertical="center" wrapText="1"/>
    </xf>
    <xf numFmtId="191" fontId="51" fillId="6" borderId="66" xfId="0" applyFont="1" applyFill="1" applyBorder="1" applyAlignment="1" applyProtection="1">
      <alignment horizontal="center" vertical="center" wrapText="1"/>
    </xf>
    <xf numFmtId="191" fontId="50" fillId="6" borderId="32" xfId="0" applyNumberFormat="1" applyFont="1" applyFill="1" applyBorder="1" applyAlignment="1" applyProtection="1">
      <alignment horizontal="center" vertical="center"/>
    </xf>
    <xf numFmtId="191" fontId="51" fillId="6" borderId="62" xfId="0" applyFont="1" applyFill="1" applyBorder="1" applyAlignment="1" applyProtection="1">
      <alignment horizontal="center" vertical="center"/>
    </xf>
    <xf numFmtId="191" fontId="51" fillId="6" borderId="53" xfId="0" applyFont="1" applyFill="1" applyBorder="1" applyAlignment="1" applyProtection="1">
      <alignment horizontal="center" vertical="center"/>
    </xf>
    <xf numFmtId="191" fontId="51" fillId="6" borderId="8" xfId="0" applyFont="1" applyFill="1" applyBorder="1" applyAlignment="1" applyProtection="1">
      <alignment horizontal="center" vertical="center"/>
    </xf>
    <xf numFmtId="191" fontId="51" fillId="6" borderId="16" xfId="0" applyFont="1" applyFill="1" applyBorder="1" applyAlignment="1" applyProtection="1">
      <alignment horizontal="center" vertical="center" wrapText="1"/>
    </xf>
    <xf numFmtId="191" fontId="51" fillId="6" borderId="39" xfId="0" applyFont="1" applyFill="1" applyBorder="1" applyAlignment="1" applyProtection="1">
      <alignment horizontal="center" vertical="center" wrapText="1"/>
    </xf>
    <xf numFmtId="191" fontId="51" fillId="6" borderId="18" xfId="0" applyFont="1" applyFill="1" applyBorder="1" applyAlignment="1" applyProtection="1">
      <alignment horizontal="center" vertical="center" wrapText="1"/>
    </xf>
    <xf numFmtId="191" fontId="51" fillId="6" borderId="69" xfId="0" applyFont="1" applyFill="1" applyBorder="1" applyAlignment="1" applyProtection="1">
      <alignment horizontal="center" vertical="center" wrapText="1"/>
    </xf>
    <xf numFmtId="191" fontId="51" fillId="6" borderId="29" xfId="0" applyFont="1" applyFill="1" applyBorder="1" applyAlignment="1" applyProtection="1">
      <alignment horizontal="center" vertical="center"/>
    </xf>
    <xf numFmtId="191" fontId="51" fillId="6" borderId="39" xfId="0" applyFont="1" applyFill="1" applyBorder="1" applyAlignment="1" applyProtection="1">
      <alignment horizontal="center" vertical="center"/>
    </xf>
    <xf numFmtId="191" fontId="51" fillId="6" borderId="9" xfId="0" applyFont="1" applyFill="1" applyBorder="1" applyAlignment="1" applyProtection="1">
      <alignment horizontal="center" vertical="center"/>
    </xf>
    <xf numFmtId="191" fontId="44" fillId="6" borderId="37" xfId="0" applyFont="1" applyFill="1" applyBorder="1" applyAlignment="1" applyProtection="1">
      <alignment horizontal="center" vertical="center"/>
    </xf>
    <xf numFmtId="191" fontId="51" fillId="6" borderId="17" xfId="0" applyFont="1" applyFill="1" applyBorder="1" applyAlignment="1" applyProtection="1">
      <alignment horizontal="center" vertical="center"/>
    </xf>
    <xf numFmtId="191" fontId="51" fillId="6" borderId="13" xfId="0" applyFont="1" applyFill="1" applyBorder="1" applyAlignment="1" applyProtection="1">
      <alignment horizontal="center" vertical="center" textRotation="255" wrapText="1"/>
    </xf>
    <xf numFmtId="191"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1" fontId="51" fillId="6" borderId="9" xfId="0" applyFont="1" applyFill="1" applyBorder="1" applyAlignment="1" applyProtection="1">
      <alignment horizontal="center" vertical="center" wrapText="1"/>
    </xf>
    <xf numFmtId="191" fontId="51" fillId="0" borderId="11" xfId="0" applyFont="1" applyFill="1" applyBorder="1" applyAlignment="1" applyProtection="1">
      <alignment horizontal="center" vertical="center" wrapText="1"/>
      <protection locked="0"/>
    </xf>
    <xf numFmtId="191" fontId="51" fillId="0" borderId="61" xfId="0" applyFont="1" applyFill="1" applyBorder="1" applyAlignment="1" applyProtection="1">
      <alignment horizontal="center" vertical="center" wrapText="1"/>
      <protection locked="0"/>
    </xf>
    <xf numFmtId="191" fontId="51" fillId="0" borderId="22" xfId="0" applyFont="1" applyFill="1" applyBorder="1" applyAlignment="1" applyProtection="1">
      <alignment horizontal="center" vertical="center" wrapText="1"/>
      <protection locked="0"/>
    </xf>
    <xf numFmtId="191" fontId="51" fillId="0" borderId="46" xfId="0" applyFont="1" applyFill="1" applyBorder="1" applyAlignment="1" applyProtection="1">
      <alignment horizontal="center" vertical="center" wrapText="1"/>
      <protection locked="0"/>
    </xf>
    <xf numFmtId="191" fontId="47" fillId="6" borderId="5"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47" fillId="6" borderId="75" xfId="0" applyFont="1" applyFill="1" applyBorder="1" applyAlignment="1" applyProtection="1">
      <alignment horizontal="center" vertical="center"/>
      <protection locked="0"/>
    </xf>
    <xf numFmtId="191" fontId="47" fillId="6" borderId="47" xfId="0" applyFont="1" applyFill="1" applyBorder="1" applyAlignment="1" applyProtection="1">
      <alignment horizontal="center" vertical="center"/>
      <protection locked="0"/>
    </xf>
    <xf numFmtId="191" fontId="47" fillId="6" borderId="73" xfId="0" applyFont="1" applyFill="1" applyBorder="1" applyAlignment="1" applyProtection="1">
      <alignment horizontal="center" vertical="center"/>
      <protection locked="0"/>
    </xf>
    <xf numFmtId="191" fontId="99" fillId="6" borderId="13" xfId="0" applyNumberFormat="1" applyFont="1" applyFill="1" applyBorder="1" applyAlignment="1" applyProtection="1">
      <alignment horizontal="left" vertical="center"/>
    </xf>
    <xf numFmtId="191" fontId="99" fillId="6" borderId="15" xfId="0" applyNumberFormat="1" applyFont="1" applyFill="1" applyBorder="1" applyAlignment="1" applyProtection="1">
      <alignment horizontal="left" vertical="center"/>
    </xf>
    <xf numFmtId="191" fontId="99" fillId="6" borderId="2" xfId="0" applyNumberFormat="1" applyFont="1" applyFill="1" applyBorder="1" applyAlignment="1" applyProtection="1">
      <alignment horizontal="left" vertical="center"/>
    </xf>
    <xf numFmtId="191" fontId="99" fillId="0" borderId="0" xfId="0" applyNumberFormat="1" applyFont="1" applyAlignment="1" applyProtection="1">
      <alignment horizontal="left" vertical="center"/>
    </xf>
    <xf numFmtId="191" fontId="53" fillId="6" borderId="54"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center" vertical="center" wrapText="1"/>
      <protection locked="0"/>
    </xf>
    <xf numFmtId="191" fontId="57" fillId="6" borderId="5" xfId="0" applyFont="1" applyFill="1" applyBorder="1" applyAlignment="1" applyProtection="1">
      <alignment horizontal="center" vertical="center" wrapText="1"/>
    </xf>
    <xf numFmtId="191" fontId="57" fillId="6" borderId="54" xfId="0" applyFont="1" applyFill="1" applyBorder="1" applyAlignment="1" applyProtection="1">
      <alignment horizontal="center" vertical="center" wrapText="1"/>
    </xf>
    <xf numFmtId="191" fontId="57" fillId="6" borderId="0" xfId="0" applyFont="1" applyFill="1" applyBorder="1" applyAlignment="1" applyProtection="1">
      <alignment horizontal="center" vertical="center" wrapText="1"/>
    </xf>
    <xf numFmtId="191"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1" fontId="102" fillId="6" borderId="0" xfId="0" applyNumberFormat="1" applyFont="1" applyFill="1" applyAlignment="1" applyProtection="1">
      <alignment horizontal="left" vertical="center"/>
    </xf>
    <xf numFmtId="191" fontId="99" fillId="6" borderId="1" xfId="0" applyNumberFormat="1" applyFont="1" applyFill="1" applyBorder="1" applyAlignment="1" applyProtection="1">
      <alignment horizontal="left" vertical="center"/>
    </xf>
    <xf numFmtId="191" fontId="139" fillId="6" borderId="13" xfId="0" applyFont="1" applyFill="1" applyBorder="1" applyAlignment="1" applyProtection="1">
      <alignment vertical="center" wrapText="1"/>
    </xf>
    <xf numFmtId="191" fontId="139" fillId="6" borderId="15" xfId="0" applyFont="1" applyFill="1" applyBorder="1" applyAlignment="1" applyProtection="1">
      <alignment vertical="center" wrapText="1"/>
    </xf>
    <xf numFmtId="191" fontId="53" fillId="6" borderId="58" xfId="0" applyFont="1" applyFill="1" applyBorder="1" applyAlignment="1" applyProtection="1">
      <alignment horizontal="center" vertical="center" wrapText="1"/>
    </xf>
    <xf numFmtId="191" fontId="53" fillId="6" borderId="35" xfId="0" applyFont="1" applyFill="1" applyBorder="1" applyAlignment="1" applyProtection="1">
      <alignment horizontal="center" vertical="center" wrapText="1"/>
    </xf>
    <xf numFmtId="191" fontId="107" fillId="6" borderId="1" xfId="0" applyNumberFormat="1" applyFont="1" applyFill="1" applyBorder="1" applyAlignment="1" applyProtection="1">
      <alignment horizontal="left" vertical="center"/>
    </xf>
    <xf numFmtId="191" fontId="107" fillId="6" borderId="13" xfId="0" applyNumberFormat="1" applyFont="1" applyFill="1" applyBorder="1" applyAlignment="1" applyProtection="1">
      <alignment horizontal="left" vertical="center"/>
    </xf>
    <xf numFmtId="191" fontId="107" fillId="6" borderId="2" xfId="0" applyNumberFormat="1" applyFont="1" applyFill="1" applyBorder="1" applyAlignment="1" applyProtection="1">
      <alignment horizontal="left" vertical="center"/>
    </xf>
    <xf numFmtId="191" fontId="107" fillId="6" borderId="15" xfId="0" applyNumberFormat="1" applyFont="1" applyFill="1" applyBorder="1" applyAlignment="1" applyProtection="1">
      <alignment horizontal="left" vertical="center"/>
    </xf>
    <xf numFmtId="191" fontId="107" fillId="6" borderId="17" xfId="0" applyNumberFormat="1" applyFont="1" applyFill="1" applyBorder="1" applyAlignment="1" applyProtection="1">
      <alignment horizontal="left" vertical="center"/>
    </xf>
    <xf numFmtId="191" fontId="107" fillId="6" borderId="74" xfId="0" applyNumberFormat="1" applyFont="1" applyFill="1" applyBorder="1" applyAlignment="1" applyProtection="1">
      <alignment horizontal="left" vertical="center"/>
    </xf>
    <xf numFmtId="191" fontId="107" fillId="6" borderId="40" xfId="0" applyNumberFormat="1" applyFont="1" applyFill="1" applyBorder="1" applyAlignment="1" applyProtection="1">
      <alignment horizontal="left" vertical="center"/>
    </xf>
    <xf numFmtId="191" fontId="107" fillId="6" borderId="14" xfId="0" applyNumberFormat="1" applyFont="1" applyFill="1" applyBorder="1" applyAlignment="1" applyProtection="1">
      <alignment horizontal="left" vertical="center"/>
    </xf>
    <xf numFmtId="191" fontId="107" fillId="6" borderId="12" xfId="0" applyNumberFormat="1" applyFont="1" applyFill="1" applyBorder="1" applyAlignment="1" applyProtection="1">
      <alignment horizontal="left" vertical="center"/>
    </xf>
    <xf numFmtId="191" fontId="107" fillId="6" borderId="6" xfId="0" applyNumberFormat="1" applyFont="1" applyFill="1" applyBorder="1" applyAlignment="1" applyProtection="1">
      <alignment horizontal="left" vertical="center"/>
    </xf>
    <xf numFmtId="191" fontId="107" fillId="6" borderId="23" xfId="0" applyNumberFormat="1" applyFont="1" applyFill="1" applyBorder="1" applyAlignment="1" applyProtection="1">
      <alignment horizontal="left" vertical="center"/>
    </xf>
    <xf numFmtId="191" fontId="107" fillId="6" borderId="25" xfId="0" applyNumberFormat="1" applyFont="1" applyFill="1" applyBorder="1" applyAlignment="1" applyProtection="1">
      <alignment horizontal="left" vertical="center"/>
    </xf>
    <xf numFmtId="191" fontId="121" fillId="6" borderId="0" xfId="0" applyFont="1" applyFill="1" applyAlignment="1" applyProtection="1">
      <alignment horizontal="left" vertical="center"/>
    </xf>
    <xf numFmtId="191" fontId="263" fillId="0" borderId="0" xfId="0" applyNumberFormat="1" applyFont="1" applyFill="1" applyAlignment="1">
      <alignment horizontal="center" vertical="center"/>
    </xf>
    <xf numFmtId="191" fontId="263" fillId="0" borderId="35" xfId="0" applyNumberFormat="1" applyFont="1" applyFill="1" applyBorder="1" applyAlignment="1">
      <alignment horizontal="center" vertical="center"/>
    </xf>
    <xf numFmtId="191" fontId="136" fillId="0" borderId="0" xfId="9" applyNumberFormat="1" applyFont="1" applyAlignment="1" applyProtection="1">
      <alignment horizontal="left" vertical="center"/>
    </xf>
    <xf numFmtId="191" fontId="102" fillId="0" borderId="0" xfId="9" applyNumberFormat="1" applyFont="1" applyAlignment="1" applyProtection="1">
      <alignment horizontal="left" vertical="center"/>
    </xf>
    <xf numFmtId="191" fontId="143" fillId="11" borderId="131"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191" fontId="143" fillId="11" borderId="127" xfId="9" applyFont="1" applyFill="1" applyBorder="1" applyAlignment="1" applyProtection="1">
      <alignment horizontal="left" vertical="center" wrapText="1"/>
    </xf>
    <xf numFmtId="191" fontId="136" fillId="0" borderId="0" xfId="9" applyFont="1" applyAlignment="1">
      <alignment horizontal="left" vertical="center"/>
    </xf>
    <xf numFmtId="191" fontId="102" fillId="0" borderId="0" xfId="9" applyFont="1" applyAlignment="1">
      <alignment horizontal="left" vertical="center"/>
    </xf>
    <xf numFmtId="191" fontId="141" fillId="0" borderId="0" xfId="9" applyFont="1" applyAlignment="1">
      <alignment horizontal="left" vertical="center"/>
    </xf>
    <xf numFmtId="191" fontId="143" fillId="11" borderId="122" xfId="9" applyFont="1" applyFill="1" applyBorder="1" applyAlignment="1" applyProtection="1">
      <alignment horizontal="left" vertical="center" wrapText="1"/>
    </xf>
    <xf numFmtId="191" fontId="99" fillId="11" borderId="131" xfId="9" applyFont="1" applyFill="1" applyBorder="1" applyAlignment="1" applyProtection="1">
      <alignment horizontal="left" vertical="center" wrapText="1"/>
    </xf>
    <xf numFmtId="191" fontId="99" fillId="11" borderId="125" xfId="9" applyFont="1" applyFill="1" applyBorder="1" applyAlignment="1" applyProtection="1">
      <alignment horizontal="left" vertical="center" wrapText="1"/>
    </xf>
    <xf numFmtId="191" fontId="99" fillId="11" borderId="127" xfId="9" applyFont="1" applyFill="1" applyBorder="1" applyAlignment="1" applyProtection="1">
      <alignment horizontal="left" vertical="center" wrapText="1"/>
    </xf>
    <xf numFmtId="191" fontId="143" fillId="11" borderId="153" xfId="9" applyFont="1" applyFill="1" applyBorder="1" applyAlignment="1" applyProtection="1">
      <alignment horizontal="left" vertical="center" wrapText="1"/>
    </xf>
    <xf numFmtId="191" fontId="254" fillId="6" borderId="6" xfId="0" applyNumberFormat="1" applyFont="1" applyFill="1" applyBorder="1" applyAlignment="1" applyProtection="1">
      <alignment horizontal="left" vertical="center" wrapText="1"/>
    </xf>
    <xf numFmtId="191" fontId="254" fillId="6" borderId="25" xfId="0" applyNumberFormat="1" applyFont="1" applyFill="1" applyBorder="1" applyAlignment="1" applyProtection="1">
      <alignment horizontal="left" vertical="center" wrapText="1"/>
    </xf>
    <xf numFmtId="191" fontId="254" fillId="6" borderId="0" xfId="0" applyNumberFormat="1" applyFont="1" applyFill="1" applyAlignment="1" applyProtection="1">
      <alignment horizontal="center" vertical="center"/>
    </xf>
    <xf numFmtId="191" fontId="254" fillId="6" borderId="56" xfId="0" applyNumberFormat="1" applyFont="1" applyFill="1" applyBorder="1" applyAlignment="1" applyProtection="1">
      <alignment horizontal="center" vertical="center"/>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60" fillId="6" borderId="13" xfId="12" applyNumberFormat="1" applyFont="1" applyFill="1" applyBorder="1" applyAlignment="1" applyProtection="1">
      <alignment horizontal="left" vertical="center" wrapText="1"/>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11</xdr:row>
      <xdr:rowOff>121920</xdr:rowOff>
    </xdr:from>
    <xdr:to>
      <xdr:col>12</xdr:col>
      <xdr:colOff>111954</xdr:colOff>
      <xdr:row>16</xdr:row>
      <xdr:rowOff>107520</xdr:rowOff>
    </xdr:to>
    <xdr:pic>
      <xdr:nvPicPr>
        <xdr:cNvPr id="2" name="图片 1"/>
        <xdr:cNvPicPr>
          <a:picLocks noChangeAspect="1"/>
        </xdr:cNvPicPr>
      </xdr:nvPicPr>
      <xdr:blipFill>
        <a:blip xmlns:r="http://schemas.openxmlformats.org/officeDocument/2006/relationships" r:embed="rId1"/>
        <a:stretch>
          <a:fillRect/>
        </a:stretch>
      </xdr:blipFill>
      <xdr:spPr>
        <a:xfrm>
          <a:off x="457200" y="2133600"/>
          <a:ext cx="10353234" cy="900000"/>
        </a:xfrm>
        <a:prstGeom prst="rect">
          <a:avLst/>
        </a:prstGeom>
      </xdr:spPr>
    </xdr:pic>
    <xdr:clientData/>
  </xdr:twoCellAnchor>
  <xdr:twoCellAnchor editAs="oneCell">
    <xdr:from>
      <xdr:col>1</xdr:col>
      <xdr:colOff>68580</xdr:colOff>
      <xdr:row>16</xdr:row>
      <xdr:rowOff>99060</xdr:rowOff>
    </xdr:from>
    <xdr:to>
      <xdr:col>12</xdr:col>
      <xdr:colOff>257767</xdr:colOff>
      <xdr:row>42</xdr:row>
      <xdr:rowOff>24180</xdr:rowOff>
    </xdr:to>
    <xdr:pic>
      <xdr:nvPicPr>
        <xdr:cNvPr id="3" name="图片 2"/>
        <xdr:cNvPicPr>
          <a:picLocks noChangeAspect="1"/>
        </xdr:cNvPicPr>
      </xdr:nvPicPr>
      <xdr:blipFill>
        <a:blip xmlns:r="http://schemas.openxmlformats.org/officeDocument/2006/relationships" r:embed="rId2"/>
        <a:stretch>
          <a:fillRect/>
        </a:stretch>
      </xdr:blipFill>
      <xdr:spPr>
        <a:xfrm>
          <a:off x="449580" y="3025140"/>
          <a:ext cx="10506667" cy="4680000"/>
        </a:xfrm>
        <a:prstGeom prst="rect">
          <a:avLst/>
        </a:prstGeom>
      </xdr:spPr>
    </xdr:pic>
    <xdr:clientData/>
  </xdr:twoCellAnchor>
  <xdr:twoCellAnchor editAs="oneCell">
    <xdr:from>
      <xdr:col>1</xdr:col>
      <xdr:colOff>205740</xdr:colOff>
      <xdr:row>41</xdr:row>
      <xdr:rowOff>167640</xdr:rowOff>
    </xdr:from>
    <xdr:to>
      <xdr:col>12</xdr:col>
      <xdr:colOff>576747</xdr:colOff>
      <xdr:row>69</xdr:row>
      <xdr:rowOff>87000</xdr:rowOff>
    </xdr:to>
    <xdr:pic>
      <xdr:nvPicPr>
        <xdr:cNvPr id="4" name="图片 3"/>
        <xdr:cNvPicPr>
          <a:picLocks noChangeAspect="1"/>
        </xdr:cNvPicPr>
      </xdr:nvPicPr>
      <xdr:blipFill>
        <a:blip xmlns:r="http://schemas.openxmlformats.org/officeDocument/2006/relationships" r:embed="rId3"/>
        <a:stretch>
          <a:fillRect/>
        </a:stretch>
      </xdr:blipFill>
      <xdr:spPr>
        <a:xfrm>
          <a:off x="586740" y="7665720"/>
          <a:ext cx="10688487" cy="5040000"/>
        </a:xfrm>
        <a:prstGeom prst="rect">
          <a:avLst/>
        </a:prstGeom>
      </xdr:spPr>
    </xdr:pic>
    <xdr:clientData/>
  </xdr:twoCellAnchor>
  <xdr:twoCellAnchor editAs="oneCell">
    <xdr:from>
      <xdr:col>1</xdr:col>
      <xdr:colOff>22860</xdr:colOff>
      <xdr:row>70</xdr:row>
      <xdr:rowOff>175260</xdr:rowOff>
    </xdr:from>
    <xdr:to>
      <xdr:col>5</xdr:col>
      <xdr:colOff>486119</xdr:colOff>
      <xdr:row>84</xdr:row>
      <xdr:rowOff>134940</xdr:rowOff>
    </xdr:to>
    <xdr:pic>
      <xdr:nvPicPr>
        <xdr:cNvPr id="5" name="图片 4"/>
        <xdr:cNvPicPr>
          <a:picLocks noChangeAspect="1"/>
        </xdr:cNvPicPr>
      </xdr:nvPicPr>
      <xdr:blipFill>
        <a:blip xmlns:r="http://schemas.openxmlformats.org/officeDocument/2006/relationships" r:embed="rId4"/>
        <a:stretch>
          <a:fillRect/>
        </a:stretch>
      </xdr:blipFill>
      <xdr:spPr>
        <a:xfrm>
          <a:off x="403860" y="12976860"/>
          <a:ext cx="5621999" cy="2520000"/>
        </a:xfrm>
        <a:prstGeom prst="rect">
          <a:avLst/>
        </a:prstGeom>
      </xdr:spPr>
    </xdr:pic>
    <xdr:clientData/>
  </xdr:twoCellAnchor>
  <xdr:twoCellAnchor editAs="oneCell">
    <xdr:from>
      <xdr:col>5</xdr:col>
      <xdr:colOff>495300</xdr:colOff>
      <xdr:row>68</xdr:row>
      <xdr:rowOff>152400</xdr:rowOff>
    </xdr:from>
    <xdr:to>
      <xdr:col>10</xdr:col>
      <xdr:colOff>573070</xdr:colOff>
      <xdr:row>88</xdr:row>
      <xdr:rowOff>94800</xdr:rowOff>
    </xdr:to>
    <xdr:pic>
      <xdr:nvPicPr>
        <xdr:cNvPr id="6" name="图片 5"/>
        <xdr:cNvPicPr>
          <a:picLocks noChangeAspect="1"/>
        </xdr:cNvPicPr>
      </xdr:nvPicPr>
      <xdr:blipFill>
        <a:blip xmlns:r="http://schemas.openxmlformats.org/officeDocument/2006/relationships" r:embed="rId5"/>
        <a:stretch>
          <a:fillRect/>
        </a:stretch>
      </xdr:blipFill>
      <xdr:spPr>
        <a:xfrm>
          <a:off x="6035040" y="12588240"/>
          <a:ext cx="4017310" cy="3600000"/>
        </a:xfrm>
        <a:prstGeom prst="rect">
          <a:avLst/>
        </a:prstGeom>
      </xdr:spPr>
    </xdr:pic>
    <xdr:clientData/>
  </xdr:twoCellAnchor>
  <xdr:twoCellAnchor editAs="oneCell">
    <xdr:from>
      <xdr:col>0</xdr:col>
      <xdr:colOff>358140</xdr:colOff>
      <xdr:row>89</xdr:row>
      <xdr:rowOff>53340</xdr:rowOff>
    </xdr:from>
    <xdr:to>
      <xdr:col>5</xdr:col>
      <xdr:colOff>54422</xdr:colOff>
      <xdr:row>101</xdr:row>
      <xdr:rowOff>18780</xdr:rowOff>
    </xdr:to>
    <xdr:pic>
      <xdr:nvPicPr>
        <xdr:cNvPr id="7" name="图片 6"/>
        <xdr:cNvPicPr>
          <a:picLocks noChangeAspect="1"/>
        </xdr:cNvPicPr>
      </xdr:nvPicPr>
      <xdr:blipFill>
        <a:blip xmlns:r="http://schemas.openxmlformats.org/officeDocument/2006/relationships" r:embed="rId6"/>
        <a:stretch>
          <a:fillRect/>
        </a:stretch>
      </xdr:blipFill>
      <xdr:spPr>
        <a:xfrm>
          <a:off x="358140" y="16329660"/>
          <a:ext cx="5236022" cy="2160000"/>
        </a:xfrm>
        <a:prstGeom prst="rect">
          <a:avLst/>
        </a:prstGeom>
      </xdr:spPr>
    </xdr:pic>
    <xdr:clientData/>
  </xdr:twoCellAnchor>
  <xdr:twoCellAnchor editAs="oneCell">
    <xdr:from>
      <xdr:col>5</xdr:col>
      <xdr:colOff>68580</xdr:colOff>
      <xdr:row>88</xdr:row>
      <xdr:rowOff>30480</xdr:rowOff>
    </xdr:from>
    <xdr:to>
      <xdr:col>10</xdr:col>
      <xdr:colOff>500889</xdr:colOff>
      <xdr:row>107</xdr:row>
      <xdr:rowOff>155760</xdr:rowOff>
    </xdr:to>
    <xdr:pic>
      <xdr:nvPicPr>
        <xdr:cNvPr id="8" name="图片 7"/>
        <xdr:cNvPicPr>
          <a:picLocks noChangeAspect="1"/>
        </xdr:cNvPicPr>
      </xdr:nvPicPr>
      <xdr:blipFill>
        <a:blip xmlns:r="http://schemas.openxmlformats.org/officeDocument/2006/relationships" r:embed="rId7"/>
        <a:stretch>
          <a:fillRect/>
        </a:stretch>
      </xdr:blipFill>
      <xdr:spPr>
        <a:xfrm>
          <a:off x="5608320" y="16123920"/>
          <a:ext cx="4371849" cy="3600000"/>
        </a:xfrm>
        <a:prstGeom prst="rect">
          <a:avLst/>
        </a:prstGeom>
      </xdr:spPr>
    </xdr:pic>
    <xdr:clientData/>
  </xdr:twoCellAnchor>
  <xdr:twoCellAnchor editAs="oneCell">
    <xdr:from>
      <xdr:col>0</xdr:col>
      <xdr:colOff>297180</xdr:colOff>
      <xdr:row>107</xdr:row>
      <xdr:rowOff>152400</xdr:rowOff>
    </xdr:from>
    <xdr:to>
      <xdr:col>6</xdr:col>
      <xdr:colOff>113398</xdr:colOff>
      <xdr:row>121</xdr:row>
      <xdr:rowOff>112080</xdr:rowOff>
    </xdr:to>
    <xdr:pic>
      <xdr:nvPicPr>
        <xdr:cNvPr id="9" name="图片 8"/>
        <xdr:cNvPicPr>
          <a:picLocks noChangeAspect="1"/>
        </xdr:cNvPicPr>
      </xdr:nvPicPr>
      <xdr:blipFill>
        <a:blip xmlns:r="http://schemas.openxmlformats.org/officeDocument/2006/relationships" r:embed="rId8"/>
        <a:stretch>
          <a:fillRect/>
        </a:stretch>
      </xdr:blipFill>
      <xdr:spPr>
        <a:xfrm>
          <a:off x="297180" y="19720560"/>
          <a:ext cx="6232258" cy="2520000"/>
        </a:xfrm>
        <a:prstGeom prst="rect">
          <a:avLst/>
        </a:prstGeom>
      </xdr:spPr>
    </xdr:pic>
    <xdr:clientData/>
  </xdr:twoCellAnchor>
  <xdr:twoCellAnchor editAs="oneCell">
    <xdr:from>
      <xdr:col>6</xdr:col>
      <xdr:colOff>91440</xdr:colOff>
      <xdr:row>107</xdr:row>
      <xdr:rowOff>160020</xdr:rowOff>
    </xdr:from>
    <xdr:to>
      <xdr:col>15</xdr:col>
      <xdr:colOff>570676</xdr:colOff>
      <xdr:row>140</xdr:row>
      <xdr:rowOff>134504</xdr:rowOff>
    </xdr:to>
    <xdr:pic>
      <xdr:nvPicPr>
        <xdr:cNvPr id="10" name="图片 9"/>
        <xdr:cNvPicPr>
          <a:picLocks noChangeAspect="1"/>
        </xdr:cNvPicPr>
      </xdr:nvPicPr>
      <xdr:blipFill>
        <a:blip xmlns:r="http://schemas.openxmlformats.org/officeDocument/2006/relationships" r:embed="rId9"/>
        <a:stretch>
          <a:fillRect/>
        </a:stretch>
      </xdr:blipFill>
      <xdr:spPr>
        <a:xfrm>
          <a:off x="6507480" y="19728180"/>
          <a:ext cx="6590476" cy="60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27</xdr:row>
      <xdr:rowOff>76200</xdr:rowOff>
    </xdr:from>
    <xdr:to>
      <xdr:col>10</xdr:col>
      <xdr:colOff>111353</xdr:colOff>
      <xdr:row>33</xdr:row>
      <xdr:rowOff>125585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013960"/>
          <a:ext cx="8333333" cy="11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0029;&#37117;&#24742;&#24220;20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8212;&#8212;&#20029;&#37117;&#24742;&#24220;20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8212;&#8212;&#20029;&#37117;&#24742;&#24220;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案例"/>
      <sheetName val="租金"/>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0">
          <cell r="G20">
            <v>74654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案例"/>
      <sheetName val="租金"/>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0">
          <cell r="G20">
            <v>72697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案例"/>
      <sheetName val="租金"/>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0">
          <cell r="G20">
            <v>68575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估价对象为北京市房地产，为所有。根据《国有土地使用证》[]，估价对象（分摊）出让国有建设用地使用权面积为0平方米，建筑面积为164.94平方米。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估价对象为北京市房地产,属开发建设的，该项目尚在开发建设中。根据《国有土地使用证》[]，估价对象（分摊）出让国有建设用地使用权面积为0平方米，规划建筑面积为164.94平方米。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2025年6月20日</v>
      </c>
    </row>
    <row r="13" spans="1:2" s="1203" customFormat="1">
      <c r="A13" s="1201" t="s">
        <v>529</v>
      </c>
      <c r="B13" s="1202" t="str">
        <f>'预评函-1'!A18</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本次评估采用的主估价方法为比较法和收益法。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164.94</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4"/>
      <c r="B54" s="1554" t="s">
        <v>385</v>
      </c>
      <c r="C54" s="1551" t="s">
        <v>583</v>
      </c>
    </row>
    <row r="55" spans="1:4">
      <c r="A55" s="3524"/>
      <c r="B55" s="1554" t="s">
        <v>386</v>
      </c>
      <c r="C55" s="1551" t="s">
        <v>584</v>
      </c>
    </row>
    <row r="56" spans="1:4">
      <c r="A56" s="3524"/>
      <c r="B56" s="1554" t="s">
        <v>387</v>
      </c>
      <c r="C56" s="1551" t="s">
        <v>588</v>
      </c>
    </row>
    <row r="57" spans="1:4">
      <c r="A57" s="352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5" t="s">
        <v>2580</v>
      </c>
      <c r="J2" s="3525"/>
      <c r="K2" s="3525"/>
      <c r="L2" s="3525"/>
      <c r="M2" s="3525"/>
      <c r="N2" s="3525"/>
      <c r="O2" s="3525"/>
      <c r="P2" s="3525"/>
      <c r="Q2" s="3525"/>
      <c r="R2" s="3525"/>
    </row>
    <row r="3" spans="1:18">
      <c r="A3" s="3020" t="s">
        <v>2501</v>
      </c>
      <c r="B3" s="3021">
        <f>项目基本情况!D3</f>
        <v>45828</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1.49</v>
      </c>
      <c r="D5" s="3025">
        <f>IF(ISERROR(ROUND(POWER(1+E5,A5-C5)*(POWER(1+E5,C5)-1)/(POWER(1+E5,A5)-1),3)),0,ROUND(POWER(1+E5,A5-C5)*(POWER(1+E5,C5)-1)/(POWER(1+E5,A5)-1),4))</f>
        <v>7.17E-2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11.5</v>
      </c>
      <c r="D6" s="3025">
        <f>IF(ISERROR(ROUND(POWER(1+E6,A6-C6)*(POWER(1+E6,C6)-1)/(POWER(1+E6,A6)-1),3)),0,ROUND(POWER(1+E6,A6-C6)*(POWER(1+E6,C6)-1)/(POWER(1+E6,A6)-1),4))</f>
        <v>0.42249999999999999</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31.52</v>
      </c>
      <c r="D7" s="3025">
        <f>IF(ISERROR(ROUND(POWER(1+E7,A7-C7)*(POWER(1+E7,C7)-1)/(POWER(1+E7,A7)-1),3)),0,ROUND(POWER(1+E7,A7-C7)*(POWER(1+E7,C7)-1)/(POWER(1+E7,A7)-1),4))</f>
        <v>0.75819999999999999</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5" thickBot="1">
      <c r="A18" s="3031" t="s">
        <v>2516</v>
      </c>
      <c r="B18" s="3032">
        <f>ROUND(B17*F11/F12,2)</f>
        <v>5541.87</v>
      </c>
      <c r="C18" s="3032">
        <f>ROUND(F11/F12,4)</f>
        <v>1.1521999999999999</v>
      </c>
      <c r="D18" s="3033"/>
      <c r="E18" s="3033"/>
      <c r="F18" s="3034"/>
    </row>
    <row r="19" spans="1:14" ht="15" thickBot="1"/>
    <row r="20" spans="1:14" s="3069" customFormat="1" ht="1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5"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5">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5">
        <v>8</v>
      </c>
    </row>
    <row r="26" spans="1:14">
      <c r="A26" s="3040"/>
      <c r="B26" s="3041"/>
      <c r="C26" s="3041"/>
      <c r="D26" s="3041"/>
      <c r="E26" s="3041"/>
      <c r="F26" s="3041"/>
      <c r="G26" s="3042"/>
      <c r="I26" s="3058">
        <v>30</v>
      </c>
      <c r="J26" s="3058">
        <v>90.5</v>
      </c>
      <c r="K26" s="3058">
        <f t="shared" si="2"/>
        <v>4.2000000000000028</v>
      </c>
      <c r="L26" s="3058" t="s">
        <v>2571</v>
      </c>
      <c r="N26" s="3455">
        <v>5</v>
      </c>
    </row>
    <row r="27" spans="1:14">
      <c r="A27" s="3040" t="s">
        <v>2530</v>
      </c>
      <c r="B27" s="3041"/>
      <c r="C27" s="3041"/>
      <c r="D27" s="3041"/>
      <c r="E27" s="3041"/>
      <c r="F27" s="3041"/>
      <c r="G27" s="3042"/>
      <c r="I27" s="3058">
        <v>35</v>
      </c>
      <c r="J27" s="3058">
        <v>93.8</v>
      </c>
      <c r="K27" s="3058">
        <f t="shared" si="2"/>
        <v>3.2999999999999972</v>
      </c>
      <c r="L27" s="3058" t="s">
        <v>2572</v>
      </c>
      <c r="N27" s="3455">
        <v>3</v>
      </c>
    </row>
    <row r="28" spans="1:14">
      <c r="A28" s="3040" t="s">
        <v>2531</v>
      </c>
      <c r="B28" s="3041"/>
      <c r="C28" s="3041"/>
      <c r="D28" s="3041"/>
      <c r="E28" s="3041"/>
      <c r="F28" s="3041"/>
      <c r="G28" s="3042"/>
      <c r="I28" s="3058">
        <v>40</v>
      </c>
      <c r="J28" s="3058">
        <v>96.4</v>
      </c>
      <c r="K28" s="3058">
        <f t="shared" si="2"/>
        <v>2.6000000000000085</v>
      </c>
      <c r="L28" s="3058" t="s">
        <v>2573</v>
      </c>
      <c r="N28" s="3455">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5" t="s">
        <v>2568</v>
      </c>
    </row>
    <row r="37" spans="1:14">
      <c r="A37" s="3040" t="s">
        <v>2540</v>
      </c>
      <c r="B37" s="3041"/>
      <c r="C37" s="3041"/>
      <c r="D37" s="3041"/>
      <c r="E37" s="3041"/>
      <c r="F37" s="3041"/>
      <c r="G37" s="3042"/>
      <c r="I37" s="3058">
        <v>20</v>
      </c>
      <c r="J37" s="3058">
        <v>83.6</v>
      </c>
      <c r="K37" s="3058">
        <f t="shared" si="3"/>
        <v>7.2999999999999972</v>
      </c>
      <c r="L37" s="3058" t="s">
        <v>2566</v>
      </c>
      <c r="N37" s="3455">
        <v>10</v>
      </c>
    </row>
    <row r="38" spans="1:14">
      <c r="A38" s="3040" t="s">
        <v>2541</v>
      </c>
      <c r="B38" s="3041"/>
      <c r="C38" s="3041"/>
      <c r="D38" s="3041"/>
      <c r="E38" s="3041"/>
      <c r="F38" s="3041"/>
      <c r="G38" s="3042"/>
      <c r="I38" s="3058">
        <v>25</v>
      </c>
      <c r="J38" s="3058">
        <v>89.3</v>
      </c>
      <c r="K38" s="3058">
        <f t="shared" si="3"/>
        <v>5.7000000000000028</v>
      </c>
      <c r="L38" s="3058" t="s">
        <v>2570</v>
      </c>
      <c r="N38" s="3455">
        <v>8</v>
      </c>
    </row>
    <row r="39" spans="1:14">
      <c r="A39" s="3040"/>
      <c r="B39" s="3041"/>
      <c r="C39" s="3041"/>
      <c r="D39" s="3041"/>
      <c r="E39" s="3041"/>
      <c r="F39" s="3041"/>
      <c r="G39" s="3042"/>
      <c r="I39" s="3058">
        <v>30</v>
      </c>
      <c r="J39" s="3058">
        <v>93.8</v>
      </c>
      <c r="K39" s="3058">
        <f t="shared" si="3"/>
        <v>4.5</v>
      </c>
      <c r="L39" s="3058" t="s">
        <v>2571</v>
      </c>
      <c r="N39" s="3455">
        <v>6</v>
      </c>
    </row>
    <row r="40" spans="1:14">
      <c r="A40" s="3043" t="s">
        <v>2542</v>
      </c>
      <c r="B40" s="3044"/>
      <c r="C40" s="3044"/>
      <c r="D40" s="3044"/>
      <c r="E40" s="3044"/>
      <c r="F40" s="3044"/>
      <c r="G40" s="3045"/>
      <c r="I40" s="3058">
        <v>35</v>
      </c>
      <c r="J40" s="3058">
        <v>97.2</v>
      </c>
      <c r="K40" s="3058">
        <f t="shared" si="3"/>
        <v>3.4000000000000057</v>
      </c>
      <c r="L40" s="3058" t="s">
        <v>2572</v>
      </c>
      <c r="N40" s="3455">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5" thickBot="1"/>
    <row r="49" spans="1:4">
      <c r="A49" s="3013" t="s">
        <v>3387</v>
      </c>
    </row>
    <row r="50" spans="1:4">
      <c r="A50" s="3447" t="s">
        <v>3388</v>
      </c>
      <c r="B50" s="3447" t="s">
        <v>3389</v>
      </c>
      <c r="C50" s="3447" t="s">
        <v>3390</v>
      </c>
      <c r="D50" s="3447" t="s">
        <v>3391</v>
      </c>
    </row>
    <row r="51" spans="1:4">
      <c r="A51" s="3447" t="s">
        <v>3392</v>
      </c>
      <c r="B51" s="3022">
        <f>B52+B53</f>
        <v>15000</v>
      </c>
      <c r="C51" s="3448">
        <f>D51/B51</f>
        <v>2666.6666666666665</v>
      </c>
      <c r="D51" s="3022">
        <f>D52+D53</f>
        <v>40000000</v>
      </c>
    </row>
    <row r="52" spans="1:4">
      <c r="A52" s="3449" t="s">
        <v>3393</v>
      </c>
      <c r="B52" s="3450">
        <v>10000</v>
      </c>
      <c r="C52" s="3450">
        <v>1500</v>
      </c>
      <c r="D52" s="3451">
        <f>C52*B52</f>
        <v>15000000</v>
      </c>
    </row>
    <row r="53" spans="1:4">
      <c r="A53" s="3449" t="s">
        <v>3394</v>
      </c>
      <c r="B53" s="3450">
        <v>5000</v>
      </c>
      <c r="C53" s="3450">
        <v>5000</v>
      </c>
      <c r="D53" s="3451">
        <f>C53*B53</f>
        <v>25000000</v>
      </c>
    </row>
    <row r="54" spans="1:4">
      <c r="A54" s="3447" t="s">
        <v>3395</v>
      </c>
      <c r="B54" s="3022">
        <f>B51</f>
        <v>15000</v>
      </c>
      <c r="C54" s="3029">
        <v>700</v>
      </c>
      <c r="D54" s="3022">
        <f t="shared" ref="D54:D55" si="5">C54*B54</f>
        <v>10500000</v>
      </c>
    </row>
    <row r="55" spans="1:4">
      <c r="A55" s="3447" t="s">
        <v>3396</v>
      </c>
      <c r="B55" s="3022">
        <f>B51</f>
        <v>15000</v>
      </c>
      <c r="C55" s="3029">
        <v>1500</v>
      </c>
      <c r="D55" s="3022">
        <f t="shared" si="5"/>
        <v>22500000</v>
      </c>
    </row>
    <row r="56" spans="1:4">
      <c r="A56" s="3447" t="s">
        <v>3397</v>
      </c>
      <c r="B56" s="3022">
        <f>B51</f>
        <v>15000</v>
      </c>
      <c r="C56" s="3452">
        <f>C51+C54+C55</f>
        <v>4866.6666666666661</v>
      </c>
      <c r="D56" s="3022">
        <f>D51+D54+D55</f>
        <v>73000000</v>
      </c>
    </row>
    <row r="58" spans="1:4">
      <c r="A58" s="3447" t="s">
        <v>3398</v>
      </c>
      <c r="B58" s="3453">
        <v>0.05</v>
      </c>
      <c r="C58" s="3022">
        <f>C56*(1+B58)</f>
        <v>5110</v>
      </c>
      <c r="D58" s="3022">
        <f>D56*B58</f>
        <v>3650000</v>
      </c>
    </row>
    <row r="60" spans="1:4">
      <c r="A60" s="3447" t="s">
        <v>3399</v>
      </c>
      <c r="B60" s="3029">
        <v>3500</v>
      </c>
      <c r="C60" s="3029">
        <f>C53</f>
        <v>5000</v>
      </c>
      <c r="D60" s="3022">
        <f>C60*B60</f>
        <v>17500000</v>
      </c>
    </row>
    <row r="62" spans="1:4">
      <c r="A62" s="3447" t="s">
        <v>3400</v>
      </c>
      <c r="B62" s="3029">
        <f>B51</f>
        <v>15000</v>
      </c>
      <c r="C62" s="3454">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34" t="str">
        <f>IF(B10="北京市","北京市",C10)&amp;F10&amp;IF(结果表!G1="在建","出让国有建设用地使用权及在建建筑物",IF(结果表!G1="土地","出让国有建设用地使用权",))&amp;B9&amp;"预评估"</f>
        <v>北京市房地产市场价值预评估</v>
      </c>
      <c r="C1" s="3535"/>
      <c r="D1" s="3535"/>
      <c r="E1" s="3535"/>
      <c r="F1" s="3535"/>
      <c r="G1" s="3535"/>
      <c r="H1" s="3535"/>
      <c r="I1" s="353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45828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3452</v>
      </c>
      <c r="C8" s="2390"/>
      <c r="D8" s="3537" t="s">
        <v>2177</v>
      </c>
      <c r="E8" s="2391"/>
      <c r="F8" s="2392"/>
      <c r="G8" s="2663"/>
      <c r="H8" s="2663"/>
      <c r="I8" s="2663"/>
      <c r="J8" s="2439"/>
      <c r="K8" s="2614"/>
      <c r="L8" s="2613"/>
      <c r="M8" s="2613"/>
      <c r="N8" s="2439"/>
      <c r="O8" s="2450"/>
      <c r="P8" s="2439"/>
      <c r="Q8" s="2439"/>
      <c r="R8" s="2439"/>
    </row>
    <row r="9" spans="1:30" ht="13.8" thickBot="1">
      <c r="A9" s="2393" t="s">
        <v>2178</v>
      </c>
      <c r="B9" s="2394" t="s">
        <v>3453</v>
      </c>
      <c r="C9" s="2395"/>
      <c r="D9" s="3538"/>
      <c r="E9" s="2394"/>
      <c r="F9" s="2396"/>
      <c r="G9" s="2665"/>
      <c r="H9" s="2665"/>
      <c r="I9" s="2665"/>
      <c r="J9" s="2439"/>
      <c r="K9" s="2616"/>
      <c r="L9" s="2613"/>
      <c r="M9" s="2613"/>
      <c r="N9" s="2439"/>
      <c r="O9" s="2450"/>
      <c r="P9" s="2439"/>
      <c r="Q9" s="2439"/>
      <c r="R9" s="2439"/>
    </row>
    <row r="10" spans="1:30" ht="13.8" thickTop="1">
      <c r="A10" s="2397" t="s">
        <v>2179</v>
      </c>
      <c r="B10" s="2398" t="s">
        <v>3451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3450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v>61822</v>
      </c>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43.81</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44"/>
      <c r="C16" s="3545"/>
      <c r="D16" s="3546"/>
      <c r="E16" s="2413" t="s">
        <v>2194</v>
      </c>
      <c r="F16" s="3547"/>
      <c r="G16" s="3548"/>
      <c r="H16" s="3548"/>
      <c r="I16" s="3549"/>
      <c r="J16" s="2439"/>
      <c r="K16" s="2617"/>
      <c r="L16" s="2451"/>
      <c r="M16" s="2451"/>
      <c r="N16" s="2509"/>
      <c r="O16" s="2451"/>
      <c r="P16" s="2509"/>
      <c r="Q16" s="2439"/>
      <c r="R16" s="2439"/>
    </row>
    <row r="17" spans="1:28">
      <c r="A17" s="313" t="s">
        <v>2195</v>
      </c>
      <c r="B17" s="302" t="s">
        <v>2196</v>
      </c>
      <c r="C17" s="8">
        <f>'数据-汇总表'!E3</f>
        <v>164.94</v>
      </c>
      <c r="D17" s="2322" t="s">
        <v>2197</v>
      </c>
      <c r="E17" s="3550" t="s">
        <v>2198</v>
      </c>
      <c r="F17" s="3551"/>
      <c r="G17" s="3551"/>
      <c r="H17" s="3551"/>
      <c r="I17" s="3552"/>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553" t="s">
        <v>2202</v>
      </c>
      <c r="F18" s="3554"/>
      <c r="G18" s="3554"/>
      <c r="H18" s="3554"/>
      <c r="I18" s="3555"/>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40" t="s">
        <v>2206</v>
      </c>
      <c r="C20" s="3541"/>
      <c r="D20" s="3542" t="s">
        <v>2207</v>
      </c>
      <c r="E20" s="3543"/>
      <c r="F20" s="2647" t="s">
        <v>1056</v>
      </c>
      <c r="G20" s="2664"/>
      <c r="H20" s="2664"/>
      <c r="I20" s="2664"/>
      <c r="J20" s="2439"/>
      <c r="K20" s="353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3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3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27"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7"/>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7"/>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8"/>
      <c r="B30" s="302" t="s">
        <v>2218</v>
      </c>
      <c r="C30" s="3529"/>
      <c r="D30" s="3530"/>
      <c r="E30" s="2664"/>
      <c r="F30" s="2664"/>
      <c r="G30" s="2664"/>
      <c r="H30" s="2664"/>
      <c r="I30" s="2664"/>
      <c r="J30" s="2439"/>
      <c r="K30" s="2616"/>
      <c r="L30" s="2613"/>
      <c r="M30" s="2613"/>
      <c r="N30" s="2439"/>
      <c r="O30" s="2450"/>
      <c r="P30" s="2439"/>
      <c r="Q30" s="2439"/>
      <c r="R30" s="2439"/>
      <c r="S30" s="2439"/>
      <c r="T30" s="2439"/>
      <c r="U30" s="2439"/>
      <c r="V30" s="2439"/>
    </row>
    <row r="31" spans="1:28">
      <c r="A31" s="3531"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6" t="s">
        <v>2228</v>
      </c>
      <c r="T34" s="2428" t="str">
        <f>NUMBERSTRING(7-K34,1)&amp;"通"</f>
        <v>七通</v>
      </c>
      <c r="U34" s="2439"/>
      <c r="V34" s="2439"/>
    </row>
    <row r="35" spans="1:30">
      <c r="A35" s="2429"/>
      <c r="B35" s="3533" t="s">
        <v>2229</v>
      </c>
      <c r="C35" s="3533"/>
      <c r="D35" s="3533"/>
      <c r="E35" s="353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2" sqref="L22"/>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622.9799999999999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622.9799999999999</v>
      </c>
      <c r="H5" s="13">
        <f t="shared" ref="H5:AT5" si="0">SUM(H13:H656)</f>
        <v>622.9799999999999</v>
      </c>
      <c r="I5" s="13">
        <f t="shared" si="0"/>
        <v>622.9799999999999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164.94</v>
      </c>
      <c r="BA5" s="15">
        <f t="shared" si="1"/>
        <v>164.94</v>
      </c>
      <c r="BB5" s="15">
        <f t="shared" si="1"/>
        <v>164.94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3446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3406</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t="s">
        <v>43</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v>202</v>
      </c>
      <c r="D13" s="1625" t="s">
        <v>3447</v>
      </c>
      <c r="E13" s="13">
        <f>IF($C$3="是",ROUND($A$3*G13/$B$3,2),ROUND($A$3*(G13-AT13)/$B$3,2))</f>
        <v>0</v>
      </c>
      <c r="F13" s="29"/>
      <c r="G13" s="30">
        <f>H13+AC13+AT13</f>
        <v>164.94</v>
      </c>
      <c r="H13" s="17">
        <f>SUMIF(I$12:AB$12,"总值",I13:AB13)</f>
        <v>164.94</v>
      </c>
      <c r="I13" s="1626">
        <v>164.94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202</v>
      </c>
      <c r="AY13" s="1349">
        <f>ROUND($AY$6*AZ13/$AZ$5,2)</f>
        <v>0</v>
      </c>
      <c r="AZ13" s="13">
        <f>BA13+BL13</f>
        <v>164.94</v>
      </c>
      <c r="BA13" s="13">
        <f>SUM(BB13:BK13)</f>
        <v>164.94</v>
      </c>
      <c r="BB13" s="13">
        <f>IF($D13="是",I13-J13,0)</f>
        <v>164.94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v>204</v>
      </c>
      <c r="D14" s="1625" t="s">
        <v>3448</v>
      </c>
      <c r="E14" s="13">
        <f>IF($C$3="是",ROUND($A$3*G14/$B$3,2),ROUND($A$3*(G14-AT14)/$B$3,2))</f>
        <v>0</v>
      </c>
      <c r="F14" s="29"/>
      <c r="G14" s="30">
        <f>H14+AC14+AT14</f>
        <v>132.97999999999999</v>
      </c>
      <c r="H14" s="17">
        <f>SUMIF(I$12:AB$12,"总值",I14:AB14)</f>
        <v>132.97999999999999</v>
      </c>
      <c r="I14" s="1626">
        <v>132.97999999999999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204</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v>205</v>
      </c>
      <c r="D15" s="1625" t="s">
        <v>3448</v>
      </c>
      <c r="E15" s="13">
        <f>IF($C$3="是",ROUND($A$3*G15/$B$3,2),ROUND($A$3*(G15-AT15)/$B$3,2))</f>
        <v>0</v>
      </c>
      <c r="F15" s="29"/>
      <c r="G15" s="30">
        <f>H15+AC15+AT15</f>
        <v>183.28</v>
      </c>
      <c r="H15" s="17">
        <f>SUMIF(I$12:AB$12,"总值",I15:AB15)</f>
        <v>183.28</v>
      </c>
      <c r="I15" s="1626">
        <v>183.28</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205</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v>206</v>
      </c>
      <c r="D16" s="1625" t="s">
        <v>3448</v>
      </c>
      <c r="E16" s="13">
        <f>IF($C$3="是",ROUND($A$3*G16/$B$3,2),ROUND($A$3*(G16-AT16)/$B$3,2))</f>
        <v>0</v>
      </c>
      <c r="F16" s="29"/>
      <c r="G16" s="30">
        <f>H16+AC16+AT16</f>
        <v>141.78</v>
      </c>
      <c r="H16" s="17">
        <f>SUMIF(I$12:AB$12,"总值",I16:AB16)</f>
        <v>141.78</v>
      </c>
      <c r="I16" s="1626">
        <v>141.78</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206</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1" sqref="H41"/>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65" t="s">
        <v>1131</v>
      </c>
      <c r="B2" s="3565"/>
      <c r="C2" s="3565"/>
      <c r="D2" s="796" t="s">
        <v>1107</v>
      </c>
      <c r="E2" s="1639" t="s">
        <v>1108</v>
      </c>
      <c r="F2" s="2659"/>
      <c r="G2" s="2650"/>
      <c r="H2" s="2651"/>
      <c r="I2" s="2325" t="s">
        <v>1132</v>
      </c>
      <c r="J2" s="2659"/>
      <c r="K2" s="2659"/>
      <c r="L2" s="2659"/>
      <c r="M2" s="2659"/>
      <c r="N2" s="2661"/>
      <c r="O2" s="2659"/>
      <c r="P2" s="2659"/>
    </row>
    <row r="3" spans="1:16" ht="15" thickBot="1">
      <c r="A3" s="3566" t="s">
        <v>1105</v>
      </c>
      <c r="B3" s="3566"/>
      <c r="C3" s="3566"/>
      <c r="D3" s="43">
        <f>'数据-基础表'!AY6</f>
        <v>0</v>
      </c>
      <c r="E3" s="43">
        <f>'数据-基础表'!AZ5</f>
        <v>164.94</v>
      </c>
      <c r="F3" s="2659"/>
      <c r="G3" s="1145"/>
      <c r="H3" s="1026" t="s">
        <v>1106</v>
      </c>
      <c r="I3" s="855" t="e">
        <f>ROUND('数据-基础表'!B3/'数据-基础表'!A3,2)</f>
        <v>#DIV/0!</v>
      </c>
      <c r="J3" s="2659"/>
      <c r="K3" s="2659"/>
      <c r="L3" s="2659"/>
      <c r="M3" s="2659"/>
      <c r="N3" s="2661"/>
      <c r="O3" s="2659"/>
      <c r="P3" s="2659"/>
    </row>
    <row r="4" spans="1:16" ht="14.4">
      <c r="A4" s="3567"/>
      <c r="B4" s="3568"/>
      <c r="C4" s="3569"/>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70" t="s">
        <v>1110</v>
      </c>
      <c r="C5" s="3570"/>
      <c r="D5" s="45">
        <f>ROUND($D$3*E5/$E$3,2)</f>
        <v>0</v>
      </c>
      <c r="E5" s="46">
        <f>SUMIF('数据-基础表'!$11:$11,"住宅",'数据-基础表'!$5:$5)</f>
        <v>164.94</v>
      </c>
      <c r="F5" s="2659"/>
      <c r="G5" s="1145"/>
      <c r="H5" s="1026" t="s">
        <v>1106</v>
      </c>
      <c r="I5" s="855" t="e">
        <f>ROUND(E31/D31,2)</f>
        <v>#DIV/0!</v>
      </c>
      <c r="J5" s="2659"/>
      <c r="K5" s="2659"/>
      <c r="L5" s="2659"/>
      <c r="M5" s="2659"/>
      <c r="N5" s="2659"/>
      <c r="O5" s="2659"/>
      <c r="P5" s="2659"/>
    </row>
    <row r="6" spans="1:16" ht="15" thickBot="1">
      <c r="A6" s="1644"/>
      <c r="B6" s="3570" t="s">
        <v>1111</v>
      </c>
      <c r="C6" s="3570"/>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62"/>
      <c r="B7" s="3563"/>
      <c r="C7" s="3564"/>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164.94</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164.94</v>
      </c>
      <c r="F16" s="2659"/>
      <c r="G16" s="2660"/>
      <c r="H16" s="1648" t="s">
        <v>1135</v>
      </c>
      <c r="I16" s="1649"/>
      <c r="J16" s="1139"/>
      <c r="K16" s="3559" t="s">
        <v>1135</v>
      </c>
      <c r="L16" s="3560"/>
      <c r="M16" s="3560"/>
      <c r="N16" s="3560"/>
      <c r="O16" s="3560"/>
      <c r="P16" s="3561"/>
    </row>
    <row r="17" spans="1:19" ht="14.4">
      <c r="A17" s="1650" t="s">
        <v>1136</v>
      </c>
      <c r="B17" s="1651" t="s">
        <v>1137</v>
      </c>
      <c r="C17" s="1652" t="s">
        <v>1138</v>
      </c>
      <c r="D17" s="1653" t="s">
        <v>1126</v>
      </c>
      <c r="E17" s="1654" t="s">
        <v>1127</v>
      </c>
      <c r="F17" s="1655"/>
      <c r="G17" s="1656"/>
      <c r="H17" s="1657" t="s">
        <v>1139</v>
      </c>
      <c r="I17" s="1658" t="s">
        <v>1124</v>
      </c>
      <c r="J17" s="1139"/>
      <c r="K17" s="3556" t="s">
        <v>1140</v>
      </c>
      <c r="L17" s="3557"/>
      <c r="M17" s="3558"/>
      <c r="N17" s="3556" t="s">
        <v>1141</v>
      </c>
      <c r="O17" s="3557"/>
      <c r="P17" s="3558"/>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3449</v>
      </c>
      <c r="D19" s="45">
        <f>ROUND($D$3*E19/$E$3,2)</f>
        <v>0</v>
      </c>
      <c r="E19" s="53">
        <f t="shared" ref="E19:E26" si="1">SUM(F19:G19)</f>
        <v>164.94</v>
      </c>
      <c r="F19" s="2795">
        <f>'数据-基础表'!I13</f>
        <v>164.94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164.94</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164.94</v>
      </c>
      <c r="F27" s="1140">
        <f>IF(SUM(F19:F26)=E8,SUM(F19:F26),"地上面积有误")</f>
        <v>164.94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164.94</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164.94</v>
      </c>
      <c r="F31" s="677">
        <f>F27+F30</f>
        <v>164.94</v>
      </c>
      <c r="G31" s="678">
        <f>G27+G30</f>
        <v>0</v>
      </c>
      <c r="H31" s="2659"/>
      <c r="I31" s="2659"/>
      <c r="J31" s="2659"/>
      <c r="K31" s="2659"/>
      <c r="L31" s="2659"/>
      <c r="M31" s="2659"/>
      <c r="N31" s="2659"/>
      <c r="O31" s="2659"/>
      <c r="P31" s="2659"/>
    </row>
    <row r="32" spans="1:19" ht="14.4">
      <c r="A32" s="1643"/>
      <c r="B32" s="1643" t="s">
        <v>1159</v>
      </c>
      <c r="C32" s="1643"/>
      <c r="D32" s="1643"/>
      <c r="E32" s="1053">
        <f>SUMIF(C19:C26,"*住宅*",E19:E26)</f>
        <v>164.94</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W6" sqref="W6"/>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45828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3473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3406</v>
      </c>
      <c r="D6" s="858">
        <f>SUMIF(项目基本情况!C$12:I$12,C6,项目基本情况!C$14:I$14)</f>
        <v>0</v>
      </c>
      <c r="E6" s="857">
        <f>IF(B6="","",SUMIF(项目基本情况!C$12:I$12,C6,项目基本情况!C$13:I$13))</f>
        <v>61822</v>
      </c>
      <c r="F6" s="64">
        <f>SUMIF(项目基本情况!C$12:I$12,C6,项目基本情况!C$15:I$15)</f>
        <v>43.81</v>
      </c>
      <c r="G6" s="65">
        <f>IF(ISERROR(ROUND(POWER(1+H6,D6-F6)*(POWER(1+H6,F6)-1)/(POWER(1+H6,D6)-1),3)),0,ROUND(POWER(1+H6,D6-F6)*(POWER(1+H6,F6)-1)/(POWER(1+H6,D6)-1),3))</f>
        <v>0</v>
      </c>
      <c r="H6" s="732"/>
      <c r="I6" s="732">
        <v>0.04</v>
      </c>
      <c r="J6" s="66"/>
      <c r="K6" s="1030">
        <f>SUMIF('数据-汇总表'!C$19:C$33,A6,'数据-汇总表'!E$19:E$33)</f>
        <v>164.94</v>
      </c>
      <c r="L6" s="733">
        <v>5000</v>
      </c>
      <c r="M6" s="67">
        <f t="shared" ref="M6:M14" si="0">ROUND(K6*L6/10000,0)</f>
        <v>82</v>
      </c>
      <c r="N6" s="731">
        <v>0.95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145</v>
      </c>
      <c r="V6" s="70">
        <v>0.03</v>
      </c>
      <c r="W6" s="70">
        <v>0.1</v>
      </c>
      <c r="X6" s="1040"/>
      <c r="Y6" s="71">
        <f>N6</f>
        <v>0.95</v>
      </c>
      <c r="Z6" s="72"/>
      <c r="AA6" s="66"/>
      <c r="AB6" s="66"/>
      <c r="AC6" s="1040"/>
      <c r="AD6" s="73"/>
      <c r="AE6" s="1041">
        <f ca="1">IF(AN6="",0,SUMIF(INDIRECT("'"&amp;AN6&amp;"'"&amp;"!E:E"),$AE$5,INDIRECT("'"&amp;AN6&amp;"'"&amp;"!F:F")))</f>
        <v>43.81</v>
      </c>
      <c r="AF6" s="1348"/>
      <c r="AG6" s="138">
        <f>IF(AF6="",0,AE6-AF6)</f>
        <v>0</v>
      </c>
      <c r="AH6" s="74">
        <f>'数据-汇总表'!F19</f>
        <v>164.94</v>
      </c>
      <c r="AI6" s="76">
        <v>12</v>
      </c>
      <c r="AJ6" s="77"/>
      <c r="AK6" s="78">
        <v>2E-3</v>
      </c>
      <c r="AL6" s="79">
        <v>1E-3</v>
      </c>
      <c r="AM6" s="80">
        <v>0.01</v>
      </c>
      <c r="AN6" s="1715" t="s">
        <v>3474</v>
      </c>
      <c r="AO6" s="52">
        <f ca="1">SUMIF(INDIRECT("'"&amp;AN6&amp;"'"&amp;"!A:A"),"总价",INDIRECT("'"&amp;AN6&amp;"'"&amp;"!B:B"))</f>
        <v>719.7826</v>
      </c>
      <c r="AP6" s="1716">
        <f>IF(C6="住宅",K6*L6,0)</f>
        <v>824700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164.94</v>
      </c>
      <c r="L16" s="93">
        <f>ROUND(M16*10000/SUM(K6:K14),0)</f>
        <v>4972</v>
      </c>
      <c r="M16" s="93">
        <f>SUM(M6:M14)</f>
        <v>82</v>
      </c>
      <c r="N16" s="94">
        <f>ROUND(SUMPRODUCT(M6:M14,N6:N14)/M16,3)</f>
        <v>0.95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3384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3385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2310</v>
      </c>
      <c r="B40" s="1078">
        <f ca="1">IF(A40="利息：取LPR",存贷款利率!G1,存贷款利率!G1+C40)</f>
        <v>0.03</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3386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71" t="s">
        <v>2286</v>
      </c>
      <c r="B1" s="3572"/>
      <c r="C1" s="3572"/>
      <c r="D1" s="3572"/>
      <c r="E1" s="3572"/>
      <c r="F1" s="3572"/>
      <c r="G1" s="357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21" sqref="F21"/>
    </sheetView>
  </sheetViews>
  <sheetFormatPr defaultColWidth="9" defaultRowHeight="14.4"/>
  <cols>
    <col min="1" max="1" width="25" style="2513" customWidth="1"/>
    <col min="2" max="9" width="15.77734375" style="2513" customWidth="1"/>
    <col min="10" max="16384" width="9" style="2513"/>
  </cols>
  <sheetData>
    <row r="1" spans="1:11" ht="16.2">
      <c r="A1" s="2512" t="s">
        <v>665</v>
      </c>
      <c r="B1" s="3826">
        <f>SUM(B14:B23)</f>
        <v>164.94</v>
      </c>
      <c r="C1" s="2686"/>
      <c r="D1" s="2686"/>
      <c r="E1" s="2686"/>
      <c r="F1" s="2686"/>
      <c r="G1" s="2687"/>
      <c r="H1" s="2688"/>
      <c r="I1" s="2688"/>
      <c r="J1" s="2688"/>
      <c r="K1" s="2688"/>
    </row>
    <row r="2" spans="1:11" ht="16.2">
      <c r="A2" s="2512" t="s">
        <v>653</v>
      </c>
      <c r="B2" s="3826">
        <f>SUM(C14:C23)</f>
        <v>0</v>
      </c>
      <c r="C2" s="2686"/>
      <c r="D2" s="2686"/>
      <c r="E2" s="2686"/>
      <c r="F2" s="2686"/>
      <c r="G2" s="2687"/>
      <c r="H2" s="2688"/>
      <c r="I2" s="2688"/>
      <c r="J2" s="2688"/>
      <c r="K2" s="2688"/>
    </row>
    <row r="3" spans="1:11" ht="15.6">
      <c r="A3" s="2512" t="s">
        <v>662</v>
      </c>
      <c r="B3" s="2514">
        <f>项目基本情况!D3</f>
        <v>45828</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3826">
        <f ca="1">SUM(D14:D23)</f>
        <v>1209.6864539999999</v>
      </c>
      <c r="C5" s="3826">
        <f ca="1">IF(B5=D14,结果表!H102,ROUND(B5*10000/$B$1,0))</f>
        <v>0</v>
      </c>
      <c r="D5" s="3826" t="e">
        <f ca="1">ROUND(B5*10000/$B$2,0)</f>
        <v>#DIV/0!</v>
      </c>
      <c r="E5" s="3827"/>
      <c r="F5" s="3828"/>
      <c r="G5" s="2687"/>
      <c r="H5" s="2688"/>
      <c r="I5" s="2688"/>
      <c r="J5" s="2688"/>
      <c r="K5" s="2688"/>
    </row>
    <row r="6" spans="1:11" ht="15.6">
      <c r="A6" s="2512" t="s">
        <v>656</v>
      </c>
      <c r="B6" s="3826">
        <f>SUM(G14:G23)</f>
        <v>0</v>
      </c>
      <c r="C6" s="3826">
        <f ca="1">IF(B6=G14,结果表!H108,ROUND(B6*10000/$B$1,0))</f>
        <v>0</v>
      </c>
      <c r="D6" s="3826" t="e">
        <f>ROUND(B6*10000/$B$2,0)</f>
        <v>#DIV/0!</v>
      </c>
      <c r="E6" s="3827"/>
      <c r="F6" s="3828"/>
      <c r="G6" s="2687"/>
      <c r="H6" s="2688"/>
      <c r="I6" s="2688"/>
      <c r="J6" s="2688"/>
      <c r="K6" s="2688"/>
    </row>
    <row r="7" spans="1:11" ht="15.6">
      <c r="A7" s="2512" t="s">
        <v>664</v>
      </c>
      <c r="B7" s="3826">
        <f>SUM(H14:H23)</f>
        <v>0</v>
      </c>
      <c r="C7" s="3826" t="str">
        <f>IF(B7=H14,结果表!H110,ROUND(B7*10000/$B$1,0))</f>
        <v>——</v>
      </c>
      <c r="D7" s="3826" t="e">
        <f>ROUND(B7*10000/$B$2,0)</f>
        <v>#DIV/0!</v>
      </c>
      <c r="E7" s="3827"/>
      <c r="F7" s="3828"/>
      <c r="G7" s="2687"/>
      <c r="H7" s="2688"/>
      <c r="I7" s="2688"/>
      <c r="J7" s="2688"/>
      <c r="K7" s="2688"/>
    </row>
    <row r="8" spans="1:11" ht="15.6">
      <c r="A8" s="2512" t="s">
        <v>587</v>
      </c>
      <c r="B8" s="3826">
        <f>SUM(I14:I23)</f>
        <v>0</v>
      </c>
      <c r="C8" s="3826" t="str">
        <f>IF(B8=I14,结果表!H112,ROUND(B8*10000/$B$1,0))</f>
        <v>——</v>
      </c>
      <c r="D8" s="3826" t="e">
        <f>ROUND(B8*10000/$B$2,0)</f>
        <v>#DIV/0!</v>
      </c>
      <c r="E8" s="3827"/>
      <c r="F8" s="3828"/>
      <c r="G8" s="2687"/>
      <c r="H8" s="2688"/>
      <c r="I8" s="2688"/>
      <c r="J8" s="2688"/>
      <c r="K8" s="2688"/>
    </row>
    <row r="9" spans="1:11" ht="15.6">
      <c r="A9" s="2512" t="s">
        <v>655</v>
      </c>
      <c r="B9" s="3829"/>
      <c r="C9" s="3827"/>
      <c r="D9" s="3827"/>
      <c r="E9" s="3827"/>
      <c r="F9" s="3828"/>
      <c r="G9" s="2687"/>
      <c r="H9" s="2688"/>
      <c r="I9" s="2688"/>
      <c r="J9" s="2688"/>
      <c r="K9" s="2688"/>
    </row>
    <row r="10" spans="1:11" ht="15.6">
      <c r="A10" s="2512" t="s">
        <v>654</v>
      </c>
      <c r="B10" s="3826">
        <f>IF(E10="",0,ROUND(B1*(E10*365/G10)/10000,0))</f>
        <v>0</v>
      </c>
      <c r="C10" s="3826" t="s">
        <v>3356</v>
      </c>
      <c r="D10" s="3826" t="s">
        <v>3357</v>
      </c>
      <c r="E10" s="3830"/>
      <c r="F10" s="3831" t="s">
        <v>3358</v>
      </c>
      <c r="G10" s="3441"/>
      <c r="H10" s="2688"/>
      <c r="I10" s="2688"/>
      <c r="J10" s="2688"/>
      <c r="K10" s="2688"/>
    </row>
    <row r="11" spans="1:11" ht="15.6">
      <c r="A11" s="2512" t="s">
        <v>670</v>
      </c>
      <c r="B11" s="3829"/>
      <c r="C11" s="3827"/>
      <c r="D11" s="3827"/>
      <c r="E11" s="3827"/>
      <c r="F11" s="3828"/>
      <c r="G11" s="2687"/>
      <c r="H11" s="2688"/>
      <c r="I11" s="2688"/>
      <c r="J11" s="2688"/>
      <c r="K11" s="2688"/>
    </row>
    <row r="12" spans="1:11" ht="15.6">
      <c r="A12" s="2686"/>
      <c r="B12" s="3827"/>
      <c r="C12" s="3827"/>
      <c r="D12" s="3827"/>
      <c r="E12" s="3827"/>
      <c r="F12" s="3828"/>
      <c r="G12" s="2687"/>
      <c r="H12" s="2688"/>
      <c r="I12" s="2688"/>
      <c r="J12" s="2688"/>
      <c r="K12" s="2688"/>
    </row>
    <row r="13" spans="1:11" ht="31.8">
      <c r="A13" s="2515" t="s">
        <v>669</v>
      </c>
      <c r="B13" s="3832" t="s">
        <v>666</v>
      </c>
      <c r="C13" s="3832" t="s">
        <v>668</v>
      </c>
      <c r="D13" s="3832" t="s">
        <v>667</v>
      </c>
      <c r="E13" s="3826" t="s">
        <v>659</v>
      </c>
      <c r="F13" s="3826" t="s">
        <v>658</v>
      </c>
      <c r="G13" s="2516" t="s">
        <v>652</v>
      </c>
      <c r="H13" s="2516" t="s">
        <v>663</v>
      </c>
      <c r="I13" s="2516" t="s">
        <v>651</v>
      </c>
      <c r="J13" s="2687"/>
      <c r="K13" s="2688"/>
    </row>
    <row r="14" spans="1:11" ht="15.6">
      <c r="A14" s="2517" t="s">
        <v>650</v>
      </c>
      <c r="B14" s="3833">
        <f>'比较法-住宅'!C33</f>
        <v>164.94</v>
      </c>
      <c r="C14" s="3833"/>
      <c r="D14" s="3833">
        <f ca="1">E14*B14/10000</f>
        <v>1209.6864539999999</v>
      </c>
      <c r="E14" s="3833">
        <f ca="1">结果表!G20</f>
        <v>73341</v>
      </c>
      <c r="F14" s="3833" t="e">
        <f ca="1">ROUND(D14*10000/C14,0)</f>
        <v>#DIV/0!</v>
      </c>
      <c r="G14" s="2518"/>
      <c r="H14" s="2518"/>
      <c r="I14" s="2518"/>
      <c r="J14" s="2687"/>
      <c r="K14" s="2688"/>
    </row>
    <row r="15" spans="1:11" ht="15.6">
      <c r="A15" s="2517" t="s">
        <v>649</v>
      </c>
      <c r="B15" s="3834"/>
      <c r="C15" s="3834"/>
      <c r="D15" s="3834"/>
      <c r="E15" s="3833" t="e">
        <f t="shared" ref="E15:E23" si="0">ROUND(D15*10000/B15,0)</f>
        <v>#DIV/0!</v>
      </c>
      <c r="F15" s="3833" t="e">
        <f t="shared" ref="F15:F23" si="1">ROUND(D15*10000/C15,0)</f>
        <v>#DIV/0!</v>
      </c>
      <c r="G15" s="1331"/>
      <c r="H15" s="1331"/>
      <c r="I15" s="2519"/>
      <c r="J15" s="2687"/>
      <c r="K15" s="2688"/>
    </row>
    <row r="16" spans="1:11" ht="15.6">
      <c r="A16" s="2517" t="s">
        <v>648</v>
      </c>
      <c r="B16" s="3834"/>
      <c r="C16" s="3834"/>
      <c r="D16" s="3834"/>
      <c r="E16" s="3833" t="e">
        <f t="shared" si="0"/>
        <v>#DIV/0!</v>
      </c>
      <c r="F16" s="3833" t="e">
        <f t="shared" si="1"/>
        <v>#DIV/0!</v>
      </c>
      <c r="G16" s="1331"/>
      <c r="H16" s="1331"/>
      <c r="I16" s="2519"/>
      <c r="J16" s="2688"/>
      <c r="K16" s="2688"/>
    </row>
    <row r="17" spans="1:11" ht="15.6">
      <c r="A17" s="2517" t="s">
        <v>647</v>
      </c>
      <c r="B17" s="3834"/>
      <c r="C17" s="3834"/>
      <c r="D17" s="3834"/>
      <c r="E17" s="3833" t="e">
        <f t="shared" si="0"/>
        <v>#DIV/0!</v>
      </c>
      <c r="F17" s="3833"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70" zoomScaleNormal="100" zoomScaleSheetLayoutView="70" zoomScalePageLayoutView="80" workbookViewId="0">
      <selection activeCell="J57" sqref="J57:J58"/>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3406</v>
      </c>
      <c r="D1" s="1747"/>
      <c r="E1" s="1747"/>
      <c r="F1" s="1749" t="s">
        <v>1263</v>
      </c>
      <c r="G1" s="1561"/>
      <c r="H1" s="1750" t="str">
        <f>IF(G1="现房","——","估价对象范围")</f>
        <v>估价对象范围</v>
      </c>
      <c r="I1" s="1751"/>
    </row>
    <row r="2" spans="1:12" ht="21.75" customHeight="1" thickBot="1">
      <c r="A2" s="3607" t="str">
        <f>项目基本情况!S2</f>
        <v>北京市房地产</v>
      </c>
      <c r="B2" s="3608"/>
      <c r="C2" s="3608"/>
      <c r="D2" s="3608"/>
      <c r="E2" s="3608"/>
      <c r="F2" s="3608"/>
      <c r="G2" s="3608"/>
      <c r="H2" s="3608"/>
      <c r="I2" s="3609"/>
    </row>
    <row r="3" spans="1:12" ht="13.2">
      <c r="A3" s="3611" t="s">
        <v>1264</v>
      </c>
      <c r="B3" s="3612"/>
      <c r="C3" s="3612"/>
      <c r="D3" s="3612"/>
      <c r="E3" s="3612"/>
      <c r="F3" s="3612"/>
      <c r="G3" s="3612"/>
      <c r="H3" s="3612"/>
      <c r="I3" s="3612"/>
    </row>
    <row r="4" spans="1:12" ht="14.4">
      <c r="A4" s="1754" t="s">
        <v>1265</v>
      </c>
      <c r="B4" s="1755" t="s">
        <v>1266</v>
      </c>
      <c r="C4" s="1756" t="s">
        <v>3476</v>
      </c>
      <c r="D4" s="1756" t="s">
        <v>3474</v>
      </c>
      <c r="E4" s="3613" t="s">
        <v>1267</v>
      </c>
      <c r="F4" s="3614"/>
      <c r="G4" s="3614"/>
      <c r="H4" s="3614"/>
      <c r="I4" s="361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87" t="s">
        <v>1268</v>
      </c>
      <c r="B5" s="3574">
        <v>25</v>
      </c>
      <c r="C5" s="3590">
        <v>8</v>
      </c>
      <c r="D5" s="3610">
        <f>10-C5</f>
        <v>2</v>
      </c>
      <c r="E5" s="131" t="s">
        <v>1269</v>
      </c>
      <c r="F5" s="1757"/>
      <c r="G5" s="1757"/>
      <c r="H5" s="1757"/>
      <c r="I5" s="1373"/>
    </row>
    <row r="6" spans="1:12" ht="13.2">
      <c r="A6" s="3587"/>
      <c r="B6" s="3574"/>
      <c r="C6" s="3591"/>
      <c r="D6" s="3610"/>
      <c r="E6" s="131" t="s">
        <v>1270</v>
      </c>
      <c r="F6" s="1757"/>
      <c r="G6" s="1757"/>
      <c r="H6" s="1757"/>
      <c r="I6" s="1373"/>
    </row>
    <row r="7" spans="1:12" ht="13.2">
      <c r="A7" s="3587"/>
      <c r="B7" s="3574"/>
      <c r="C7" s="3592"/>
      <c r="D7" s="3610"/>
      <c r="E7" s="131" t="s">
        <v>1271</v>
      </c>
      <c r="F7" s="1757"/>
      <c r="G7" s="1757"/>
      <c r="H7" s="1757"/>
      <c r="I7" s="1373"/>
    </row>
    <row r="8" spans="1:12" ht="13.2">
      <c r="A8" s="3587" t="s">
        <v>1272</v>
      </c>
      <c r="B8" s="3574">
        <v>15</v>
      </c>
      <c r="C8" s="3590"/>
      <c r="D8" s="3610"/>
      <c r="E8" s="131" t="s">
        <v>1273</v>
      </c>
      <c r="F8" s="1757"/>
      <c r="G8" s="1757"/>
      <c r="H8" s="1757"/>
      <c r="I8" s="1373"/>
    </row>
    <row r="9" spans="1:12" ht="13.2">
      <c r="A9" s="3587"/>
      <c r="B9" s="3574"/>
      <c r="C9" s="3592"/>
      <c r="D9" s="3610"/>
      <c r="E9" s="131" t="s">
        <v>1274</v>
      </c>
      <c r="F9" s="1757"/>
      <c r="G9" s="1757"/>
      <c r="H9" s="1757"/>
      <c r="I9" s="1373"/>
    </row>
    <row r="10" spans="1:12" ht="13.2">
      <c r="A10" s="3587" t="s">
        <v>1275</v>
      </c>
      <c r="B10" s="3574">
        <v>15</v>
      </c>
      <c r="C10" s="3590"/>
      <c r="D10" s="3610"/>
      <c r="E10" s="131" t="s">
        <v>1276</v>
      </c>
      <c r="F10" s="1757"/>
      <c r="G10" s="1757"/>
      <c r="H10" s="1757"/>
      <c r="I10" s="1373"/>
    </row>
    <row r="11" spans="1:12" ht="13.2">
      <c r="A11" s="3587"/>
      <c r="B11" s="3574"/>
      <c r="C11" s="3592"/>
      <c r="D11" s="3610"/>
      <c r="E11" s="131" t="s">
        <v>1277</v>
      </c>
      <c r="F11" s="1757"/>
      <c r="G11" s="1757"/>
      <c r="H11" s="1757"/>
      <c r="I11" s="1373"/>
    </row>
    <row r="12" spans="1:12" ht="13.2">
      <c r="A12" s="3587" t="s">
        <v>1278</v>
      </c>
      <c r="B12" s="3574">
        <v>15</v>
      </c>
      <c r="C12" s="3590"/>
      <c r="D12" s="3610"/>
      <c r="E12" s="131" t="s">
        <v>1279</v>
      </c>
      <c r="F12" s="1757"/>
      <c r="G12" s="1757"/>
      <c r="H12" s="1757"/>
      <c r="I12" s="1373"/>
    </row>
    <row r="13" spans="1:12" ht="13.2">
      <c r="A13" s="3587"/>
      <c r="B13" s="3574"/>
      <c r="C13" s="3592"/>
      <c r="D13" s="3610"/>
      <c r="E13" s="131" t="s">
        <v>1280</v>
      </c>
      <c r="F13" s="1757"/>
      <c r="G13" s="1757"/>
      <c r="H13" s="1757"/>
      <c r="I13" s="1373"/>
    </row>
    <row r="14" spans="1:12" ht="13.2">
      <c r="A14" s="3587" t="s">
        <v>1281</v>
      </c>
      <c r="B14" s="3574">
        <v>30</v>
      </c>
      <c r="C14" s="3590"/>
      <c r="D14" s="3610"/>
      <c r="E14" s="131" t="s">
        <v>1282</v>
      </c>
      <c r="F14" s="1757"/>
      <c r="G14" s="1757"/>
      <c r="H14" s="1757"/>
      <c r="I14" s="1373"/>
    </row>
    <row r="15" spans="1:12" ht="13.2">
      <c r="A15" s="3587"/>
      <c r="B15" s="3574"/>
      <c r="C15" s="3591"/>
      <c r="D15" s="3610"/>
      <c r="E15" s="131" t="s">
        <v>1283</v>
      </c>
      <c r="F15" s="1757"/>
      <c r="G15" s="1757"/>
      <c r="H15" s="1757"/>
      <c r="I15" s="1373"/>
    </row>
    <row r="16" spans="1:12" ht="13.2">
      <c r="A16" s="3587"/>
      <c r="B16" s="3574"/>
      <c r="C16" s="3592"/>
      <c r="D16" s="3610"/>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597" t="s">
        <v>2131</v>
      </c>
      <c r="F18" s="3598"/>
      <c r="G18" s="3598"/>
      <c r="H18" s="3598"/>
      <c r="I18" s="3598"/>
      <c r="K18" s="302" t="s">
        <v>1289</v>
      </c>
      <c r="L18" s="302">
        <f>IF(C1="",'数据-汇总表'!E3,SUMIF(项目类型,C1,'数据-汇总表'!E17:E26)+SUMIF(项目类型,C1,'数据-汇总表'!I17:I26))</f>
        <v>164.94</v>
      </c>
      <c r="M18" s="302">
        <f>IF(C1="",'数据-汇总表'!E3,SUMIF(项目类型,C1,'数据-汇总表'!E17:E26))</f>
        <v>164.94</v>
      </c>
    </row>
    <row r="19" spans="1:36" ht="14.4">
      <c r="A19" s="1761" t="s">
        <v>1290</v>
      </c>
      <c r="B19" s="1762" t="s">
        <v>1291</v>
      </c>
      <c r="C19" s="134">
        <f ca="1">SUMIF(INDIRECT("'"&amp;C4&amp;"'"&amp;"!A:A"),结果表!B19,INDIRECT("'"&amp;C4&amp;"'"&amp;"!B:B"))</f>
        <v>1332.1709000000001</v>
      </c>
      <c r="D19" s="135">
        <f ca="1">SUMIF(INDIRECT("'"&amp;D4&amp;"'"&amp;"!A:A"),结果表!B19,INDIRECT("'"&amp;D4&amp;"'"&amp;"!B:B"))</f>
        <v>719.7826</v>
      </c>
      <c r="E19" s="1761" t="s">
        <v>1292</v>
      </c>
      <c r="F19" s="1762" t="s">
        <v>1291</v>
      </c>
      <c r="G19" s="136">
        <f ca="1">ROUND(C19*$C$18+D19*$D$18,0)</f>
        <v>1210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80767</v>
      </c>
      <c r="D20" s="138">
        <f ca="1">SUMIF(INDIRECT("'"&amp;D4&amp;"'"&amp;"!A:A"),结果表!B20,INDIRECT("'"&amp;D4&amp;"'"&amp;"!B:B"))</f>
        <v>43639</v>
      </c>
      <c r="E20" s="1764"/>
      <c r="F20" s="1026" t="s">
        <v>1295</v>
      </c>
      <c r="G20" s="139">
        <f ca="1">ROUND(C20*$C$18+D20*$D$18,0)</f>
        <v>73341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0.85079619874111989</v>
      </c>
      <c r="E22" s="129"/>
      <c r="F22" s="129"/>
      <c r="G22" s="129"/>
      <c r="H22" s="129"/>
      <c r="I22" s="129"/>
    </row>
    <row r="23" spans="1:36" ht="13.8" thickBot="1">
      <c r="A23" s="1747"/>
      <c r="B23" s="1747"/>
      <c r="C23" s="1747"/>
      <c r="D23" s="1747"/>
      <c r="E23" s="129"/>
      <c r="F23" s="129"/>
      <c r="G23" s="129"/>
      <c r="H23" s="129"/>
      <c r="I23" s="129"/>
    </row>
    <row r="24" spans="1:36" ht="14.4">
      <c r="A24" s="3581" t="s">
        <v>1299</v>
      </c>
      <c r="B24" s="1762" t="s">
        <v>1291</v>
      </c>
      <c r="C24" s="136">
        <f>IF(B30=0,0,D30)</f>
        <v>0</v>
      </c>
      <c r="D24" s="1769"/>
      <c r="E24" s="129"/>
      <c r="F24" s="129"/>
      <c r="G24" s="129"/>
      <c r="H24" s="129"/>
      <c r="I24" s="129"/>
    </row>
    <row r="25" spans="1:36" ht="14.4">
      <c r="A25" s="358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73341</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01" t="s">
        <v>1312</v>
      </c>
      <c r="B36" s="1787" t="s">
        <v>1313</v>
      </c>
      <c r="C36" s="145"/>
      <c r="D36" s="1788"/>
      <c r="E36" s="1789"/>
      <c r="F36" s="1790"/>
      <c r="G36" s="129"/>
      <c r="H36" s="129"/>
      <c r="I36" s="129"/>
    </row>
    <row r="37" spans="1:15" ht="15" thickBot="1">
      <c r="A37" s="3602"/>
      <c r="B37" s="1674" t="s">
        <v>1314</v>
      </c>
      <c r="C37" s="147"/>
      <c r="D37" s="1139"/>
      <c r="E37" s="1139"/>
      <c r="F37" s="1790"/>
      <c r="G37" s="129"/>
      <c r="H37" s="129"/>
      <c r="I37" s="129"/>
    </row>
    <row r="38" spans="1:15" ht="15" thickBot="1">
      <c r="A38" s="3603"/>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8" t="s">
        <v>1326</v>
      </c>
      <c r="B45" s="3579"/>
      <c r="C45" s="3580"/>
      <c r="D45" s="155" t="e">
        <f ca="1">ROUND(H101*F45,0)</f>
        <v>#REF!</v>
      </c>
      <c r="E45" s="156" t="s">
        <v>1327</v>
      </c>
      <c r="F45" s="157">
        <v>1</v>
      </c>
      <c r="G45" s="158" t="s">
        <v>1328</v>
      </c>
      <c r="H45" s="129"/>
      <c r="I45" s="129"/>
      <c r="J45" s="3656" t="s">
        <v>1329</v>
      </c>
      <c r="K45" s="3656"/>
      <c r="L45" s="3656"/>
      <c r="M45" s="3656"/>
      <c r="N45" s="3656"/>
      <c r="O45" s="3656"/>
    </row>
    <row r="46" spans="1:15" ht="14.25" customHeight="1">
      <c r="A46" s="3575" t="s">
        <v>1330</v>
      </c>
      <c r="B46" s="3576"/>
      <c r="C46" s="3576"/>
      <c r="D46" s="3576"/>
      <c r="E46" s="3576"/>
      <c r="F46" s="3576"/>
      <c r="G46" s="3577"/>
      <c r="H46" s="1806"/>
      <c r="I46" s="159"/>
      <c r="J46" s="2523">
        <v>1</v>
      </c>
      <c r="K46" s="3637" t="s">
        <v>1331</v>
      </c>
      <c r="L46" s="3637"/>
      <c r="M46" s="3657"/>
      <c r="N46" s="3657"/>
      <c r="O46" s="3657"/>
    </row>
    <row r="47" spans="1:15" ht="12" customHeight="1">
      <c r="A47" s="160" t="s">
        <v>1332</v>
      </c>
      <c r="B47" s="161"/>
      <c r="C47" s="162"/>
      <c r="D47" s="1087" t="s">
        <v>1333</v>
      </c>
      <c r="E47" s="302" t="s">
        <v>1334</v>
      </c>
      <c r="F47" s="163" t="s">
        <v>1335</v>
      </c>
      <c r="G47" s="2546" t="s">
        <v>1336</v>
      </c>
      <c r="H47" s="2547"/>
      <c r="I47" s="159"/>
      <c r="J47" s="2523">
        <v>2</v>
      </c>
      <c r="K47" s="3637" t="s">
        <v>1337</v>
      </c>
      <c r="L47" s="3637"/>
      <c r="M47" s="3658">
        <f>'数据-取费表'!B2</f>
        <v>45828</v>
      </c>
      <c r="N47" s="3658"/>
      <c r="O47" s="3658"/>
    </row>
    <row r="48" spans="1:15" ht="26.4">
      <c r="A48" s="3606" t="s">
        <v>1338</v>
      </c>
      <c r="B48" s="3589"/>
      <c r="C48" s="3589"/>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37" t="s">
        <v>1340</v>
      </c>
      <c r="L48" s="3637"/>
      <c r="M48" s="3659" t="e">
        <f ca="1">H101</f>
        <v>#REF!</v>
      </c>
      <c r="N48" s="3659"/>
      <c r="O48" s="3659"/>
    </row>
    <row r="49" spans="1:35" ht="25.5" customHeight="1">
      <c r="A49" s="2333" t="s">
        <v>1341</v>
      </c>
      <c r="B49" s="3573" t="s">
        <v>1342</v>
      </c>
      <c r="C49" s="3573"/>
      <c r="D49" s="1590">
        <v>0</v>
      </c>
      <c r="E49" s="324" t="s">
        <v>1343</v>
      </c>
      <c r="F49" s="2424" t="s">
        <v>28</v>
      </c>
      <c r="G49" s="3643"/>
      <c r="H49" s="2310" t="s">
        <v>2134</v>
      </c>
      <c r="I49" s="2311"/>
      <c r="J49" s="2523">
        <v>4</v>
      </c>
      <c r="K49" s="3637" t="str">
        <f>IF(项目基本情况!E8="房地产抵押价值","房地产抵押价值","抵押担保权已注销时的房地产抵押价值")</f>
        <v>抵押担保权已注销时的房地产抵押价值</v>
      </c>
      <c r="L49" s="3637"/>
      <c r="M49" s="3659" t="str">
        <f>IF(项目基本情况!E8="房地产抵押价值",H107,H109)</f>
        <v>——</v>
      </c>
      <c r="N49" s="3659"/>
      <c r="O49" s="3659"/>
    </row>
    <row r="50" spans="1:35" ht="25.5" customHeight="1">
      <c r="A50" s="2551"/>
      <c r="B50" s="3573" t="s">
        <v>1344</v>
      </c>
      <c r="C50" s="3573"/>
      <c r="D50" s="2552"/>
      <c r="E50" s="332"/>
      <c r="F50" s="2424"/>
      <c r="G50" s="3644"/>
      <c r="H50" s="2312" t="s">
        <v>2135</v>
      </c>
      <c r="I50" s="2311"/>
      <c r="J50" s="3656" t="s">
        <v>1345</v>
      </c>
      <c r="K50" s="3656"/>
      <c r="L50" s="3656"/>
      <c r="M50" s="3656"/>
      <c r="N50" s="3656"/>
      <c r="O50" s="3656"/>
    </row>
    <row r="51" spans="1:35" ht="20.399999999999999" customHeight="1">
      <c r="A51" s="2553"/>
      <c r="B51" s="3573" t="s">
        <v>1346</v>
      </c>
      <c r="C51" s="3573"/>
      <c r="D51" s="1087"/>
      <c r="E51" s="327"/>
      <c r="F51" s="2424"/>
      <c r="G51" s="3645"/>
      <c r="H51" s="2312" t="s">
        <v>2136</v>
      </c>
      <c r="I51" s="2311"/>
      <c r="J51" s="2524" t="s">
        <v>1347</v>
      </c>
      <c r="K51" s="3637" t="s">
        <v>1348</v>
      </c>
      <c r="L51" s="3637"/>
      <c r="M51" s="2524" t="s">
        <v>1349</v>
      </c>
      <c r="N51" s="2524" t="s">
        <v>1350</v>
      </c>
      <c r="O51" s="2524" t="s">
        <v>1351</v>
      </c>
    </row>
    <row r="52" spans="1:35" ht="24" customHeight="1">
      <c r="A52" s="2335" t="s">
        <v>1352</v>
      </c>
      <c r="B52" s="3573" t="s">
        <v>1353</v>
      </c>
      <c r="C52" s="3573"/>
      <c r="D52" s="1087" t="e">
        <f ca="1">ROUND(D45*'数据-取费表'!B41/(1+'数据-取费表'!C42),0)</f>
        <v>#REF!</v>
      </c>
      <c r="E52" s="2334" t="s">
        <v>1354</v>
      </c>
      <c r="F52" s="2554">
        <f>'数据-取费表'!B41</f>
        <v>5.6000000000000001E-2</v>
      </c>
      <c r="G52" s="2555"/>
      <c r="H52" s="2544"/>
      <c r="I52" s="1807"/>
      <c r="J52" s="2523">
        <v>1</v>
      </c>
      <c r="K52" s="3638" t="s">
        <v>1355</v>
      </c>
      <c r="L52" s="3638"/>
      <c r="M52" s="2525" t="b">
        <f>D48</f>
        <v>0</v>
      </c>
      <c r="N52" s="2523" t="str">
        <f>E48</f>
        <v>销售额×税（费）率</v>
      </c>
      <c r="O52" s="2526">
        <f>F48</f>
        <v>5.6000000000000001E-2</v>
      </c>
    </row>
    <row r="53" spans="1:35" ht="12" customHeight="1">
      <c r="A53" s="2335" t="s">
        <v>1356</v>
      </c>
      <c r="B53" s="3599" t="s">
        <v>2291</v>
      </c>
      <c r="C53" s="3600"/>
      <c r="D53" s="1087" t="e">
        <f ca="1">ROUND(D45*'数据-取费表'!B41/(1+'数据-取费表'!C42),0)</f>
        <v>#REF!</v>
      </c>
      <c r="E53" s="2334" t="s">
        <v>1354</v>
      </c>
      <c r="F53" s="2554">
        <f>'数据-取费表'!B41</f>
        <v>5.6000000000000001E-2</v>
      </c>
      <c r="G53" s="2555"/>
      <c r="H53" s="2544"/>
      <c r="I53" s="1807"/>
      <c r="J53" s="2523">
        <v>2</v>
      </c>
      <c r="K53" s="3638" t="s">
        <v>1357</v>
      </c>
      <c r="L53" s="3638"/>
      <c r="M53" s="2525" t="e">
        <f t="shared" ref="M53:O54" ca="1" si="0">D55</f>
        <v>#REF!</v>
      </c>
      <c r="N53" s="2523" t="str">
        <f t="shared" si="0"/>
        <v>销售额×税（费）率</v>
      </c>
      <c r="O53" s="2526" t="str">
        <f t="shared" si="0"/>
        <v>免征</v>
      </c>
    </row>
    <row r="54" spans="1:35" ht="12" customHeight="1">
      <c r="A54" s="2335" t="s">
        <v>1358</v>
      </c>
      <c r="B54" s="3599" t="s">
        <v>2292</v>
      </c>
      <c r="C54" s="3600"/>
      <c r="D54" s="1087" t="e">
        <f ca="1">C68</f>
        <v>#REF!</v>
      </c>
      <c r="E54" s="327" t="s">
        <v>1359</v>
      </c>
      <c r="F54" s="2554">
        <f>'数据-取费表'!B41</f>
        <v>5.6000000000000001E-2</v>
      </c>
      <c r="G54" s="2555"/>
      <c r="H54" s="2556"/>
      <c r="I54" s="1807"/>
      <c r="J54" s="2523">
        <v>3</v>
      </c>
      <c r="K54" s="3638" t="s">
        <v>1360</v>
      </c>
      <c r="L54" s="3638"/>
      <c r="M54" s="2525" t="e">
        <f t="shared" ca="1" si="0"/>
        <v>#REF!</v>
      </c>
      <c r="N54" s="2523" t="str">
        <f t="shared" si="0"/>
        <v>增值额×税（费）率</v>
      </c>
      <c r="O54" s="2527" t="str">
        <f t="shared" si="0"/>
        <v>免征</v>
      </c>
    </row>
    <row r="55" spans="1:35" ht="24" customHeight="1">
      <c r="A55" s="3588" t="s">
        <v>1361</v>
      </c>
      <c r="B55" s="3589"/>
      <c r="C55" s="3589"/>
      <c r="D55" s="2324" t="e">
        <f ca="1">IF(H55="个人住宅",0,ROUND(D45*I55,0))</f>
        <v>#REF!</v>
      </c>
      <c r="E55" s="2334" t="s">
        <v>1362</v>
      </c>
      <c r="F55" s="2554" t="str">
        <f>IF(H55="正常",I55,"免征")</f>
        <v>免征</v>
      </c>
      <c r="G55" s="2555"/>
      <c r="H55" s="2550"/>
      <c r="I55" s="165">
        <f>'数据-取费表'!B49</f>
        <v>5.0000000000000001E-4</v>
      </c>
      <c r="J55" s="2523">
        <f>IF(H59="非个人房产","",4)</f>
        <v>4</v>
      </c>
      <c r="K55" s="3638" t="str">
        <f>IF(H59="非个人房产","——","个人所得税")</f>
        <v>个人所得税</v>
      </c>
      <c r="L55" s="3638"/>
      <c r="M55" s="2528" t="e">
        <f ca="1">D59</f>
        <v>#REF!</v>
      </c>
      <c r="N55" s="2040" t="str">
        <f>E59</f>
        <v>差额计税</v>
      </c>
      <c r="O55" s="2529">
        <f>F59</f>
        <v>0.01</v>
      </c>
    </row>
    <row r="56" spans="1:35" ht="25.2">
      <c r="A56" s="3588" t="s">
        <v>1363</v>
      </c>
      <c r="B56" s="3589"/>
      <c r="C56" s="3589"/>
      <c r="D56" s="2324" t="e">
        <f ca="1">IF(H56="个人住宅",D57,D58)</f>
        <v>#REF!</v>
      </c>
      <c r="E56" s="2334" t="s">
        <v>1364</v>
      </c>
      <c r="F56" s="2554" t="str">
        <f>IF(H56="正常",F58,"免征")</f>
        <v>免征</v>
      </c>
      <c r="G56" s="2557" t="s">
        <v>1365</v>
      </c>
      <c r="H56" s="2558"/>
      <c r="I56" s="1808"/>
      <c r="J56" s="2523" t="str">
        <f>IF(项目基本情况!K6="上海银行",IF(J55="",4,J55+1),"")</f>
        <v/>
      </c>
      <c r="K56" s="3661" t="str">
        <f>IF(项目基本情况!K6="上海银行","其他处置费用","")</f>
        <v/>
      </c>
      <c r="L56" s="3662"/>
      <c r="M56" s="2525" t="str">
        <f>IF(项目基本情况!K6="上海银行",M69,"")</f>
        <v/>
      </c>
      <c r="N56" s="3661" t="str">
        <f>IF(项目基本情况!K6="上海银行","包含处置中涉及的律师、诉讼、拍卖、评估等费用","")</f>
        <v/>
      </c>
      <c r="O56" s="3664"/>
    </row>
    <row r="57" spans="1:35" ht="13.2">
      <c r="A57" s="2335" t="s">
        <v>1341</v>
      </c>
      <c r="B57" s="3599" t="s">
        <v>1366</v>
      </c>
      <c r="C57" s="3600"/>
      <c r="D57" s="1590">
        <v>0</v>
      </c>
      <c r="E57" s="324" t="s">
        <v>1343</v>
      </c>
      <c r="F57" s="302"/>
      <c r="G57" s="2555"/>
      <c r="H57" s="2559"/>
      <c r="I57" s="1808"/>
      <c r="J57" s="3638">
        <f>IF(AND(J55="",J56=""),4,IF(项目基本情况!K6="上海银行",结果表!J56+1,结果表!J55+1))</f>
        <v>5</v>
      </c>
      <c r="K57" s="3638" t="s">
        <v>1367</v>
      </c>
      <c r="L57" s="2530" t="s">
        <v>1368</v>
      </c>
      <c r="M57" s="2531"/>
      <c r="N57" s="2532">
        <f ca="1">SUMIF(M52:M56,"&lt;9e307")</f>
        <v>0</v>
      </c>
      <c r="O57" s="2533"/>
      <c r="P57" s="2690" t="e">
        <f ca="1">N57/M49</f>
        <v>#VALUE!</v>
      </c>
    </row>
    <row r="58" spans="1:35" ht="25.2">
      <c r="A58" s="2335" t="s">
        <v>1352</v>
      </c>
      <c r="B58" s="3599" t="s">
        <v>1369</v>
      </c>
      <c r="C58" s="3573"/>
      <c r="D58" s="2324" t="e">
        <f ca="1">IF(H58="转让取得",C81,C97)</f>
        <v>#REF!</v>
      </c>
      <c r="E58" s="2334" t="s">
        <v>1364</v>
      </c>
      <c r="F58" s="302" t="s">
        <v>28</v>
      </c>
      <c r="G58" s="2555"/>
      <c r="H58" s="2558"/>
      <c r="I58" s="1808"/>
      <c r="J58" s="3638"/>
      <c r="K58" s="3638"/>
      <c r="L58" s="2530" t="s">
        <v>1370</v>
      </c>
      <c r="M58" s="2534"/>
      <c r="N58" s="2535" t="str">
        <f ca="1">NUMBERSTRING(INT(N57*10000),2)&amp;"元整"</f>
        <v>零元整</v>
      </c>
      <c r="O58" s="2536"/>
    </row>
    <row r="59" spans="1:35" ht="24.6" thickBot="1">
      <c r="A59" s="3641" t="s">
        <v>1371</v>
      </c>
      <c r="B59" s="3642"/>
      <c r="C59" s="3642"/>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9">
        <f>J57+1</f>
        <v>6</v>
      </c>
      <c r="K59" s="3638" t="s">
        <v>1372</v>
      </c>
      <c r="L59" s="2523" t="s">
        <v>1368</v>
      </c>
      <c r="M59" s="2537"/>
      <c r="N59" s="2538" t="e">
        <f ca="1">M49-N57</f>
        <v>#VALUE!</v>
      </c>
      <c r="O59" s="2539"/>
    </row>
    <row r="60" spans="1:35" ht="12" customHeight="1">
      <c r="A60" s="1809"/>
      <c r="B60" s="1747"/>
      <c r="C60" s="1747"/>
      <c r="D60" s="1747"/>
      <c r="E60" s="1578"/>
      <c r="F60" s="1808"/>
      <c r="G60" s="1808"/>
      <c r="H60" s="1810"/>
      <c r="I60" s="129"/>
      <c r="J60" s="3640"/>
      <c r="K60" s="3638"/>
      <c r="L60" s="2530" t="s">
        <v>1370</v>
      </c>
      <c r="M60" s="2534"/>
      <c r="N60" s="2535" t="e">
        <f ca="1">NUMBERSTRING(INT(N59*10000),2)&amp;"元整"</f>
        <v>#VALUE!</v>
      </c>
      <c r="O60" s="2536"/>
    </row>
    <row r="61" spans="1:35" ht="13.8" thickBot="1">
      <c r="A61" s="3586" t="s">
        <v>1373</v>
      </c>
      <c r="B61" s="3586"/>
      <c r="C61" s="3586"/>
      <c r="D61" s="3586"/>
      <c r="E61" s="3586"/>
      <c r="F61" s="1808"/>
      <c r="G61" s="1808"/>
      <c r="H61" s="1810"/>
      <c r="I61" s="129"/>
      <c r="J61" s="2523">
        <f>J59+1</f>
        <v>7</v>
      </c>
      <c r="K61" s="3638" t="s">
        <v>1374</v>
      </c>
      <c r="L61" s="3638"/>
      <c r="M61" s="2540"/>
      <c r="N61" s="2541" t="e">
        <f ca="1">ROUND(N59*10000/'数据-汇总表'!E3,0)</f>
        <v>#VALUE!</v>
      </c>
      <c r="O61" s="2542"/>
    </row>
    <row r="62" spans="1:35" ht="13.2">
      <c r="A62" s="3604" t="s">
        <v>1375</v>
      </c>
      <c r="B62" s="3605"/>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63"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63"/>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63"/>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63"/>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63"/>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63"/>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63"/>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25" t="s">
        <v>1394</v>
      </c>
      <c r="B70" s="3626"/>
      <c r="C70" s="3626"/>
      <c r="D70" s="3626"/>
      <c r="E70" s="3626"/>
      <c r="F70" s="3626"/>
      <c r="G70" s="3626"/>
      <c r="H70" s="362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04" t="s">
        <v>1375</v>
      </c>
      <c r="B71" s="360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9" t="s">
        <v>1402</v>
      </c>
      <c r="F76" s="3573"/>
      <c r="G76" s="3573"/>
      <c r="H76" s="362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83" t="s">
        <v>1406</v>
      </c>
      <c r="F78" s="3584"/>
      <c r="G78" s="3584"/>
      <c r="H78" s="359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25" t="s">
        <v>1410</v>
      </c>
      <c r="B83" s="3626"/>
      <c r="C83" s="3626"/>
      <c r="D83" s="3626"/>
      <c r="E83" s="3626"/>
      <c r="F83" s="3626"/>
      <c r="G83" s="3626"/>
      <c r="H83" s="362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04" t="s">
        <v>1375</v>
      </c>
      <c r="B84" s="360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65" t="s">
        <v>2129</v>
      </c>
      <c r="H90" s="366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3" t="s">
        <v>1419</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3" t="s">
        <v>1422</v>
      </c>
      <c r="F92" s="3584"/>
      <c r="G92" s="3584"/>
      <c r="H92" s="359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83" t="s">
        <v>1406</v>
      </c>
      <c r="F93" s="3584"/>
      <c r="G93" s="3584"/>
      <c r="H93" s="359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4" t="s">
        <v>1426</v>
      </c>
      <c r="F94" s="3595"/>
      <c r="G94" s="3595"/>
      <c r="H94" s="359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7" t="s">
        <v>1428</v>
      </c>
      <c r="B100" s="3568"/>
      <c r="C100" s="3568"/>
      <c r="D100" s="3585"/>
      <c r="E100" s="3568" t="s">
        <v>1429</v>
      </c>
      <c r="F100" s="3568"/>
      <c r="G100" s="3568"/>
      <c r="H100" s="3585"/>
      <c r="I100" s="129"/>
    </row>
    <row r="101" spans="1:35" ht="18.75" customHeight="1">
      <c r="A101" s="3646" t="s">
        <v>1430</v>
      </c>
      <c r="B101" s="3647"/>
      <c r="C101" s="2585" t="str">
        <f>C4</f>
        <v>比较法-住宅</v>
      </c>
      <c r="D101" s="2586" t="str">
        <f>D4</f>
        <v>收益法 (元)</v>
      </c>
      <c r="E101" s="3660" t="s">
        <v>1431</v>
      </c>
      <c r="F101" s="3617"/>
      <c r="G101" s="1827" t="s">
        <v>1432</v>
      </c>
      <c r="H101" s="2595" t="e">
        <f ca="1">H118</f>
        <v>#REF!</v>
      </c>
      <c r="I101" s="129"/>
    </row>
    <row r="102" spans="1:35" ht="18.75" customHeight="1">
      <c r="A102" s="3619" t="s">
        <v>1433</v>
      </c>
      <c r="B102" s="2584" t="s">
        <v>1432</v>
      </c>
      <c r="C102" s="2585">
        <f ca="1">IF(D32="楼面单价",ROUND(C19,0),C19)</f>
        <v>1332.1709000000001</v>
      </c>
      <c r="D102" s="2586">
        <f ca="1">IF(D32="楼面单价",ROUND(D19,0),D19)</f>
        <v>719.7826</v>
      </c>
      <c r="E102" s="3660"/>
      <c r="F102" s="3617"/>
      <c r="G102" s="1827" t="s">
        <v>1434</v>
      </c>
      <c r="H102" s="2555" t="e">
        <f ca="1">I118</f>
        <v>#REF!</v>
      </c>
      <c r="I102" s="129"/>
    </row>
    <row r="103" spans="1:35" ht="42.75" customHeight="1">
      <c r="A103" s="3619"/>
      <c r="B103" s="2584" t="s">
        <v>1434</v>
      </c>
      <c r="C103" s="2587">
        <f ca="1">C20</f>
        <v>80767</v>
      </c>
      <c r="D103" s="2588">
        <f ca="1">D20</f>
        <v>43639</v>
      </c>
      <c r="E103" s="3654" t="s">
        <v>1435</v>
      </c>
      <c r="F103" s="3655"/>
      <c r="G103" s="1828" t="s">
        <v>1436</v>
      </c>
      <c r="H103" s="2595">
        <f>IF(D36="正常操作",H104+H105+H106,H105+H106)</f>
        <v>0</v>
      </c>
      <c r="I103" s="129"/>
    </row>
    <row r="104" spans="1:35" ht="18.75" customHeight="1">
      <c r="A104" s="3619"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20"/>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6" t="str">
        <f>IF(项目基本情况!E8="已注销","——","3.房地产抵押价值")</f>
        <v>3.房地产抵押价值</v>
      </c>
      <c r="F107" s="3617"/>
      <c r="G107" s="1827" t="s">
        <v>1432</v>
      </c>
      <c r="H107" s="2595" t="e">
        <f ca="1">IF(E107="——","——",H101-H103)</f>
        <v>#REF!</v>
      </c>
      <c r="I107" s="129"/>
    </row>
    <row r="108" spans="1:35" ht="18.75" customHeight="1">
      <c r="A108" s="129"/>
      <c r="B108" s="129"/>
      <c r="C108" s="129"/>
      <c r="D108" s="129"/>
      <c r="E108" s="3616"/>
      <c r="F108" s="3617"/>
      <c r="G108" s="1827" t="s">
        <v>1434</v>
      </c>
      <c r="H108" s="2555">
        <f ca="1">IF(H107=H101,H102,ROUND(H107*10000/'数据-汇总表'!E3,0))</f>
        <v>0</v>
      </c>
      <c r="I108" s="129"/>
    </row>
    <row r="109" spans="1:35" ht="18.75" customHeight="1">
      <c r="A109" s="129"/>
      <c r="B109" s="129"/>
      <c r="C109" s="129"/>
      <c r="D109" s="129"/>
      <c r="E109" s="3616" t="str">
        <f>IF(项目基本情况!E8="已注销及未注销","4.抵押担保权已注销时的房地产抵押价值",IF(项目基本情况!E8="已注销","3.抵押担保权已注销时的房地产抵押价值","——"))</f>
        <v>——</v>
      </c>
      <c r="F109" s="3617"/>
      <c r="G109" s="1827" t="s">
        <v>1432</v>
      </c>
      <c r="H109" s="2598" t="str">
        <f>IF(E109="——","——",H101-H105-H106)</f>
        <v>——</v>
      </c>
      <c r="I109" s="129"/>
    </row>
    <row r="110" spans="1:35" ht="18.75" customHeight="1">
      <c r="A110" s="129"/>
      <c r="B110" s="129"/>
      <c r="C110" s="129"/>
      <c r="D110" s="129"/>
      <c r="E110" s="3616"/>
      <c r="F110" s="3617"/>
      <c r="G110" s="1827" t="s">
        <v>1434</v>
      </c>
      <c r="H110" s="2555" t="str">
        <f>IF(H109="——","——",ROUND(H109*10000/'数据-汇总表'!E3,0))</f>
        <v>——</v>
      </c>
      <c r="I110" s="129"/>
    </row>
    <row r="111" spans="1:35" ht="18.75" customHeight="1">
      <c r="A111" s="129"/>
      <c r="B111" s="129"/>
      <c r="C111" s="129"/>
      <c r="D111" s="129"/>
      <c r="E111" s="3648" t="str">
        <f>IF(项目基本情况!E9="抵押净值",IF(OR(项目基本情况!E8="已注销",项目基本情况!E8="房地产抵押价值"),"4.抵押净值","5.抵押净值"),"——")</f>
        <v>——</v>
      </c>
      <c r="F111" s="3618"/>
      <c r="G111" s="1827" t="s">
        <v>1432</v>
      </c>
      <c r="H111" s="2595" t="str">
        <f>IF(E111="——","——",N59)</f>
        <v>——</v>
      </c>
      <c r="I111" s="129"/>
    </row>
    <row r="112" spans="1:35" ht="18.75" customHeight="1" thickBot="1">
      <c r="A112" s="129"/>
      <c r="B112" s="129"/>
      <c r="C112" s="129"/>
      <c r="D112" s="129"/>
      <c r="E112" s="3649"/>
      <c r="F112" s="3650"/>
      <c r="G112" s="1830" t="s">
        <v>1434</v>
      </c>
      <c r="H112" s="2599" t="str">
        <f>IF(E111="——","——",N61)</f>
        <v>——</v>
      </c>
      <c r="I112" s="129"/>
    </row>
    <row r="113" spans="1:27" ht="18.75" customHeight="1">
      <c r="A113" s="129"/>
      <c r="B113" s="129"/>
      <c r="C113" s="129"/>
      <c r="D113" s="129"/>
      <c r="E113" s="3621" t="s">
        <v>1440</v>
      </c>
      <c r="F113" s="3621"/>
      <c r="G113" s="3621"/>
      <c r="H113" s="3621"/>
      <c r="I113" s="129"/>
    </row>
    <row r="114" spans="1:27" ht="3.75" customHeight="1">
      <c r="A114" s="1747"/>
      <c r="B114" s="1747"/>
      <c r="C114" s="1747"/>
      <c r="D114" s="1747"/>
      <c r="E114" s="1809"/>
      <c r="F114" s="1809"/>
      <c r="G114" s="1809"/>
      <c r="H114" s="1809"/>
      <c r="I114" s="1747"/>
    </row>
    <row r="115" spans="1:27" ht="18.75" customHeight="1">
      <c r="A115" s="3631" t="s">
        <v>1442</v>
      </c>
      <c r="B115" s="3632"/>
      <c r="C115" s="3632"/>
      <c r="D115" s="3632"/>
      <c r="E115" s="3632"/>
      <c r="F115" s="3632"/>
      <c r="G115" s="3632"/>
      <c r="H115" s="3632"/>
      <c r="I115" s="3633"/>
    </row>
    <row r="116" spans="1:27" ht="27" customHeight="1">
      <c r="A116" s="3587" t="s">
        <v>1443</v>
      </c>
      <c r="B116" s="3622" t="s">
        <v>1444</v>
      </c>
      <c r="C116" s="3622" t="s">
        <v>1445</v>
      </c>
      <c r="D116" s="3635" t="s">
        <v>1446</v>
      </c>
      <c r="E116" s="3636"/>
      <c r="F116" s="3630" t="s">
        <v>1447</v>
      </c>
      <c r="G116" s="3630"/>
      <c r="H116" s="3587" t="s">
        <v>1448</v>
      </c>
      <c r="I116" s="3587"/>
    </row>
    <row r="117" spans="1:27" ht="18.75" customHeight="1">
      <c r="A117" s="3587"/>
      <c r="B117" s="3623"/>
      <c r="C117" s="3623"/>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164.94</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7" t="s">
        <v>1452</v>
      </c>
      <c r="B119" s="3587"/>
      <c r="C119" s="3587"/>
      <c r="D119" s="3627" t="e">
        <f ca="1">NUMBERSTRING(INT(D118*10000),2)&amp;"元整"</f>
        <v>#REF!</v>
      </c>
      <c r="E119" s="3629"/>
      <c r="F119" s="3627" t="e">
        <f ca="1">NUMBERSTRING(INT(F118*10000),2)&amp;"元整"</f>
        <v>#REF!</v>
      </c>
      <c r="G119" s="3629"/>
      <c r="H119" s="3627" t="e">
        <f ca="1">NUMBERSTRING(INT(H118*10000),2)&amp;"元整"</f>
        <v>#REF!</v>
      </c>
      <c r="I119" s="3629"/>
    </row>
    <row r="120" spans="1:27" ht="18.75" customHeight="1">
      <c r="A120" s="3651" t="str">
        <f>IF(项目基本情况!B9="房地产市场价值","",MID(E103,3,LEN(E103)-2))</f>
        <v/>
      </c>
      <c r="B120" s="3652"/>
      <c r="C120" s="3653"/>
      <c r="D120" s="3651">
        <f>H103</f>
        <v>0</v>
      </c>
      <c r="E120" s="3652"/>
      <c r="F120" s="3652"/>
      <c r="G120" s="3652"/>
      <c r="H120" s="3652"/>
      <c r="I120" s="3653"/>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27" t="s">
        <v>1452</v>
      </c>
      <c r="B121" s="3628"/>
      <c r="C121" s="3629"/>
      <c r="D121" s="3627" t="str">
        <f>IF(D120=0,"零元整",NUMBERSTRING(INT(D120*10000),2)&amp;"元整")</f>
        <v>零元整</v>
      </c>
      <c r="E121" s="3628"/>
      <c r="F121" s="3628"/>
      <c r="G121" s="3628"/>
      <c r="H121" s="3628"/>
      <c r="I121" s="3629"/>
      <c r="AA121" s="725"/>
    </row>
    <row r="122" spans="1:27" ht="18.75" customHeight="1">
      <c r="A122" s="3618" t="str">
        <f>IF(项目基本情况!B9="房地产市场价值","",MID(E107,3,LEN(E107)-2))</f>
        <v/>
      </c>
      <c r="B122" s="3618"/>
      <c r="C122" s="3618"/>
      <c r="D122" s="3651" t="e">
        <f ca="1">H107</f>
        <v>#REF!</v>
      </c>
      <c r="E122" s="3652"/>
      <c r="F122" s="3652"/>
      <c r="G122" s="3652"/>
      <c r="H122" s="3652"/>
      <c r="I122" s="3653"/>
      <c r="AA122" s="725"/>
    </row>
    <row r="123" spans="1:27" ht="18.75" customHeight="1">
      <c r="A123" s="3587" t="s">
        <v>1452</v>
      </c>
      <c r="B123" s="3587"/>
      <c r="C123" s="3587"/>
      <c r="D123" s="3627" t="e">
        <f ca="1">NUMBERSTRING(INT(D122*10000),2)&amp;"元整"</f>
        <v>#REF!</v>
      </c>
      <c r="E123" s="3628"/>
      <c r="F123" s="3628"/>
      <c r="G123" s="3628"/>
      <c r="H123" s="3628"/>
      <c r="I123" s="3629"/>
      <c r="AA123" s="725"/>
    </row>
    <row r="124" spans="1:27" ht="18.75" customHeight="1">
      <c r="A124" s="3618" t="str">
        <f>IF(项目基本情况!B9="房地产市场价值","",MID(E109,3,LEN(E109)-2))</f>
        <v/>
      </c>
      <c r="B124" s="3618"/>
      <c r="C124" s="3618"/>
      <c r="D124" s="3651" t="str">
        <f>H109</f>
        <v>——</v>
      </c>
      <c r="E124" s="3652"/>
      <c r="F124" s="3652"/>
      <c r="G124" s="3652"/>
      <c r="H124" s="3652"/>
      <c r="I124" s="3653"/>
      <c r="AA124" s="725"/>
    </row>
    <row r="125" spans="1:27" ht="18.75" customHeight="1">
      <c r="A125" s="3587" t="s">
        <v>1452</v>
      </c>
      <c r="B125" s="3587"/>
      <c r="C125" s="3587"/>
      <c r="D125" s="3627" t="e">
        <f>NUMBERSTRING(INT(D124*10000),2)&amp;"元整"</f>
        <v>#VALUE!</v>
      </c>
      <c r="E125" s="3628"/>
      <c r="F125" s="3628"/>
      <c r="G125" s="3628"/>
      <c r="H125" s="3628"/>
      <c r="I125" s="3629"/>
      <c r="AA125" s="725"/>
    </row>
    <row r="126" spans="1:27" ht="18.75" customHeight="1">
      <c r="A126" s="3618" t="str">
        <f>IF(项目基本情况!B9="房地产市场价值","",MID(E111,3,LEN(E111)-2))</f>
        <v/>
      </c>
      <c r="B126" s="3618"/>
      <c r="C126" s="3618"/>
      <c r="D126" s="3651" t="str">
        <f>H111</f>
        <v>——</v>
      </c>
      <c r="E126" s="3652"/>
      <c r="F126" s="3652"/>
      <c r="G126" s="3652"/>
      <c r="H126" s="3652"/>
      <c r="I126" s="3653"/>
      <c r="AA126" s="725"/>
    </row>
    <row r="127" spans="1:27" ht="18.75" customHeight="1">
      <c r="A127" s="3587" t="s">
        <v>1452</v>
      </c>
      <c r="B127" s="3587"/>
      <c r="C127" s="3587"/>
      <c r="D127" s="3627" t="e">
        <f>NUMBERSTRING(INT(D126*10000),2)&amp;"元整"</f>
        <v>#VALUE!</v>
      </c>
      <c r="E127" s="3628"/>
      <c r="F127" s="3628"/>
      <c r="G127" s="3628"/>
      <c r="H127" s="3628"/>
      <c r="I127" s="3629"/>
      <c r="AA127" s="725"/>
    </row>
    <row r="128" spans="1:27" ht="21.75" customHeight="1">
      <c r="A128" s="3634" t="s">
        <v>1453</v>
      </c>
      <c r="B128" s="3634"/>
      <c r="C128" s="3634"/>
      <c r="D128" s="3634"/>
      <c r="E128" s="3634"/>
      <c r="F128" s="3634"/>
      <c r="G128" s="3634"/>
      <c r="H128" s="3634"/>
      <c r="I128" s="363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137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8306</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3</v>
      </c>
      <c r="D9" s="845">
        <f ca="1">IF(B1="",'数据-汇总表'!E5,IF(INDIRECT("'数据-取费表'!c"&amp;$G$1)="住宅",INDIRECT("'数据-取费表'!k"&amp;$G$1),0))</f>
        <v>164.94</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164.94</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6.4">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103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82</v>
      </c>
      <c r="D34" s="217"/>
      <c r="E34" s="220"/>
      <c r="F34" s="257">
        <f ca="1">IF('数据-取费表'!B24=0,1,IF(B1="",'数据-取费表'!N16,INDIRECT("'数据-取费表'!n"&amp;$G$1)))</f>
        <v>1</v>
      </c>
      <c r="G34" s="219" t="s">
        <v>1526</v>
      </c>
    </row>
    <row r="35" spans="1:7" ht="13.5" customHeight="1">
      <c r="A35" s="780" t="s">
        <v>351</v>
      </c>
      <c r="B35" s="215" t="s">
        <v>1527</v>
      </c>
      <c r="C35" s="220">
        <f ca="1">ROUND(C34*F35,0)</f>
        <v>8</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8</v>
      </c>
      <c r="D36" s="220"/>
      <c r="E36" s="220"/>
      <c r="F36" s="259">
        <f>'数据-取费表'!B34</f>
        <v>0.1</v>
      </c>
      <c r="G36" s="260" t="s">
        <v>1530</v>
      </c>
    </row>
    <row r="37" spans="1:7" s="258" customFormat="1" ht="13.5" customHeight="1">
      <c r="A37" s="780" t="s">
        <v>353</v>
      </c>
      <c r="B37" s="215" t="s">
        <v>1531</v>
      </c>
      <c r="C37" s="249">
        <f ca="1">ROUND(E37*D37*F34/10000,0)</f>
        <v>3</v>
      </c>
      <c r="D37" s="217">
        <f ca="1">D19</f>
        <v>164.94</v>
      </c>
      <c r="E37" s="249">
        <f>'数据-取费表'!B35</f>
        <v>200</v>
      </c>
      <c r="F37" s="259"/>
      <c r="G37" s="261" t="s">
        <v>1532</v>
      </c>
    </row>
    <row r="38" spans="1:7" ht="13.5" customHeight="1">
      <c r="A38" s="780"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67" t="s">
        <v>1544</v>
      </c>
    </row>
    <row r="43" spans="1:7" ht="13.5" customHeight="1">
      <c r="A43" s="780" t="s">
        <v>347</v>
      </c>
      <c r="B43" s="215" t="s">
        <v>1545</v>
      </c>
      <c r="C43" s="238">
        <f ca="1">ROUND(IF('数据-取费表'!B22&lt;=1,C39*F22*'数据-取费表'!B21/2,C39*(POWER((1+F22),'数据-取费表'!B21/2)-1)),0)</f>
        <v>0</v>
      </c>
      <c r="D43" s="238"/>
      <c r="E43" s="238"/>
      <c r="F43" s="239"/>
      <c r="G43" s="3668"/>
    </row>
    <row r="44" spans="1:7" ht="13.5" customHeight="1">
      <c r="A44" s="780" t="s">
        <v>348</v>
      </c>
      <c r="B44" s="215" t="s">
        <v>1546</v>
      </c>
      <c r="C44" s="238">
        <f ca="1">ROUND(IF('数据-取费表'!B22&lt;=1,C40*F22*'数据-取费表'!B21/2,C40*(POWER((1+F22),'数据-取费表'!B21/2)-1)),4)</f>
        <v>5.9999999999999995E-4</v>
      </c>
      <c r="D44" s="238"/>
      <c r="E44" s="238"/>
      <c r="F44" s="239"/>
      <c r="G44" s="3669"/>
    </row>
    <row r="45" spans="1:7" s="214" customFormat="1" ht="13.5" customHeight="1">
      <c r="A45" s="255" t="s">
        <v>1547</v>
      </c>
      <c r="B45" s="244" t="s">
        <v>1513</v>
      </c>
      <c r="C45" s="245">
        <f ca="1">C46</f>
        <v>21</v>
      </c>
      <c r="D45" s="235">
        <f ca="1">C47</f>
        <v>4.0000000000000001E-3</v>
      </c>
      <c r="E45" s="236" t="s">
        <v>1539</v>
      </c>
      <c r="F45" s="246">
        <f ca="1">F27</f>
        <v>0.2</v>
      </c>
      <c r="G45" s="247" t="s">
        <v>1548</v>
      </c>
    </row>
    <row r="46" spans="1:7" s="214" customFormat="1" ht="13.5" customHeight="1">
      <c r="A46" s="780" t="s">
        <v>346</v>
      </c>
      <c r="B46" s="248" t="s">
        <v>1549</v>
      </c>
      <c r="C46" s="249">
        <f ca="1">ROUND((C33+C39)*F27,0)</f>
        <v>21</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140</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133</v>
      </c>
      <c r="D51" s="232"/>
      <c r="E51" s="232"/>
      <c r="F51" s="264"/>
      <c r="G51" s="234" t="s">
        <v>1560</v>
      </c>
    </row>
    <row r="52" spans="1:7" s="208" customFormat="1" ht="16.8" thickBot="1">
      <c r="A52" s="265" t="s">
        <v>1561</v>
      </c>
      <c r="B52" s="266"/>
      <c r="C52" s="267">
        <f ca="1">C31+C51</f>
        <v>137</v>
      </c>
      <c r="D52" s="266"/>
      <c r="E52" s="266"/>
      <c r="F52" s="266"/>
      <c r="G52" s="268"/>
    </row>
    <row r="55" spans="1:7" ht="15">
      <c r="B55" s="270" t="s">
        <v>1562</v>
      </c>
      <c r="C55" s="271"/>
    </row>
    <row r="56" spans="1:7">
      <c r="B56" s="273" t="s">
        <v>802</v>
      </c>
      <c r="C56" s="275">
        <f ca="1">1-C57</f>
        <v>2.9000000000000026E-2</v>
      </c>
    </row>
    <row r="57" spans="1:7">
      <c r="B57" s="273" t="s">
        <v>803</v>
      </c>
      <c r="C57" s="274">
        <f ca="1">ROUND(C51/C52,3)</f>
        <v>0.97099999999999997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84" t="str">
        <f>项目基本情况!B1</f>
        <v>北京市房地产市场价值预评估</v>
      </c>
      <c r="C37" s="3484"/>
      <c r="D37" s="3484"/>
      <c r="E37" s="3484"/>
      <c r="F37" s="3484"/>
      <c r="G37" s="3484"/>
      <c r="H37" s="3484"/>
      <c r="I37" s="348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142.5907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8645</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26390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26390</v>
      </c>
      <c r="D8" s="222"/>
      <c r="E8" s="220"/>
      <c r="F8" s="221"/>
      <c r="G8" s="1856"/>
    </row>
    <row r="9" spans="1:8" s="214" customFormat="1" ht="13.5" customHeight="1">
      <c r="A9" s="779" t="s">
        <v>355</v>
      </c>
      <c r="B9" s="224" t="s">
        <v>1478</v>
      </c>
      <c r="C9" s="225">
        <f ca="1">ROUND(D9*E9,0)</f>
        <v>26390</v>
      </c>
      <c r="D9" s="845">
        <f ca="1">IF(B1="",'数据-汇总表'!E5,IF(INDIRECT("'数据-取费表'!c"&amp;$G$1)="住宅",INDIRECT("'数据-取费表'!k"&amp;$G$1),0))</f>
        <v>164.94</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32988</v>
      </c>
      <c r="D19" s="849">
        <f ca="1">D9+D10</f>
        <v>164.94</v>
      </c>
      <c r="E19" s="211">
        <f>'数据-取费表'!B31</f>
        <v>200</v>
      </c>
      <c r="F19" s="231"/>
      <c r="G19" s="1856"/>
    </row>
    <row r="20" spans="1:7" s="214" customFormat="1" ht="13.5" customHeight="1">
      <c r="A20" s="255" t="s">
        <v>1574</v>
      </c>
      <c r="B20" s="210" t="s">
        <v>1575</v>
      </c>
      <c r="C20" s="232">
        <f ca="1">ROUND((C5+C19)*F20,0)</f>
        <v>1188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3652</v>
      </c>
      <c r="D22" s="235">
        <f ca="1">C26</f>
        <v>5.9999999999999995E-4</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1607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2009</v>
      </c>
      <c r="D24" s="238"/>
      <c r="E24" s="238"/>
      <c r="F24" s="239"/>
      <c r="G24" s="240" t="s">
        <v>1586</v>
      </c>
    </row>
    <row r="25" spans="1:7" s="214" customFormat="1" ht="24">
      <c r="A25" s="780" t="s">
        <v>1476</v>
      </c>
      <c r="B25" s="215" t="s">
        <v>1587</v>
      </c>
      <c r="C25" s="1128">
        <f ca="1">ROUND(IF('数据-取费表'!B22&lt;=1,C20*F22*'数据-取费表'!B22/2,C20*(POWER((1+F22),'数据-取费表'!B22/2)-1)),0)</f>
        <v>36</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6.4">
      <c r="A27" s="255" t="s">
        <v>1512</v>
      </c>
      <c r="B27" s="244" t="s">
        <v>1513</v>
      </c>
      <c r="C27" s="245">
        <f ca="1">C28</f>
        <v>12113</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12113</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82780</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1039122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824700</v>
      </c>
      <c r="D34" s="217"/>
      <c r="E34" s="220"/>
      <c r="F34" s="257"/>
      <c r="G34" s="219"/>
    </row>
    <row r="35" spans="1:7" ht="13.5" customHeight="1">
      <c r="A35" s="780" t="s">
        <v>351</v>
      </c>
      <c r="B35" s="215" t="s">
        <v>1527</v>
      </c>
      <c r="C35" s="220">
        <f ca="1">ROUND(C34*F35,0)</f>
        <v>82470</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82470</v>
      </c>
      <c r="D36" s="220"/>
      <c r="E36" s="220"/>
      <c r="F36" s="259">
        <f>'数据-取费表'!B34</f>
        <v>0.1</v>
      </c>
      <c r="G36" s="260" t="s">
        <v>1530</v>
      </c>
    </row>
    <row r="37" spans="1:7" s="258" customFormat="1" ht="13.5" customHeight="1">
      <c r="A37" s="780" t="s">
        <v>353</v>
      </c>
      <c r="B37" s="215" t="s">
        <v>1531</v>
      </c>
      <c r="C37" s="249">
        <f ca="1">ROUND(E37*D37,0)</f>
        <v>32988</v>
      </c>
      <c r="D37" s="217">
        <f ca="1">D19</f>
        <v>164.94</v>
      </c>
      <c r="E37" s="249">
        <f>'数据-取费表'!B35</f>
        <v>200</v>
      </c>
      <c r="F37" s="259"/>
      <c r="G37" s="261"/>
    </row>
    <row r="38" spans="1:7" ht="13.5" customHeight="1">
      <c r="A38" s="780" t="s">
        <v>354</v>
      </c>
      <c r="B38" s="215" t="s">
        <v>1533</v>
      </c>
      <c r="C38" s="220">
        <f ca="1">ROUND(C34*F38,0)</f>
        <v>16494</v>
      </c>
      <c r="D38" s="220"/>
      <c r="E38" s="220"/>
      <c r="F38" s="259">
        <f>'数据-取费表'!B36</f>
        <v>0.02</v>
      </c>
      <c r="G38" s="219" t="s">
        <v>1528</v>
      </c>
    </row>
    <row r="39" spans="1:7" s="214" customFormat="1" ht="13.5" customHeight="1">
      <c r="A39" s="255" t="s">
        <v>1534</v>
      </c>
      <c r="B39" s="210" t="s">
        <v>1535</v>
      </c>
      <c r="C39" s="232">
        <f ca="1">ROUND(C33*F20,0)</f>
        <v>20782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31797</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31174</v>
      </c>
      <c r="D42" s="238"/>
      <c r="E42" s="238"/>
      <c r="F42" s="239"/>
      <c r="G42" s="3667" t="s">
        <v>1591</v>
      </c>
    </row>
    <row r="43" spans="1:7" ht="13.5" customHeight="1">
      <c r="A43" s="780" t="s">
        <v>347</v>
      </c>
      <c r="B43" s="215" t="s">
        <v>1545</v>
      </c>
      <c r="C43" s="238">
        <f ca="1">ROUND(IF('数据-取费表'!B22&lt;=1,C39*F22*'数据-取费表'!B20/2,C39*(POWER((1+F22),'数据-取费表'!B20/2)-1)),0)</f>
        <v>623</v>
      </c>
      <c r="D43" s="238"/>
      <c r="E43" s="238"/>
      <c r="F43" s="239"/>
      <c r="G43" s="3668"/>
    </row>
    <row r="44" spans="1:7" ht="13.5" customHeight="1">
      <c r="A44" s="780" t="s">
        <v>348</v>
      </c>
      <c r="B44" s="215" t="s">
        <v>1546</v>
      </c>
      <c r="C44" s="238">
        <f ca="1">ROUND(IF('数据-取费表'!B22&lt;=1,C40*F22*'数据-取费表'!B20/2,C40*(POWER((1+F22),'数据-取费表'!B20/2)-1)),4)</f>
        <v>5.9999999999999995E-4</v>
      </c>
      <c r="D44" s="238"/>
      <c r="E44" s="238"/>
      <c r="F44" s="239"/>
      <c r="G44" s="3669"/>
    </row>
    <row r="45" spans="1:7" s="214" customFormat="1" ht="13.5" customHeight="1">
      <c r="A45" s="255" t="s">
        <v>1547</v>
      </c>
      <c r="B45" s="244" t="s">
        <v>1513</v>
      </c>
      <c r="C45" s="245">
        <f ca="1">C46</f>
        <v>211981</v>
      </c>
      <c r="D45" s="235">
        <f ca="1">C47</f>
        <v>4.0000000000000001E-3</v>
      </c>
      <c r="E45" s="236" t="s">
        <v>1539</v>
      </c>
      <c r="F45" s="246">
        <f ca="1">F27</f>
        <v>0.2</v>
      </c>
      <c r="G45" s="247" t="s">
        <v>1548</v>
      </c>
    </row>
    <row r="46" spans="1:7" s="214" customFormat="1" ht="13.5" customHeight="1">
      <c r="A46" s="780" t="s">
        <v>346</v>
      </c>
      <c r="B46" s="248" t="s">
        <v>1549</v>
      </c>
      <c r="C46" s="249">
        <f ca="1">ROUND((C33+C39)*F27,0)</f>
        <v>211981</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1413818</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1343127</v>
      </c>
      <c r="D51" s="232"/>
      <c r="E51" s="232"/>
      <c r="F51" s="264"/>
      <c r="G51" s="234" t="s">
        <v>1560</v>
      </c>
    </row>
    <row r="52" spans="1:7" s="208" customFormat="1" ht="16.8" thickBot="1">
      <c r="A52" s="265" t="s">
        <v>1561</v>
      </c>
      <c r="B52" s="266"/>
      <c r="C52" s="267">
        <f ca="1">C31+C51</f>
        <v>1425907</v>
      </c>
      <c r="D52" s="266"/>
      <c r="E52" s="266"/>
      <c r="F52" s="266"/>
      <c r="G52" s="268"/>
    </row>
    <row r="55" spans="1:7" ht="15">
      <c r="B55" s="270" t="s">
        <v>1562</v>
      </c>
      <c r="C55" s="271"/>
    </row>
    <row r="56" spans="1:7">
      <c r="B56" s="273" t="s">
        <v>802</v>
      </c>
      <c r="C56" s="275">
        <f ca="1">1-C57</f>
        <v>5.8000000000000052E-2</v>
      </c>
    </row>
    <row r="57" spans="1:7">
      <c r="B57" s="273" t="s">
        <v>803</v>
      </c>
      <c r="C57" s="274">
        <f ca="1">ROUND(C51/C52,3)</f>
        <v>0.94199999999999995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-4</v>
      </c>
      <c r="C2" s="276" t="s">
        <v>1595</v>
      </c>
      <c r="D2" s="276"/>
      <c r="E2" s="2806"/>
      <c r="F2" s="2806"/>
      <c r="G2" s="2806"/>
      <c r="H2" s="2806"/>
      <c r="I2" s="2806"/>
      <c r="J2" s="2806"/>
      <c r="K2" s="2806"/>
    </row>
    <row r="3" spans="1:33" ht="18" customHeight="1" thickBot="1">
      <c r="A3" s="203" t="s">
        <v>1464</v>
      </c>
      <c r="B3" s="204">
        <f ca="1">ROUND(B2*10000/IF(C1="",'数据-汇总表'!E3,INDIRECT("'数据-取费表'!K"&amp;$K$1)),0)</f>
        <v>-243</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164.94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164.94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2"/>
      <c r="H18" s="1187"/>
      <c r="I18" s="1863" t="s">
        <v>1625</v>
      </c>
      <c r="J18" s="807"/>
      <c r="K18" s="808"/>
    </row>
    <row r="19" spans="1:33" s="803" customFormat="1" ht="13.5" customHeight="1">
      <c r="A19" s="800" t="s">
        <v>360</v>
      </c>
      <c r="B19" s="801" t="s">
        <v>1626</v>
      </c>
      <c r="C19" s="21">
        <f ca="1">ROUND(D19*E19/10000,0)</f>
        <v>3</v>
      </c>
      <c r="D19" s="846">
        <f ca="1">IF(C1="",'数据-汇总表'!E5,IF(INDIRECT("'数据-取费表'!c"&amp;$K$1)="住宅",INDIRECT("'数据-取费表'!k"&amp;$K$1),0))</f>
        <v>164.94</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2" t="s">
        <v>694</v>
      </c>
      <c r="C6" s="1074">
        <f ca="1">ROUND(F6*F8*F7*(1-F9)/10000,0)</f>
        <v>0</v>
      </c>
      <c r="D6" s="155" t="s">
        <v>2109</v>
      </c>
      <c r="E6" s="302" t="s">
        <v>696</v>
      </c>
      <c r="F6" s="303">
        <f ca="1">INDIRECT("'数据-取费表'!u"&amp;$G$1)</f>
        <v>0</v>
      </c>
      <c r="G6" s="1384"/>
      <c r="H6" s="1069" t="s">
        <v>398</v>
      </c>
      <c r="I6" s="3672" t="s">
        <v>694</v>
      </c>
      <c r="J6" s="301">
        <f ca="1">ROUND(M6*M8*M7*(1-M9)/10000,0)</f>
        <v>0</v>
      </c>
      <c r="K6" s="155" t="s">
        <v>2108</v>
      </c>
      <c r="L6" s="302" t="s">
        <v>696</v>
      </c>
      <c r="M6" s="303">
        <f ca="1">INDIRECT("'数据-取费表'!z"&amp;$G$1)</f>
        <v>0</v>
      </c>
    </row>
    <row r="7" spans="1:37" ht="18" customHeight="1">
      <c r="A7" s="1073"/>
      <c r="B7" s="3673"/>
      <c r="C7" s="1075"/>
      <c r="D7" s="307"/>
      <c r="E7" s="1076" t="s">
        <v>697</v>
      </c>
      <c r="F7" s="303">
        <f ca="1">IF(INDIRECT("'数据-取费表'!ah"&amp;$G$1)="",INDIRECT("'数据-取费表'!k"&amp;$G$1),INDIRECT("'数据-取费表'!ah"&amp;$G$1))</f>
        <v>0</v>
      </c>
      <c r="G7" s="1384"/>
      <c r="H7" s="304"/>
      <c r="I7" s="3673"/>
      <c r="J7" s="306"/>
      <c r="K7" s="307"/>
      <c r="L7" s="302" t="s">
        <v>697</v>
      </c>
      <c r="M7" s="303">
        <f ca="1">F7</f>
        <v>0</v>
      </c>
    </row>
    <row r="8" spans="1:37" ht="18" customHeight="1">
      <c r="A8" s="304"/>
      <c r="B8" s="3673"/>
      <c r="C8" s="306"/>
      <c r="D8" s="307"/>
      <c r="E8" s="302" t="s">
        <v>698</v>
      </c>
      <c r="F8" s="303">
        <f ca="1">INDIRECT("'数据-取费表'!ai"&amp;$G$1)</f>
        <v>0</v>
      </c>
      <c r="G8" s="1384"/>
      <c r="H8" s="304"/>
      <c r="I8" s="3673"/>
      <c r="J8" s="306"/>
      <c r="K8" s="307"/>
      <c r="L8" s="302" t="s">
        <v>698</v>
      </c>
      <c r="M8" s="303">
        <f ca="1">INDIRECT("'数据-取费表'!ai"&amp;$G$1)</f>
        <v>0</v>
      </c>
    </row>
    <row r="9" spans="1:37" ht="18" customHeight="1">
      <c r="A9" s="304"/>
      <c r="B9" s="3674"/>
      <c r="C9" s="306"/>
      <c r="D9" s="307"/>
      <c r="E9" s="302" t="s">
        <v>699</v>
      </c>
      <c r="F9" s="312">
        <f ca="1">INDIRECT("'数据-取费表'!w"&amp;$G$1)</f>
        <v>0</v>
      </c>
      <c r="G9" s="1384"/>
      <c r="H9" s="304"/>
      <c r="I9" s="367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70" t="s">
        <v>837</v>
      </c>
      <c r="L53" s="3671"/>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1" sqref="J4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3406</v>
      </c>
      <c r="D1" s="1362" t="s">
        <v>43</v>
      </c>
      <c r="E1" s="1363" t="s">
        <v>678</v>
      </c>
      <c r="F1" s="1062">
        <f ca="1">J53</f>
        <v>43.81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719.7826</v>
      </c>
      <c r="C2" s="1387" t="s">
        <v>879</v>
      </c>
      <c r="D2" s="1471">
        <f ca="1">C40+J29+L46</f>
        <v>7197826</v>
      </c>
      <c r="E2" s="1388" t="s">
        <v>880</v>
      </c>
      <c r="F2" s="1389"/>
      <c r="G2" s="2706"/>
      <c r="H2" s="2695"/>
      <c r="I2" s="2695"/>
      <c r="J2" s="2695"/>
      <c r="K2" s="2696"/>
      <c r="L2" s="2695"/>
      <c r="M2" s="2695"/>
    </row>
    <row r="3" spans="1:37" ht="18" customHeight="1" thickBot="1">
      <c r="A3" s="1390" t="s">
        <v>881</v>
      </c>
      <c r="B3" s="1391">
        <f ca="1">IF(ISERROR(D2/F43),0,ROUND(D2/F43,0))</f>
        <v>43639</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258619</v>
      </c>
      <c r="D5" s="1364" t="s">
        <v>889</v>
      </c>
      <c r="E5" s="1071"/>
      <c r="F5" s="1072"/>
      <c r="G5" s="1384"/>
      <c r="H5" s="299">
        <v>1</v>
      </c>
      <c r="I5" s="300" t="s">
        <v>888</v>
      </c>
      <c r="J5" s="1070">
        <f ca="1">J6+J10+J12</f>
        <v>0</v>
      </c>
      <c r="K5" s="1364" t="s">
        <v>889</v>
      </c>
      <c r="L5" s="1071"/>
      <c r="M5" s="1072"/>
    </row>
    <row r="6" spans="1:37" ht="18" customHeight="1">
      <c r="A6" s="1069" t="s">
        <v>398</v>
      </c>
      <c r="B6" s="3672" t="s">
        <v>694</v>
      </c>
      <c r="C6" s="1074">
        <f ca="1">ROUND(F6*F8*F7*(1-F9),0)</f>
        <v>258296</v>
      </c>
      <c r="D6" s="155" t="s">
        <v>2106</v>
      </c>
      <c r="E6" s="302" t="s">
        <v>696</v>
      </c>
      <c r="F6" s="303">
        <f ca="1">INDIRECT("'数据-取费表'!u"&amp;$G$1)</f>
        <v>145</v>
      </c>
      <c r="G6" s="1384"/>
      <c r="H6" s="1069" t="s">
        <v>398</v>
      </c>
      <c r="I6" s="3672" t="s">
        <v>694</v>
      </c>
      <c r="J6" s="301">
        <f ca="1">ROUND(M6*M8*M7*(1-M9),0)</f>
        <v>0</v>
      </c>
      <c r="K6" s="1376" t="s">
        <v>2107</v>
      </c>
      <c r="L6" s="302" t="s">
        <v>696</v>
      </c>
      <c r="M6" s="303">
        <f ca="1">INDIRECT("'数据-取费表'!z"&amp;$G$1)</f>
        <v>0</v>
      </c>
    </row>
    <row r="7" spans="1:37" ht="18" customHeight="1">
      <c r="A7" s="1073"/>
      <c r="B7" s="3673"/>
      <c r="C7" s="1075"/>
      <c r="D7" s="307"/>
      <c r="E7" s="1076" t="s">
        <v>697</v>
      </c>
      <c r="F7" s="303">
        <f ca="1">IF(INDIRECT("'数据-取费表'!ah"&amp;$G$1)="",INDIRECT("'数据-取费表'!k"&amp;$G$1),INDIRECT("'数据-取费表'!ah"&amp;$G$1))</f>
        <v>164.94</v>
      </c>
      <c r="G7" s="1384"/>
      <c r="H7" s="304"/>
      <c r="I7" s="3673"/>
      <c r="J7" s="306"/>
      <c r="K7" s="307"/>
      <c r="L7" s="302" t="s">
        <v>697</v>
      </c>
      <c r="M7" s="303">
        <f ca="1">F7</f>
        <v>164.94</v>
      </c>
    </row>
    <row r="8" spans="1:37" ht="18" customHeight="1">
      <c r="A8" s="304"/>
      <c r="B8" s="3673"/>
      <c r="C8" s="306"/>
      <c r="D8" s="307"/>
      <c r="E8" s="302" t="s">
        <v>698</v>
      </c>
      <c r="F8" s="303">
        <f ca="1">INDIRECT("'数据-取费表'!ai"&amp;$G$1)</f>
        <v>12</v>
      </c>
      <c r="G8" s="1384"/>
      <c r="H8" s="304"/>
      <c r="I8" s="3673"/>
      <c r="J8" s="306"/>
      <c r="K8" s="307"/>
      <c r="L8" s="302" t="s">
        <v>698</v>
      </c>
      <c r="M8" s="303">
        <f ca="1">INDIRECT("'数据-取费表'!ai"&amp;$G$1)</f>
        <v>12</v>
      </c>
    </row>
    <row r="9" spans="1:37" ht="18" customHeight="1">
      <c r="A9" s="304"/>
      <c r="B9" s="3674"/>
      <c r="C9" s="306"/>
      <c r="D9" s="307"/>
      <c r="E9" s="302" t="s">
        <v>699</v>
      </c>
      <c r="F9" s="312">
        <f ca="1">INDIRECT("'数据-取费表'!w"&amp;$G$1)</f>
        <v>0.1</v>
      </c>
      <c r="G9" s="1384"/>
      <c r="H9" s="304"/>
      <c r="I9" s="3674"/>
      <c r="J9" s="306"/>
      <c r="K9" s="307"/>
      <c r="L9" s="313" t="s">
        <v>699</v>
      </c>
      <c r="M9" s="314">
        <f ca="1">INDIRECT("'数据-取费表'!ab"&amp;$G$1)</f>
        <v>0</v>
      </c>
    </row>
    <row r="10" spans="1:37" ht="18" customHeight="1">
      <c r="A10" s="1069" t="s">
        <v>402</v>
      </c>
      <c r="B10" s="1365" t="s">
        <v>700</v>
      </c>
      <c r="C10" s="316">
        <f ca="1">ROUND(IF(F10="押一",C6/12*F11,IF(F10="押二",C6/12*2*F11,IF(F10="押三",C6/12*3*F11,C11*F11))),0)</f>
        <v>323</v>
      </c>
      <c r="D10" s="1366" t="s">
        <v>2116</v>
      </c>
      <c r="E10" s="313" t="s">
        <v>701</v>
      </c>
      <c r="F10" s="1116" t="s">
        <v>3475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1343127</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824700</v>
      </c>
      <c r="D14" s="1345" t="s">
        <v>708</v>
      </c>
      <c r="E14" s="1342"/>
      <c r="F14" s="319"/>
      <c r="G14" s="1384"/>
      <c r="H14" s="982" t="s">
        <v>398</v>
      </c>
      <c r="I14" s="302" t="s">
        <v>709</v>
      </c>
      <c r="J14" s="21">
        <f ca="1">C29</f>
        <v>1413818</v>
      </c>
      <c r="K14" s="12"/>
      <c r="L14" s="807"/>
      <c r="M14" s="808"/>
    </row>
    <row r="15" spans="1:37" s="1397" customFormat="1" ht="18" customHeight="1" thickBot="1">
      <c r="A15" s="982" t="s">
        <v>399</v>
      </c>
      <c r="B15" s="302" t="s">
        <v>710</v>
      </c>
      <c r="C15" s="21">
        <f ca="1">ROUND(C14*F15,0)</f>
        <v>82470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82470</v>
      </c>
      <c r="D16" s="302" t="s">
        <v>711</v>
      </c>
      <c r="E16" s="302" t="s">
        <v>712</v>
      </c>
      <c r="F16" s="322">
        <f ca="1">IF(INDIRECT("'数据-取费表'!c"&amp;$G$1)="住宅",'数据-取费表'!B34,0)</f>
        <v>0.1</v>
      </c>
      <c r="G16" s="1384"/>
      <c r="H16" s="1079" t="s">
        <v>393</v>
      </c>
      <c r="I16" s="1080" t="s">
        <v>714</v>
      </c>
      <c r="J16" s="310">
        <f ca="1">ROUND(J17+J22+J23+J24,0)</f>
        <v>2828</v>
      </c>
      <c r="K16" s="1087" t="s">
        <v>715</v>
      </c>
      <c r="L16" s="1088"/>
      <c r="M16" s="1072"/>
    </row>
    <row r="17" spans="1:37" s="1397" customFormat="1" ht="18" customHeight="1">
      <c r="A17" s="982" t="s">
        <v>681</v>
      </c>
      <c r="B17" s="302" t="s">
        <v>716</v>
      </c>
      <c r="C17" s="21">
        <f ca="1">ROUND(F17*(F43+INDIRECT("'数据-取费表'!S"&amp;$G$1)),0)</f>
        <v>32988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16494</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1039122</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20782</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2828</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31797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-2828</v>
      </c>
      <c r="K25" s="1095" t="s">
        <v>753</v>
      </c>
      <c r="L25" s="1096"/>
      <c r="M25" s="1097"/>
    </row>
    <row r="26" spans="1:37" ht="18" customHeight="1">
      <c r="A26" s="982" t="s">
        <v>397</v>
      </c>
      <c r="B26" s="302" t="s">
        <v>754</v>
      </c>
      <c r="C26" s="21">
        <f ca="1">ROUND((C19+C20)*F26,0)</f>
        <v>211981</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1413818</v>
      </c>
      <c r="D29" s="1092"/>
      <c r="E29" s="1090"/>
      <c r="F29" s="1093"/>
      <c r="G29" s="1396"/>
      <c r="H29" s="334" t="s">
        <v>396</v>
      </c>
      <c r="I29" s="335" t="s">
        <v>768</v>
      </c>
      <c r="J29" s="336">
        <f ca="1">ROUND(J26/(1+F40)^F41,0)</f>
        <v>0</v>
      </c>
      <c r="K29" s="337" t="s">
        <v>769</v>
      </c>
      <c r="L29" s="338"/>
      <c r="M29" s="339">
        <f ca="1">INDIRECT("'数据-取费表'!k"&amp;$G$1)</f>
        <v>164.94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50053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43296</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13776</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29520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2828</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ROUND(C13*F37,0)</f>
        <v>1343</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2586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208566</v>
      </c>
      <c r="D39" s="1095" t="s">
        <v>773</v>
      </c>
      <c r="E39" s="1096"/>
      <c r="F39" s="1097"/>
      <c r="G39" s="1384"/>
      <c r="H39" s="2700"/>
      <c r="I39" s="1398"/>
      <c r="J39" s="1399"/>
      <c r="K39" s="2704"/>
      <c r="L39" s="2700"/>
      <c r="M39" s="2700"/>
    </row>
    <row r="40" spans="1:18" ht="18" customHeight="1">
      <c r="A40" s="299" t="s">
        <v>395</v>
      </c>
      <c r="B40" s="300" t="s">
        <v>774</v>
      </c>
      <c r="C40" s="301">
        <f ca="1">ROUND(C39*(1-((1+F42)/(1+F40))^F41)/(F40-F42),0)</f>
        <v>7197826</v>
      </c>
      <c r="D40" s="324" t="s">
        <v>758</v>
      </c>
      <c r="E40" s="302" t="s">
        <v>759</v>
      </c>
      <c r="F40" s="312">
        <f ca="1">INDIRECT("'数据-取费表'!I"&amp;$G$1)</f>
        <v>0.04</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43.81</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43639</v>
      </c>
      <c r="D43" s="337" t="s">
        <v>777</v>
      </c>
      <c r="E43" s="338" t="s">
        <v>778</v>
      </c>
      <c r="F43" s="339">
        <f ca="1">INDIRECT("'数据-取费表'!k"&amp;$G$1)</f>
        <v>164.94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-728.33960000000002</v>
      </c>
      <c r="D45" s="3432" t="s">
        <v>3353</v>
      </c>
      <c r="E45" s="1400"/>
      <c r="F45" s="1400"/>
      <c r="O45" s="1403" t="s">
        <v>808</v>
      </c>
      <c r="P45" s="1461"/>
      <c r="Q45" s="1461"/>
      <c r="R45" s="1461"/>
    </row>
    <row r="46" spans="1:18" s="1384" customFormat="1" ht="13.8" thickBot="1">
      <c r="A46" s="1404" t="s">
        <v>809</v>
      </c>
      <c r="C46" s="1405">
        <f ca="1">ROUND(C45,0)</f>
        <v>-728</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住宅</v>
      </c>
      <c r="O47" s="1418" t="s">
        <v>403</v>
      </c>
      <c r="P47" s="1419" t="s">
        <v>817</v>
      </c>
      <c r="Q47" s="1420">
        <f ca="1">C40+J29</f>
        <v>7197826</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43.81</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1413818</v>
      </c>
      <c r="R49" s="1420" t="s">
        <v>818</v>
      </c>
    </row>
    <row r="50" spans="1:18" s="1384" customFormat="1" ht="13.8" thickBot="1">
      <c r="A50" s="976"/>
      <c r="B50" s="979"/>
      <c r="C50" s="980"/>
      <c r="D50" s="953"/>
      <c r="E50" s="1056" t="s">
        <v>697</v>
      </c>
      <c r="F50" s="1057">
        <f ca="1">F7</f>
        <v>164.94</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43.81</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43.81</v>
      </c>
      <c r="K53" s="3670" t="s">
        <v>837</v>
      </c>
      <c r="L53" s="3671"/>
      <c r="O53" s="1418" t="s">
        <v>409</v>
      </c>
      <c r="P53" s="1419" t="s">
        <v>838</v>
      </c>
      <c r="Q53" s="1420">
        <f ca="1">Q47+Q48</f>
        <v>7197826</v>
      </c>
      <c r="R53" s="1420" t="s">
        <v>410</v>
      </c>
    </row>
    <row r="54" spans="1:18" s="1384" customFormat="1" ht="13.8"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1343127</v>
      </c>
      <c r="D56" s="1447"/>
      <c r="E56" s="1448"/>
      <c r="F56" s="1440"/>
      <c r="I56" s="1449" t="s">
        <v>842</v>
      </c>
      <c r="J56" s="1450"/>
      <c r="K56" s="1421" t="s">
        <v>843</v>
      </c>
      <c r="L56" s="1424">
        <f ca="1">IF(L48&lt;J51,"——",L48-J51)</f>
        <v>43.81</v>
      </c>
      <c r="O56" s="1418" t="s">
        <v>403</v>
      </c>
      <c r="P56" s="1419" t="s">
        <v>817</v>
      </c>
      <c r="Q56" s="1420">
        <f ca="1">C40+J29</f>
        <v>7197826</v>
      </c>
      <c r="R56" s="1420" t="s">
        <v>818</v>
      </c>
    </row>
    <row r="57" spans="1:18" s="1384" customFormat="1" ht="24.6" thickBot="1">
      <c r="A57" s="1451"/>
      <c r="B57" s="950" t="s">
        <v>767</v>
      </c>
      <c r="C57" s="238">
        <f ca="1">C29</f>
        <v>1413818</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6" thickBot="1">
      <c r="A58" s="315" t="s">
        <v>393</v>
      </c>
      <c r="B58" s="958" t="s">
        <v>714</v>
      </c>
      <c r="C58" s="316">
        <f ca="1">ROUND(C59+C64+C65+C66,0)</f>
        <v>4171</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7197826</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2828</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1343</v>
      </c>
      <c r="D65" s="964" t="s">
        <v>743</v>
      </c>
      <c r="E65" s="950" t="s">
        <v>744</v>
      </c>
      <c r="F65" s="330">
        <f t="shared" ca="1" si="0"/>
        <v>1E-3</v>
      </c>
      <c r="I65" s="1462" t="s">
        <v>867</v>
      </c>
      <c r="J65" s="1463">
        <v>40</v>
      </c>
      <c r="K65" s="1463">
        <v>30</v>
      </c>
      <c r="L65" s="1463">
        <v>50</v>
      </c>
      <c r="M65" s="1465">
        <v>0.02</v>
      </c>
      <c r="O65" s="1418" t="s">
        <v>403</v>
      </c>
      <c r="P65" s="1419" t="s">
        <v>868</v>
      </c>
      <c r="Q65" s="1420">
        <f ca="1">C40+J29</f>
        <v>7197826</v>
      </c>
      <c r="R65" s="1420" t="s">
        <v>818</v>
      </c>
    </row>
    <row r="66" spans="1:18" s="1384" customFormat="1" ht="16.2"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-4171</v>
      </c>
      <c r="D67" s="963" t="s">
        <v>753</v>
      </c>
      <c r="E67" s="968"/>
      <c r="F67" s="969"/>
      <c r="O67" s="1428" t="s">
        <v>405</v>
      </c>
      <c r="P67" s="1419" t="s">
        <v>850</v>
      </c>
      <c r="Q67" s="1466">
        <f ca="1">L51</f>
        <v>0</v>
      </c>
      <c r="R67" s="1420" t="s">
        <v>870</v>
      </c>
    </row>
    <row r="68" spans="1:18" s="1384" customFormat="1" ht="16.2" thickBot="1">
      <c r="A68" s="947" t="s">
        <v>395</v>
      </c>
      <c r="B68" s="948" t="s">
        <v>774</v>
      </c>
      <c r="C68" s="301">
        <f ca="1">ROUND(C67*(1-((1+F70)/(1+F68))^F69)/(F68-F70),0)</f>
        <v>-85570</v>
      </c>
      <c r="D68" s="965" t="s">
        <v>758</v>
      </c>
      <c r="E68" s="950" t="s">
        <v>759</v>
      </c>
      <c r="F68" s="312">
        <f ca="1">F40</f>
        <v>0.04</v>
      </c>
      <c r="O68" s="1428" t="s">
        <v>406</v>
      </c>
      <c r="P68" s="1467" t="s">
        <v>871</v>
      </c>
      <c r="Q68" s="1420">
        <f ca="1">ROUND(Q69-Q70*Q71,0)</f>
        <v>208566</v>
      </c>
      <c r="R68" s="1420" t="s">
        <v>414</v>
      </c>
    </row>
    <row r="69" spans="1:18" s="1384" customFormat="1" ht="13.8" thickBot="1">
      <c r="A69" s="951"/>
      <c r="B69" s="952"/>
      <c r="C69" s="306"/>
      <c r="D69" s="970" t="s">
        <v>762</v>
      </c>
      <c r="E69" s="950" t="s">
        <v>763</v>
      </c>
      <c r="F69" s="333">
        <f ca="1">F41</f>
        <v>43.81</v>
      </c>
      <c r="O69" s="1428" t="s">
        <v>411</v>
      </c>
      <c r="P69" s="1467" t="s">
        <v>872</v>
      </c>
      <c r="Q69" s="1420">
        <f ca="1">C39</f>
        <v>208566</v>
      </c>
      <c r="R69" s="1420" t="s">
        <v>818</v>
      </c>
    </row>
    <row r="70" spans="1:18" s="1384" customFormat="1" ht="13.8" thickBot="1">
      <c r="A70" s="954"/>
      <c r="B70" s="955"/>
      <c r="C70" s="310"/>
      <c r="D70" s="966"/>
      <c r="E70" s="950" t="s">
        <v>766</v>
      </c>
      <c r="F70" s="1054"/>
      <c r="O70" s="1428" t="s">
        <v>412</v>
      </c>
      <c r="P70" s="1467" t="s">
        <v>873</v>
      </c>
      <c r="Q70" s="1420">
        <f ca="1">C13</f>
        <v>1343127</v>
      </c>
      <c r="R70" s="1420" t="s">
        <v>818</v>
      </c>
    </row>
    <row r="71" spans="1:18" s="1384" customFormat="1" ht="13.8" thickBot="1">
      <c r="A71" s="971" t="s">
        <v>396</v>
      </c>
      <c r="B71" s="972" t="s">
        <v>776</v>
      </c>
      <c r="C71" s="336">
        <f ca="1">ROUND(C68/F71,0)</f>
        <v>-519</v>
      </c>
      <c r="D71" s="973" t="s">
        <v>777</v>
      </c>
      <c r="E71" s="974" t="s">
        <v>778</v>
      </c>
      <c r="F71" s="339">
        <f ca="1">F43</f>
        <v>164.94</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f ca="1">Q65+Q66</f>
        <v>7197826</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0.81299999999999994</v>
      </c>
    </row>
    <row r="83" spans="2:3">
      <c r="B83" s="273" t="s">
        <v>803</v>
      </c>
      <c r="C83" s="274">
        <f ca="1">ROUND(C13/C40,3)</f>
        <v>0.187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2" t="s">
        <v>3359</v>
      </c>
      <c r="E2" s="3443"/>
      <c r="F2" s="2846"/>
      <c r="G2" s="2847"/>
      <c r="H2" s="2848"/>
      <c r="I2" s="2849"/>
      <c r="J2" s="3681" t="s">
        <v>2317</v>
      </c>
      <c r="K2" s="3682"/>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683" t="s">
        <v>2327</v>
      </c>
      <c r="K3" s="3684"/>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683" t="s">
        <v>2329</v>
      </c>
      <c r="K4" s="3684"/>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689" t="s">
        <v>2333</v>
      </c>
      <c r="B6" s="3690"/>
      <c r="C6" s="3691"/>
      <c r="D6" s="2870"/>
      <c r="E6" s="2871"/>
      <c r="F6" s="2872"/>
      <c r="G6" s="2873"/>
      <c r="H6" s="2848"/>
      <c r="I6" s="2849"/>
      <c r="J6" s="3675">
        <v>1</v>
      </c>
      <c r="K6" s="3676"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675"/>
      <c r="K7" s="3677"/>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692" t="s">
        <v>2347</v>
      </c>
      <c r="C8" s="3693"/>
      <c r="D8" s="2889" t="s">
        <v>2348</v>
      </c>
      <c r="E8" s="2890" t="s">
        <v>2349</v>
      </c>
      <c r="F8" s="2891" t="s">
        <v>2350</v>
      </c>
      <c r="G8" s="2892"/>
      <c r="H8" s="2848"/>
      <c r="I8" s="2849"/>
      <c r="J8" s="3675"/>
      <c r="K8" s="3677"/>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692" t="s">
        <v>2353</v>
      </c>
      <c r="C9" s="3693"/>
      <c r="D9" s="2889">
        <f>ROUND(D6*E9,0)</f>
        <v>0</v>
      </c>
      <c r="E9" s="2893"/>
      <c r="F9" s="2894" t="s">
        <v>2354</v>
      </c>
      <c r="G9" s="2873"/>
      <c r="H9" s="2848"/>
      <c r="I9" s="2849"/>
      <c r="J9" s="3675"/>
      <c r="K9" s="3677"/>
      <c r="L9" s="2883" t="s">
        <v>2355</v>
      </c>
      <c r="M9" s="2884"/>
      <c r="N9" s="2860"/>
      <c r="O9" s="2885"/>
      <c r="P9" s="2885"/>
      <c r="Q9" s="2886">
        <v>365</v>
      </c>
      <c r="R9" s="2887">
        <f t="shared" si="0"/>
        <v>0</v>
      </c>
      <c r="S9" s="2841"/>
      <c r="T9" s="2841"/>
      <c r="U9" s="2841"/>
      <c r="V9" s="2849"/>
    </row>
    <row r="10" spans="1:22" s="2853" customFormat="1" ht="13.2" customHeight="1">
      <c r="A10" s="2888">
        <v>2</v>
      </c>
      <c r="B10" s="3692" t="s">
        <v>2356</v>
      </c>
      <c r="C10" s="3693"/>
      <c r="D10" s="2889">
        <f>ROUND(D6*E10,0)</f>
        <v>0</v>
      </c>
      <c r="E10" s="2893"/>
      <c r="F10" s="2894" t="s">
        <v>2357</v>
      </c>
      <c r="G10" s="2873"/>
      <c r="H10" s="2848"/>
      <c r="I10" s="2849"/>
      <c r="J10" s="3675"/>
      <c r="K10" s="3677"/>
      <c r="L10" s="2883" t="s">
        <v>2358</v>
      </c>
      <c r="M10" s="2884"/>
      <c r="N10" s="2860"/>
      <c r="O10" s="2885"/>
      <c r="P10" s="2885"/>
      <c r="Q10" s="2886">
        <v>365</v>
      </c>
      <c r="R10" s="2887">
        <f t="shared" si="0"/>
        <v>0</v>
      </c>
      <c r="S10" s="2841"/>
      <c r="T10" s="2841"/>
      <c r="U10" s="2841"/>
      <c r="V10" s="2849"/>
    </row>
    <row r="11" spans="1:22" s="2853" customFormat="1" ht="13.2" customHeight="1">
      <c r="A11" s="2888">
        <v>3</v>
      </c>
      <c r="B11" s="3692" t="s">
        <v>2359</v>
      </c>
      <c r="C11" s="3693"/>
      <c r="D11" s="2889">
        <f>D12+D14+D15+D16</f>
        <v>0</v>
      </c>
      <c r="E11" s="2895" t="e">
        <f>D11/D6</f>
        <v>#DIV/0!</v>
      </c>
      <c r="F11" s="2891"/>
      <c r="G11" s="2892"/>
      <c r="H11" s="2848"/>
      <c r="I11" s="2849"/>
      <c r="J11" s="3675"/>
      <c r="K11" s="3677"/>
      <c r="L11" s="2883" t="s">
        <v>2360</v>
      </c>
      <c r="M11" s="2884"/>
      <c r="N11" s="2860"/>
      <c r="O11" s="2885"/>
      <c r="P11" s="2885"/>
      <c r="Q11" s="2886">
        <v>365</v>
      </c>
      <c r="R11" s="2887">
        <f t="shared" si="0"/>
        <v>0</v>
      </c>
      <c r="S11" s="2841"/>
      <c r="T11" s="2841"/>
      <c r="U11" s="2841"/>
      <c r="V11" s="2849"/>
    </row>
    <row r="12" spans="1:22" s="2853" customFormat="1" ht="13.2" customHeight="1">
      <c r="A12" s="2896" t="s">
        <v>2361</v>
      </c>
      <c r="B12" s="3685" t="s">
        <v>2362</v>
      </c>
      <c r="C12" s="3686"/>
      <c r="D12" s="2897">
        <f>ROUND(D13*1.2%*(1-30%),0)</f>
        <v>0</v>
      </c>
      <c r="E12" s="2898">
        <v>1.2E-2</v>
      </c>
      <c r="F12" s="2891" t="s">
        <v>2363</v>
      </c>
      <c r="G12" s="2892"/>
      <c r="H12" s="2848"/>
      <c r="I12" s="2849"/>
      <c r="J12" s="3675"/>
      <c r="K12" s="3677"/>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675"/>
      <c r="K13" s="3677"/>
      <c r="L13" s="2883" t="s">
        <v>2366</v>
      </c>
      <c r="M13" s="2884"/>
      <c r="N13" s="2860"/>
      <c r="O13" s="2885"/>
      <c r="P13" s="2885"/>
      <c r="Q13" s="2886">
        <v>365</v>
      </c>
      <c r="R13" s="2887">
        <f t="shared" si="0"/>
        <v>0</v>
      </c>
      <c r="S13" s="2841"/>
      <c r="T13" s="2841"/>
      <c r="U13" s="2841"/>
      <c r="V13" s="2849"/>
    </row>
    <row r="14" spans="1:22" s="2853" customFormat="1" ht="13.2" customHeight="1">
      <c r="A14" s="2896" t="s">
        <v>2367</v>
      </c>
      <c r="B14" s="3685" t="s">
        <v>2368</v>
      </c>
      <c r="C14" s="3686"/>
      <c r="D14" s="2897">
        <f>ROUND(E14*B5/10000,0)</f>
        <v>0</v>
      </c>
      <c r="E14" s="2886"/>
      <c r="F14" s="2891" t="s">
        <v>2369</v>
      </c>
      <c r="G14" s="2892"/>
      <c r="H14" s="2848"/>
      <c r="I14" s="2849"/>
      <c r="J14" s="3675"/>
      <c r="K14" s="3678"/>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685" t="s">
        <v>2372</v>
      </c>
      <c r="C15" s="3686"/>
      <c r="D15" s="2897">
        <f>ROUND(D6*E15,0)</f>
        <v>0</v>
      </c>
      <c r="E15" s="2898">
        <v>5.5E-2</v>
      </c>
      <c r="F15" s="2891" t="s">
        <v>2373</v>
      </c>
      <c r="G15" s="2873"/>
      <c r="H15" s="2848"/>
      <c r="I15" s="2849"/>
      <c r="J15" s="3675">
        <v>2</v>
      </c>
      <c r="K15" s="3676"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685" t="s">
        <v>2381</v>
      </c>
      <c r="C16" s="3686"/>
      <c r="D16" s="2908">
        <f>D6*E16</f>
        <v>0</v>
      </c>
      <c r="E16" s="2909"/>
      <c r="F16" s="2894" t="s">
        <v>2382</v>
      </c>
      <c r="G16" s="2873"/>
      <c r="H16" s="2848"/>
      <c r="I16" s="2849"/>
      <c r="J16" s="3675"/>
      <c r="K16" s="3677"/>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687" t="s">
        <v>2384</v>
      </c>
      <c r="C17" s="3688"/>
      <c r="D17" s="2911">
        <f>ROUND(D6*E17,0)</f>
        <v>0</v>
      </c>
      <c r="E17" s="2912"/>
      <c r="F17" s="2913" t="s">
        <v>2385</v>
      </c>
      <c r="G17" s="2873"/>
      <c r="H17" s="2848"/>
      <c r="I17" s="2849"/>
      <c r="J17" s="3675"/>
      <c r="K17" s="3677"/>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675"/>
      <c r="K18" s="3677"/>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675"/>
      <c r="K19" s="3678"/>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75">
        <v>3</v>
      </c>
      <c r="K20" s="3676"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675"/>
      <c r="K21" s="3677"/>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675"/>
      <c r="K22" s="3677"/>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675"/>
      <c r="K23" s="3677"/>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675"/>
      <c r="K24" s="3678"/>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679">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680"/>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81" t="s">
        <v>2317</v>
      </c>
      <c r="K32" s="3682"/>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683" t="s">
        <v>2327</v>
      </c>
      <c r="K33" s="3684"/>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683" t="s">
        <v>2329</v>
      </c>
      <c r="K34" s="3684"/>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675">
        <v>1</v>
      </c>
      <c r="K36" s="3676"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675"/>
      <c r="K37" s="3677"/>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75"/>
      <c r="K38" s="3677"/>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675"/>
      <c r="K39" s="3677"/>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675"/>
      <c r="K40" s="3678"/>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679">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680"/>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719.7826</v>
      </c>
      <c r="C2" s="1872" t="s">
        <v>1651</v>
      </c>
      <c r="D2" s="1873" t="s">
        <v>1652</v>
      </c>
      <c r="E2" s="2607">
        <f>SUM(E6:E13)</f>
        <v>164.94</v>
      </c>
      <c r="F2" s="2707"/>
      <c r="G2" s="1489"/>
      <c r="H2" s="1489"/>
      <c r="I2" s="1489"/>
      <c r="J2" s="1489"/>
      <c r="K2" s="1489"/>
      <c r="L2" s="1489"/>
      <c r="M2" s="1489"/>
      <c r="N2" s="1489"/>
      <c r="O2" s="1489"/>
      <c r="P2" s="1489"/>
      <c r="Q2" s="1489"/>
      <c r="R2" s="1489"/>
      <c r="S2" s="1489"/>
    </row>
    <row r="3" spans="1:22" ht="15.6">
      <c r="A3" s="1870" t="s">
        <v>686</v>
      </c>
      <c r="B3" s="2601">
        <f ca="1">ROUND(B2*10000/E2,0)</f>
        <v>43639</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94" t="s">
        <v>1654</v>
      </c>
      <c r="C5" s="3695"/>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收益法 (元)</v>
      </c>
      <c r="B6" s="2602">
        <f ca="1">IF(F6="是",'数据-取费表'!AO6,0)</f>
        <v>719.7826</v>
      </c>
      <c r="C6" s="1872" t="s">
        <v>1651</v>
      </c>
      <c r="D6" s="2709"/>
      <c r="E6" s="2606">
        <f>IF(OR(A6=0,F6="否"),0,'数据-取费表'!K6+'数据-取费表'!S6)</f>
        <v>164.94</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9" zoomScale="70" zoomScaleNormal="60" zoomScaleSheetLayoutView="70" workbookViewId="0">
      <selection activeCell="M17" sqref="M17"/>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3406</v>
      </c>
      <c r="E1" s="3426" t="s">
        <v>3477</v>
      </c>
      <c r="F1" s="1879" t="s">
        <v>3478</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1332.1709000000001</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80767</v>
      </c>
      <c r="C3" s="354" t="s">
        <v>1665</v>
      </c>
      <c r="D3" s="353">
        <f>IF(D1="",'数据-汇总表'!E3,SUMIF('数据-汇总表'!$C19:$C33,D1,'数据-汇总表'!$E19:$E33))</f>
        <v>164.94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14" t="s">
        <v>1667</v>
      </c>
      <c r="D4" s="3715"/>
      <c r="E4" s="3716" t="s">
        <v>1668</v>
      </c>
      <c r="F4" s="3717"/>
      <c r="G4" s="3714" t="s">
        <v>1669</v>
      </c>
      <c r="H4" s="3715"/>
      <c r="I4" s="3714" t="s">
        <v>1670</v>
      </c>
      <c r="J4" s="3715"/>
      <c r="K4" s="1889" t="s">
        <v>1671</v>
      </c>
      <c r="L4" s="2715"/>
      <c r="M4" s="2716"/>
      <c r="N4" s="2716"/>
      <c r="O4" s="2716"/>
      <c r="P4" s="3718" t="s">
        <v>1672</v>
      </c>
      <c r="Q4" s="3719"/>
      <c r="R4" s="3724" t="s">
        <v>1668</v>
      </c>
      <c r="S4" s="3725"/>
      <c r="T4" s="3724" t="s">
        <v>1669</v>
      </c>
      <c r="U4" s="3725"/>
      <c r="V4" s="3730" t="s">
        <v>1670</v>
      </c>
      <c r="W4" s="3730"/>
      <c r="X4" s="1355"/>
      <c r="Y4" s="3724" t="s">
        <v>1672</v>
      </c>
      <c r="Z4" s="3725"/>
      <c r="AA4" s="3711" t="s">
        <v>1668</v>
      </c>
      <c r="AB4" s="3711" t="s">
        <v>1669</v>
      </c>
      <c r="AC4" s="3711" t="s">
        <v>1670</v>
      </c>
    </row>
    <row r="5" spans="1:29">
      <c r="A5" s="358"/>
      <c r="B5" s="359"/>
      <c r="C5" s="3733" t="s">
        <v>1673</v>
      </c>
      <c r="D5" s="3734"/>
      <c r="E5" s="3740" t="s">
        <v>3483</v>
      </c>
      <c r="F5" s="3741"/>
      <c r="G5" s="3733" t="s">
        <v>1675</v>
      </c>
      <c r="H5" s="3734"/>
      <c r="I5" s="3733" t="s">
        <v>1676</v>
      </c>
      <c r="J5" s="3734"/>
      <c r="K5" s="1890"/>
      <c r="L5" s="2715"/>
      <c r="M5" s="2716"/>
      <c r="N5" s="2716"/>
      <c r="O5" s="2716"/>
      <c r="P5" s="3720"/>
      <c r="Q5" s="3721"/>
      <c r="R5" s="3726"/>
      <c r="S5" s="3727"/>
      <c r="T5" s="3726"/>
      <c r="U5" s="3727"/>
      <c r="V5" s="3730"/>
      <c r="W5" s="3730"/>
      <c r="X5" s="1355"/>
      <c r="Y5" s="3726"/>
      <c r="Z5" s="3727"/>
      <c r="AA5" s="3712"/>
      <c r="AB5" s="3712"/>
      <c r="AC5" s="3712"/>
    </row>
    <row r="6" spans="1:29" ht="15" thickBot="1">
      <c r="A6" s="360"/>
      <c r="B6" s="361"/>
      <c r="C6" s="3731" t="s">
        <v>1677</v>
      </c>
      <c r="D6" s="3732"/>
      <c r="E6" s="3738" t="s">
        <v>3482</v>
      </c>
      <c r="F6" s="3739"/>
      <c r="G6" s="3731" t="s">
        <v>1677</v>
      </c>
      <c r="H6" s="3732"/>
      <c r="I6" s="3731" t="s">
        <v>1677</v>
      </c>
      <c r="J6" s="3732"/>
      <c r="K6" s="1890" t="s">
        <v>1678</v>
      </c>
      <c r="L6" s="2715"/>
      <c r="M6" s="2716"/>
      <c r="N6" s="2716"/>
      <c r="O6" s="2716"/>
      <c r="P6" s="3722"/>
      <c r="Q6" s="3723"/>
      <c r="R6" s="3726"/>
      <c r="S6" s="3727"/>
      <c r="T6" s="3728"/>
      <c r="U6" s="3729"/>
      <c r="V6" s="3730"/>
      <c r="W6" s="3730"/>
      <c r="X6" s="1355"/>
      <c r="Y6" s="3728"/>
      <c r="Z6" s="3729"/>
      <c r="AA6" s="3713"/>
      <c r="AB6" s="3713"/>
      <c r="AC6" s="3713"/>
    </row>
    <row r="7" spans="1:29" s="108" customFormat="1" ht="15" thickBot="1">
      <c r="A7" s="362" t="s">
        <v>1679</v>
      </c>
      <c r="B7" s="363"/>
      <c r="C7" s="364">
        <f>'数据-取费表'!B2</f>
        <v>45828</v>
      </c>
      <c r="D7" s="365">
        <v>100</v>
      </c>
      <c r="E7" s="366">
        <v>45730</v>
      </c>
      <c r="F7" s="367">
        <f>SUMIF(58:58,YEAR(E7)&amp;"-"&amp;MONTH(E7),59:59)</f>
        <v>100.2</v>
      </c>
      <c r="G7" s="366">
        <v>45730</v>
      </c>
      <c r="H7" s="365">
        <f>SUMIF(58:58,YEAR(G7)&amp;"-"&amp;MONTH(G7),59:59)</f>
        <v>100.2</v>
      </c>
      <c r="I7" s="366">
        <v>45812</v>
      </c>
      <c r="J7" s="365">
        <f>SUMIF(58:58,YEAR(I7)&amp;"-"&amp;MONTH(I7),59:59)</f>
        <v>100</v>
      </c>
      <c r="K7" s="1891"/>
      <c r="L7" s="2717"/>
      <c r="M7" s="2718"/>
      <c r="N7" s="2718"/>
      <c r="O7" s="2718"/>
      <c r="P7" s="3735" t="s">
        <v>1680</v>
      </c>
      <c r="Q7" s="3737"/>
      <c r="R7" s="701" t="s">
        <v>20</v>
      </c>
      <c r="S7" s="702">
        <f t="shared" ref="S7:S15" si="0">F7</f>
        <v>100.2</v>
      </c>
      <c r="T7" s="701" t="s">
        <v>20</v>
      </c>
      <c r="U7" s="702">
        <f t="shared" ref="U7:U15" si="1">H7</f>
        <v>100.2</v>
      </c>
      <c r="V7" s="701" t="s">
        <v>20</v>
      </c>
      <c r="W7" s="702">
        <f t="shared" ref="W7:W15" si="2">J7</f>
        <v>100</v>
      </c>
      <c r="X7" s="703"/>
      <c r="Y7" s="3735" t="s">
        <v>1680</v>
      </c>
      <c r="Z7" s="3736"/>
      <c r="AA7" s="704">
        <f>D7/F7</f>
        <v>0.99800399201596801</v>
      </c>
      <c r="AB7" s="704">
        <f>D7/H7</f>
        <v>0.99800399201596801</v>
      </c>
      <c r="AC7" s="704">
        <f>D7/J7</f>
        <v>1</v>
      </c>
    </row>
    <row r="8" spans="1:29" s="108" customFormat="1" ht="15" thickBot="1">
      <c r="A8" s="362" t="s">
        <v>1681</v>
      </c>
      <c r="B8" s="363"/>
      <c r="C8" s="368" t="s">
        <v>3517</v>
      </c>
      <c r="D8" s="365">
        <v>100</v>
      </c>
      <c r="E8" s="1892" t="s">
        <v>3517</v>
      </c>
      <c r="F8" s="367">
        <f>SUMIF(61:61,E8,62:62)-SUMIF(61:61,C8,62:62)+100</f>
        <v>100</v>
      </c>
      <c r="G8" s="368" t="s">
        <v>3517</v>
      </c>
      <c r="H8" s="365">
        <f>SUMIF(61:61,G8,62:62)-SUMIF(61:61,C8,62:62)+100</f>
        <v>100</v>
      </c>
      <c r="I8" s="1892" t="s">
        <v>3517</v>
      </c>
      <c r="J8" s="365">
        <f>SUMIF(61:61,I8,62:62)-SUMIF(61:61,C8,62:62)+100</f>
        <v>100</v>
      </c>
      <c r="K8" s="1891"/>
      <c r="L8" s="2717"/>
      <c r="M8" s="2718"/>
      <c r="N8" s="2718"/>
      <c r="O8" s="2718"/>
      <c r="P8" s="3735" t="s">
        <v>1683</v>
      </c>
      <c r="Q8" s="3736"/>
      <c r="R8" s="701" t="s">
        <v>20</v>
      </c>
      <c r="S8" s="702">
        <f t="shared" si="0"/>
        <v>100</v>
      </c>
      <c r="T8" s="701" t="s">
        <v>20</v>
      </c>
      <c r="U8" s="702">
        <f t="shared" si="1"/>
        <v>100</v>
      </c>
      <c r="V8" s="701" t="s">
        <v>20</v>
      </c>
      <c r="W8" s="702">
        <f t="shared" si="2"/>
        <v>100</v>
      </c>
      <c r="X8" s="703"/>
      <c r="Y8" s="3735" t="s">
        <v>1683</v>
      </c>
      <c r="Z8" s="3736"/>
      <c r="AA8" s="704">
        <f t="shared" ref="AA8:AA19" si="3">D8/F8</f>
        <v>1</v>
      </c>
      <c r="AB8" s="704">
        <f t="shared" ref="AB8:AB19" si="4">D8/H8</f>
        <v>1</v>
      </c>
      <c r="AC8" s="704">
        <f t="shared" ref="AC8:AC19" si="5">D8/J8</f>
        <v>1</v>
      </c>
    </row>
    <row r="9" spans="1:29" s="108" customFormat="1" ht="14.4">
      <c r="A9" s="369" t="s">
        <v>1684</v>
      </c>
      <c r="B9" s="63" t="s">
        <v>1685</v>
      </c>
      <c r="C9" s="3480" t="s">
        <v>3514</v>
      </c>
      <c r="D9" s="126">
        <v>100</v>
      </c>
      <c r="E9" s="371" t="s">
        <v>3513</v>
      </c>
      <c r="F9" s="372">
        <f>SUMIF(63:63,E9,64:64)-SUMIF(63:63,C9,64:64)+100</f>
        <v>100</v>
      </c>
      <c r="G9" s="373" t="s">
        <v>3406</v>
      </c>
      <c r="H9" s="126">
        <f>SUMIF(63:63,G9,64:64)-SUMIF(63:63,C9,64:64)+100</f>
        <v>98</v>
      </c>
      <c r="I9" s="373" t="s">
        <v>3406</v>
      </c>
      <c r="J9" s="126">
        <f>SUMIF(63:63,I9,64:64)-SUMIF(63:63,C9,64:64)+100</f>
        <v>98</v>
      </c>
      <c r="K9" s="1891"/>
      <c r="L9" s="2717"/>
      <c r="M9" s="2718"/>
      <c r="N9" s="2718"/>
      <c r="O9" s="2718"/>
      <c r="P9" s="3710" t="s">
        <v>1686</v>
      </c>
      <c r="Q9" s="1343" t="str">
        <f t="shared" ref="Q9:Q15" si="6">B9</f>
        <v>用途</v>
      </c>
      <c r="R9" s="701" t="s">
        <v>14</v>
      </c>
      <c r="S9" s="702">
        <f t="shared" si="0"/>
        <v>100</v>
      </c>
      <c r="T9" s="701" t="s">
        <v>14</v>
      </c>
      <c r="U9" s="702">
        <f t="shared" si="1"/>
        <v>98</v>
      </c>
      <c r="V9" s="701" t="s">
        <v>14</v>
      </c>
      <c r="W9" s="702">
        <f t="shared" si="2"/>
        <v>98</v>
      </c>
      <c r="X9" s="703"/>
      <c r="Y9" s="3574" t="s">
        <v>1687</v>
      </c>
      <c r="Z9" s="52" t="str">
        <f t="shared" ref="Z9:Z15" si="7">Q9</f>
        <v>用途</v>
      </c>
      <c r="AA9" s="704">
        <f t="shared" si="3"/>
        <v>1</v>
      </c>
      <c r="AB9" s="704">
        <f t="shared" si="4"/>
        <v>1.0204081632653061</v>
      </c>
      <c r="AC9" s="704">
        <f t="shared" si="5"/>
        <v>1.0204081632653061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10"/>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10"/>
      <c r="Q11" s="1343" t="str">
        <f t="shared" si="6"/>
        <v>容积率</v>
      </c>
      <c r="R11" s="701" t="s">
        <v>18</v>
      </c>
      <c r="S11" s="702">
        <f t="shared" si="0"/>
        <v>100</v>
      </c>
      <c r="T11" s="701" t="s">
        <v>18</v>
      </c>
      <c r="U11" s="702">
        <f t="shared" si="1"/>
        <v>100</v>
      </c>
      <c r="V11" s="701" t="s">
        <v>18</v>
      </c>
      <c r="W11" s="702">
        <f t="shared" si="2"/>
        <v>100</v>
      </c>
      <c r="X11" s="703"/>
      <c r="Y11" s="3574"/>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10"/>
      <c r="Q12" s="1343">
        <f t="shared" si="6"/>
        <v>111</v>
      </c>
      <c r="R12" s="701" t="s">
        <v>18</v>
      </c>
      <c r="S12" s="702">
        <f t="shared" si="0"/>
        <v>100</v>
      </c>
      <c r="T12" s="701" t="s">
        <v>18</v>
      </c>
      <c r="U12" s="702">
        <f t="shared" si="1"/>
        <v>100</v>
      </c>
      <c r="V12" s="701" t="s">
        <v>18</v>
      </c>
      <c r="W12" s="702">
        <f t="shared" si="2"/>
        <v>100</v>
      </c>
      <c r="X12" s="703"/>
      <c r="Y12" s="357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0"/>
      <c r="Q13" s="1343">
        <f t="shared" si="6"/>
        <v>111</v>
      </c>
      <c r="R13" s="701" t="s">
        <v>18</v>
      </c>
      <c r="S13" s="702">
        <f t="shared" si="0"/>
        <v>100</v>
      </c>
      <c r="T13" s="701" t="s">
        <v>18</v>
      </c>
      <c r="U13" s="702">
        <f t="shared" si="1"/>
        <v>100</v>
      </c>
      <c r="V13" s="701" t="s">
        <v>18</v>
      </c>
      <c r="W13" s="702">
        <f t="shared" si="2"/>
        <v>100</v>
      </c>
      <c r="X13" s="703"/>
      <c r="Y13" s="3574"/>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0"/>
      <c r="Q14" s="1343">
        <f t="shared" si="6"/>
        <v>111</v>
      </c>
      <c r="R14" s="701" t="s">
        <v>18</v>
      </c>
      <c r="S14" s="702">
        <f t="shared" si="0"/>
        <v>100</v>
      </c>
      <c r="T14" s="701" t="s">
        <v>18</v>
      </c>
      <c r="U14" s="702">
        <f t="shared" si="1"/>
        <v>100</v>
      </c>
      <c r="V14" s="701" t="s">
        <v>18</v>
      </c>
      <c r="W14" s="702">
        <f t="shared" si="2"/>
        <v>100</v>
      </c>
      <c r="X14" s="703"/>
      <c r="Y14" s="3574"/>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8" t="s">
        <v>1691</v>
      </c>
      <c r="Q15" s="1352" t="str">
        <f t="shared" si="6"/>
        <v>居住社区成熟度</v>
      </c>
      <c r="R15" s="705" t="s">
        <v>18</v>
      </c>
      <c r="S15" s="706">
        <f t="shared" si="0"/>
        <v>100</v>
      </c>
      <c r="T15" s="705" t="s">
        <v>18</v>
      </c>
      <c r="U15" s="706">
        <f t="shared" si="1"/>
        <v>100</v>
      </c>
      <c r="V15" s="705" t="s">
        <v>18</v>
      </c>
      <c r="W15" s="706">
        <f t="shared" si="2"/>
        <v>100</v>
      </c>
      <c r="X15" s="1355"/>
      <c r="Y15" s="370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9"/>
      <c r="Q16" s="1352"/>
      <c r="R16" s="705"/>
      <c r="S16" s="706"/>
      <c r="T16" s="705"/>
      <c r="U16" s="706"/>
      <c r="V16" s="705"/>
      <c r="W16" s="706"/>
      <c r="X16" s="1355"/>
      <c r="Y16" s="3702"/>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95</v>
      </c>
      <c r="I17" s="403"/>
      <c r="J17" s="406">
        <f>SUMIF(78:78,I18,79:79)-SUMIF(78:78,C18,79:79)+100</f>
        <v>95</v>
      </c>
      <c r="K17" s="396">
        <v>5</v>
      </c>
      <c r="L17" s="2722"/>
      <c r="M17" s="2716"/>
      <c r="N17" s="2716"/>
      <c r="O17" s="2716"/>
      <c r="P17" s="3709"/>
      <c r="Q17" s="1352" t="str">
        <f>B17</f>
        <v>交通便捷度</v>
      </c>
      <c r="R17" s="705" t="s">
        <v>18</v>
      </c>
      <c r="S17" s="706">
        <f>F17</f>
        <v>100</v>
      </c>
      <c r="T17" s="705" t="s">
        <v>18</v>
      </c>
      <c r="U17" s="706">
        <f>H17</f>
        <v>95</v>
      </c>
      <c r="V17" s="705" t="s">
        <v>18</v>
      </c>
      <c r="W17" s="706">
        <f>J17</f>
        <v>95</v>
      </c>
      <c r="X17" s="1355"/>
      <c r="Y17" s="3702"/>
      <c r="Z17" s="1356" t="str">
        <f>Q17</f>
        <v>交通便捷度</v>
      </c>
      <c r="AA17" s="1353">
        <f t="shared" si="3"/>
        <v>1</v>
      </c>
      <c r="AB17" s="1353">
        <f t="shared" si="4"/>
        <v>1.0526315789473684</v>
      </c>
      <c r="AC17" s="1353">
        <f t="shared" si="5"/>
        <v>1.0526315789473684</v>
      </c>
    </row>
    <row r="18" spans="1:29" ht="15">
      <c r="A18" s="379"/>
      <c r="B18" s="407"/>
      <c r="C18" s="1901" t="s">
        <v>3484</v>
      </c>
      <c r="D18" s="401"/>
      <c r="E18" s="1902" t="s">
        <v>3484</v>
      </c>
      <c r="F18" s="401"/>
      <c r="G18" s="1903" t="s">
        <v>3512</v>
      </c>
      <c r="H18" s="399"/>
      <c r="I18" s="1903" t="s">
        <v>3512</v>
      </c>
      <c r="J18" s="399"/>
      <c r="K18" s="1899"/>
      <c r="L18" s="2722"/>
      <c r="M18" s="2716"/>
      <c r="N18" s="2716"/>
      <c r="O18" s="2716"/>
      <c r="P18" s="3709"/>
      <c r="Q18" s="1352"/>
      <c r="R18" s="705"/>
      <c r="S18" s="706"/>
      <c r="T18" s="705"/>
      <c r="U18" s="706"/>
      <c r="V18" s="705"/>
      <c r="W18" s="706"/>
      <c r="X18" s="1355"/>
      <c r="Y18" s="3702"/>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9"/>
      <c r="Q19" s="1352" t="str">
        <f>B19</f>
        <v>公共配套设施</v>
      </c>
      <c r="R19" s="705" t="s">
        <v>18</v>
      </c>
      <c r="S19" s="706">
        <f>F19</f>
        <v>100</v>
      </c>
      <c r="T19" s="705" t="s">
        <v>18</v>
      </c>
      <c r="U19" s="706">
        <f>H19</f>
        <v>100</v>
      </c>
      <c r="V19" s="705" t="s">
        <v>18</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9"/>
      <c r="Q20" s="1352"/>
      <c r="R20" s="705"/>
      <c r="S20" s="706"/>
      <c r="T20" s="705"/>
      <c r="U20" s="706"/>
      <c r="V20" s="705"/>
      <c r="W20" s="706"/>
      <c r="X20" s="1355"/>
      <c r="Y20" s="3702"/>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9"/>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9"/>
      <c r="Q22" s="1352"/>
      <c r="R22" s="705"/>
      <c r="S22" s="706"/>
      <c r="T22" s="705"/>
      <c r="U22" s="706"/>
      <c r="V22" s="705"/>
      <c r="W22" s="706"/>
      <c r="X22" s="1355"/>
      <c r="Y22" s="3702"/>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9"/>
      <c r="Q23" s="1352" t="str">
        <f>B23</f>
        <v>自然及人文环境</v>
      </c>
      <c r="R23" s="705" t="s">
        <v>18</v>
      </c>
      <c r="S23" s="706">
        <f>F23</f>
        <v>100</v>
      </c>
      <c r="T23" s="705" t="s">
        <v>18</v>
      </c>
      <c r="U23" s="706">
        <f>H23</f>
        <v>100</v>
      </c>
      <c r="V23" s="705" t="s">
        <v>18</v>
      </c>
      <c r="W23" s="706">
        <f>J23</f>
        <v>100</v>
      </c>
      <c r="X23" s="1355"/>
      <c r="Y23" s="370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9"/>
      <c r="Q24" s="1352"/>
      <c r="R24" s="705"/>
      <c r="S24" s="706"/>
      <c r="T24" s="705"/>
      <c r="U24" s="706"/>
      <c r="V24" s="705"/>
      <c r="W24" s="706"/>
      <c r="X24" s="1355"/>
      <c r="Y24" s="3702"/>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2"/>
      <c r="Z25" s="1356" t="str">
        <f>Q25</f>
        <v>楼层-1</v>
      </c>
      <c r="AA25" s="1353">
        <f t="shared" ref="AA25:AA46" si="15">D25/F25</f>
        <v>1</v>
      </c>
      <c r="AB25" s="1353">
        <f t="shared" ref="AB25:AB46" si="16">D25/H25</f>
        <v>1</v>
      </c>
      <c r="AC25" s="1353">
        <f t="shared" ref="AC25:AC46" si="17">D25/J25</f>
        <v>1</v>
      </c>
    </row>
    <row r="26" spans="1:29" ht="15">
      <c r="A26" s="379"/>
      <c r="B26" s="375" t="s">
        <v>1693</v>
      </c>
      <c r="C26" s="411" t="s">
        <v>3488</v>
      </c>
      <c r="D26" s="386">
        <v>100</v>
      </c>
      <c r="E26" s="1906" t="s">
        <v>3488</v>
      </c>
      <c r="F26" s="386">
        <f>SUMIF(88:88,E26,89:89)-SUMIF(88:88,C26,89:89)+100</f>
        <v>100</v>
      </c>
      <c r="G26" s="1907" t="s">
        <v>3485</v>
      </c>
      <c r="H26" s="386">
        <f>SUMIF(88:88,G26,89:89)-SUMIF(88:88,C26,89:89)+100</f>
        <v>104</v>
      </c>
      <c r="I26" s="1907" t="s">
        <v>3491</v>
      </c>
      <c r="J26" s="386">
        <f>SUMIF(88:88,I26,89:89)-SUMIF(88:88,C26,89:89)+100</f>
        <v>98</v>
      </c>
      <c r="K26" s="377">
        <v>2</v>
      </c>
      <c r="L26" s="2722"/>
      <c r="M26" s="2716"/>
      <c r="N26" s="2716"/>
      <c r="O26" s="2716"/>
      <c r="P26" s="3709"/>
      <c r="Q26" s="1352" t="str">
        <f t="shared" si="11"/>
        <v>朝向</v>
      </c>
      <c r="R26" s="705" t="s">
        <v>18</v>
      </c>
      <c r="S26" s="706">
        <f t="shared" si="12"/>
        <v>100</v>
      </c>
      <c r="T26" s="705" t="s">
        <v>18</v>
      </c>
      <c r="U26" s="706">
        <f t="shared" si="13"/>
        <v>104</v>
      </c>
      <c r="V26" s="705" t="s">
        <v>18</v>
      </c>
      <c r="W26" s="706">
        <f t="shared" si="14"/>
        <v>98</v>
      </c>
      <c r="X26" s="1355"/>
      <c r="Y26" s="3702"/>
      <c r="Z26" s="1356" t="str">
        <f>Q26</f>
        <v>朝向</v>
      </c>
      <c r="AA26" s="1353">
        <f t="shared" si="15"/>
        <v>1</v>
      </c>
      <c r="AB26" s="1353">
        <f t="shared" si="16"/>
        <v>0.96153846153846156</v>
      </c>
      <c r="AC26" s="1353">
        <f t="shared" si="17"/>
        <v>1.0204081632653061</v>
      </c>
    </row>
    <row r="27" spans="1:29" s="108" customFormat="1" ht="15.6" thickBot="1">
      <c r="A27" s="382"/>
      <c r="B27" s="3478" t="s">
        <v>3494</v>
      </c>
      <c r="C27" s="416" t="s">
        <v>3511</v>
      </c>
      <c r="D27" s="413">
        <v>100</v>
      </c>
      <c r="E27" s="416" t="s">
        <v>3519</v>
      </c>
      <c r="F27" s="413">
        <f>SUMIF(90:90,E27,91:91)-SUMIF(90:90,C27,91:91)+100</f>
        <v>101.5</v>
      </c>
      <c r="G27" s="414" t="s">
        <v>3518</v>
      </c>
      <c r="H27" s="413">
        <f>SUMIF(90:90,G27,91:91)-SUMIF(90:90,C27,91:91)+100</f>
        <v>100</v>
      </c>
      <c r="I27" s="414" t="s">
        <v>3520</v>
      </c>
      <c r="J27" s="413">
        <f>SUMIF(90:90,I27,91:91)-SUMIF(90:90,C27,91:91)+100</f>
        <v>103</v>
      </c>
      <c r="K27" s="1894"/>
      <c r="L27" s="2717"/>
      <c r="M27" s="2718"/>
      <c r="N27" s="2718"/>
      <c r="O27" s="2718"/>
      <c r="P27" s="3709"/>
      <c r="Q27" s="1343" t="str">
        <f t="shared" si="11"/>
        <v>楼层</v>
      </c>
      <c r="R27" s="701" t="s">
        <v>18</v>
      </c>
      <c r="S27" s="702">
        <f t="shared" si="12"/>
        <v>101.5</v>
      </c>
      <c r="T27" s="701" t="s">
        <v>18</v>
      </c>
      <c r="U27" s="702">
        <f t="shared" si="13"/>
        <v>100</v>
      </c>
      <c r="V27" s="701" t="s">
        <v>18</v>
      </c>
      <c r="W27" s="702">
        <f t="shared" si="14"/>
        <v>103</v>
      </c>
      <c r="X27" s="703"/>
      <c r="Y27" s="3702"/>
      <c r="Z27" s="52" t="str">
        <f>Q27</f>
        <v>楼层</v>
      </c>
      <c r="AA27" s="1353">
        <f t="shared" si="15"/>
        <v>0.98522167487684731</v>
      </c>
      <c r="AB27" s="1353">
        <f t="shared" si="16"/>
        <v>1</v>
      </c>
      <c r="AC27" s="1353">
        <f t="shared" si="17"/>
        <v>0.970873786407767</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9"/>
      <c r="Q28" s="1352">
        <f t="shared" si="11"/>
        <v>111</v>
      </c>
      <c r="R28" s="705" t="s">
        <v>18</v>
      </c>
      <c r="S28" s="706">
        <f t="shared" si="12"/>
        <v>100</v>
      </c>
      <c r="T28" s="705" t="s">
        <v>18</v>
      </c>
      <c r="U28" s="706">
        <f t="shared" si="13"/>
        <v>100</v>
      </c>
      <c r="V28" s="705" t="s">
        <v>18</v>
      </c>
      <c r="W28" s="706">
        <f t="shared" si="14"/>
        <v>100</v>
      </c>
      <c r="X28" s="1355"/>
      <c r="Y28" s="3702"/>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9"/>
      <c r="Q29" s="1352">
        <f t="shared" si="11"/>
        <v>111</v>
      </c>
      <c r="R29" s="705" t="s">
        <v>18</v>
      </c>
      <c r="S29" s="706">
        <f t="shared" si="12"/>
        <v>100</v>
      </c>
      <c r="T29" s="705" t="s">
        <v>18</v>
      </c>
      <c r="U29" s="706">
        <f t="shared" si="13"/>
        <v>100</v>
      </c>
      <c r="V29" s="705" t="s">
        <v>18</v>
      </c>
      <c r="W29" s="706">
        <f t="shared" si="14"/>
        <v>100</v>
      </c>
      <c r="X29" s="1355"/>
      <c r="Y29" s="3702"/>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9"/>
      <c r="Q30" s="1352">
        <f t="shared" si="11"/>
        <v>111</v>
      </c>
      <c r="R30" s="705" t="s">
        <v>18</v>
      </c>
      <c r="S30" s="706">
        <f t="shared" si="12"/>
        <v>100</v>
      </c>
      <c r="T30" s="705" t="s">
        <v>18</v>
      </c>
      <c r="U30" s="706">
        <f t="shared" si="13"/>
        <v>100</v>
      </c>
      <c r="V30" s="705" t="s">
        <v>18</v>
      </c>
      <c r="W30" s="706">
        <f t="shared" si="14"/>
        <v>100</v>
      </c>
      <c r="X30" s="1355"/>
      <c r="Y30" s="3702"/>
      <c r="Z30" s="1356">
        <f t="shared" si="18"/>
        <v>111</v>
      </c>
      <c r="AA30" s="1353">
        <f t="shared" si="15"/>
        <v>1</v>
      </c>
      <c r="AB30" s="1353">
        <f t="shared" si="16"/>
        <v>1</v>
      </c>
      <c r="AC30" s="1353">
        <f t="shared" si="17"/>
        <v>1</v>
      </c>
    </row>
    <row r="31" spans="1:29" ht="15.6"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9"/>
      <c r="Q31" s="1352">
        <f t="shared" si="11"/>
        <v>111</v>
      </c>
      <c r="R31" s="705" t="s">
        <v>18</v>
      </c>
      <c r="S31" s="706">
        <f t="shared" si="12"/>
        <v>100</v>
      </c>
      <c r="T31" s="705" t="s">
        <v>18</v>
      </c>
      <c r="U31" s="706">
        <f t="shared" si="13"/>
        <v>100</v>
      </c>
      <c r="V31" s="705" t="s">
        <v>18</v>
      </c>
      <c r="W31" s="706">
        <f t="shared" si="14"/>
        <v>100</v>
      </c>
      <c r="X31" s="1355"/>
      <c r="Y31" s="3702"/>
      <c r="Z31" s="1356">
        <f t="shared" si="18"/>
        <v>111</v>
      </c>
      <c r="AA31" s="1353">
        <f t="shared" si="15"/>
        <v>1</v>
      </c>
      <c r="AB31" s="1353">
        <f t="shared" si="16"/>
        <v>1</v>
      </c>
      <c r="AC31" s="1353">
        <f t="shared" si="17"/>
        <v>1</v>
      </c>
    </row>
    <row r="32" spans="1:29" ht="15">
      <c r="A32" s="391" t="s">
        <v>1694</v>
      </c>
      <c r="B32" s="63" t="s">
        <v>1695</v>
      </c>
      <c r="C32" s="1910" t="s">
        <v>3499</v>
      </c>
      <c r="D32" s="418">
        <v>100</v>
      </c>
      <c r="E32" s="1911" t="s">
        <v>3499</v>
      </c>
      <c r="F32" s="412">
        <f>SUMIF(100:100,E32,101:101)-SUMIF(100:100,C32,101:101)+100</f>
        <v>100</v>
      </c>
      <c r="G32" s="1910" t="s">
        <v>3497</v>
      </c>
      <c r="H32" s="418">
        <f>SUMIF(100:100,G32,101:101)-SUMIF(100:100,C32,101:101)+100</f>
        <v>101</v>
      </c>
      <c r="I32" s="1911" t="s">
        <v>3495</v>
      </c>
      <c r="J32" s="386">
        <f>SUMIF(100:100,I32,101:101)-SUMIF(100:100,C32,101:101)+100</f>
        <v>102</v>
      </c>
      <c r="K32" s="377">
        <v>1</v>
      </c>
      <c r="L32" s="2722"/>
      <c r="M32" s="2716"/>
      <c r="N32" s="2716"/>
      <c r="O32" s="2716"/>
      <c r="P32" s="3703" t="s">
        <v>1696</v>
      </c>
      <c r="Q32" s="1352" t="str">
        <f t="shared" si="11"/>
        <v>建筑类型</v>
      </c>
      <c r="R32" s="705" t="s">
        <v>18</v>
      </c>
      <c r="S32" s="706">
        <f t="shared" si="12"/>
        <v>100</v>
      </c>
      <c r="T32" s="705" t="s">
        <v>18</v>
      </c>
      <c r="U32" s="706">
        <f t="shared" si="13"/>
        <v>101</v>
      </c>
      <c r="V32" s="705" t="s">
        <v>18</v>
      </c>
      <c r="W32" s="706">
        <f t="shared" si="14"/>
        <v>102</v>
      </c>
      <c r="X32" s="1355"/>
      <c r="Y32" s="3706" t="s">
        <v>1696</v>
      </c>
      <c r="Z32" s="1356" t="str">
        <f t="shared" si="18"/>
        <v>建筑类型</v>
      </c>
      <c r="AA32" s="1353">
        <f t="shared" si="15"/>
        <v>1</v>
      </c>
      <c r="AB32" s="1353">
        <f t="shared" si="16"/>
        <v>0.99009900990099009</v>
      </c>
      <c r="AC32" s="1353">
        <f t="shared" si="17"/>
        <v>0.98039215686274506</v>
      </c>
    </row>
    <row r="33" spans="1:29" s="422" customFormat="1" ht="15">
      <c r="A33" s="419"/>
      <c r="B33" s="375" t="s">
        <v>1697</v>
      </c>
      <c r="C33" s="420">
        <f>'数据-汇总表'!F19</f>
        <v>164.94</v>
      </c>
      <c r="D33" s="127">
        <v>100</v>
      </c>
      <c r="E33" s="381">
        <v>217.4</v>
      </c>
      <c r="F33" s="376">
        <f>LOOKUP(E33,103:103,104:104)-LOOKUP(C33,103:103,104:104)+100</f>
        <v>94</v>
      </c>
      <c r="G33" s="380">
        <v>178.14</v>
      </c>
      <c r="H33" s="127">
        <f>LOOKUP(G33,103:103,104:104)-LOOKUP(C33,103:103,104:104)+100</f>
        <v>100</v>
      </c>
      <c r="I33" s="381">
        <v>131.71</v>
      </c>
      <c r="J33" s="127">
        <f>LOOKUP(I33,103:103,104:104)-LOOKUP(C33,103:103,104:104)+100</f>
        <v>100</v>
      </c>
      <c r="K33" s="1894"/>
      <c r="L33" s="2721"/>
      <c r="M33" s="2723"/>
      <c r="N33" s="2723"/>
      <c r="O33" s="2723"/>
      <c r="P33" s="3704"/>
      <c r="Q33" s="707" t="str">
        <f t="shared" si="11"/>
        <v>项目建筑规模</v>
      </c>
      <c r="R33" s="708" t="s">
        <v>18</v>
      </c>
      <c r="S33" s="709">
        <f t="shared" si="12"/>
        <v>94</v>
      </c>
      <c r="T33" s="708" t="s">
        <v>18</v>
      </c>
      <c r="U33" s="709">
        <f t="shared" si="13"/>
        <v>100</v>
      </c>
      <c r="V33" s="708" t="s">
        <v>18</v>
      </c>
      <c r="W33" s="709">
        <f t="shared" si="14"/>
        <v>100</v>
      </c>
      <c r="X33" s="710"/>
      <c r="Y33" s="3706"/>
      <c r="Z33" s="711" t="str">
        <f t="shared" si="18"/>
        <v>项目建筑规模</v>
      </c>
      <c r="AA33" s="1353">
        <f t="shared" si="15"/>
        <v>1.0638297872340425</v>
      </c>
      <c r="AB33" s="1353">
        <f t="shared" si="16"/>
        <v>1</v>
      </c>
      <c r="AC33" s="1353">
        <f t="shared" si="17"/>
        <v>1</v>
      </c>
    </row>
    <row r="34" spans="1:29" ht="15">
      <c r="A34" s="423"/>
      <c r="B34" s="375" t="s">
        <v>1698</v>
      </c>
      <c r="C34" s="1912" t="s">
        <v>3501</v>
      </c>
      <c r="D34" s="386">
        <v>100</v>
      </c>
      <c r="E34" s="1913" t="s">
        <v>3501</v>
      </c>
      <c r="F34" s="412">
        <f>SUMIF(105:105,E34,106:106)-SUMIF(105:105,C34,106:106)+100</f>
        <v>100</v>
      </c>
      <c r="G34" s="1912" t="s">
        <v>3501</v>
      </c>
      <c r="H34" s="386">
        <f>SUMIF(105:105,G34,106:106)-SUMIF(105:105,C34,106:106)+100</f>
        <v>100</v>
      </c>
      <c r="I34" s="1913" t="s">
        <v>3501</v>
      </c>
      <c r="J34" s="386">
        <f>SUMIF(105:105,I34,106:106)-SUMIF(105:105,C34,106:106)+100</f>
        <v>100</v>
      </c>
      <c r="K34" s="377"/>
      <c r="L34" s="2722"/>
      <c r="M34" s="2716"/>
      <c r="N34" s="2716"/>
      <c r="O34" s="2716"/>
      <c r="P34" s="3704"/>
      <c r="Q34" s="1352" t="str">
        <f t="shared" si="11"/>
        <v>建筑结构</v>
      </c>
      <c r="R34" s="705" t="s">
        <v>18</v>
      </c>
      <c r="S34" s="706">
        <f t="shared" si="12"/>
        <v>100</v>
      </c>
      <c r="T34" s="705" t="s">
        <v>18</v>
      </c>
      <c r="U34" s="706">
        <f t="shared" si="13"/>
        <v>100</v>
      </c>
      <c r="V34" s="705" t="s">
        <v>18</v>
      </c>
      <c r="W34" s="706">
        <f t="shared" si="14"/>
        <v>100</v>
      </c>
      <c r="X34" s="1355"/>
      <c r="Y34" s="3706"/>
      <c r="Z34" s="1356" t="str">
        <f t="shared" si="18"/>
        <v>建筑结构</v>
      </c>
      <c r="AA34" s="1353">
        <f t="shared" si="15"/>
        <v>1</v>
      </c>
      <c r="AB34" s="1353">
        <f t="shared" si="16"/>
        <v>1</v>
      </c>
      <c r="AC34" s="1353">
        <f t="shared" si="17"/>
        <v>1</v>
      </c>
    </row>
    <row r="35" spans="1:29" ht="15" hidden="1">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4"/>
      <c r="Q35" s="1352" t="str">
        <f t="shared" si="11"/>
        <v>建筑品质</v>
      </c>
      <c r="R35" s="705" t="s">
        <v>18</v>
      </c>
      <c r="S35" s="706">
        <f t="shared" si="12"/>
        <v>100</v>
      </c>
      <c r="T35" s="705" t="s">
        <v>18</v>
      </c>
      <c r="U35" s="706">
        <f t="shared" si="13"/>
        <v>100</v>
      </c>
      <c r="V35" s="705" t="s">
        <v>18</v>
      </c>
      <c r="W35" s="706">
        <f t="shared" si="14"/>
        <v>100</v>
      </c>
      <c r="X35" s="1355"/>
      <c r="Y35" s="3706"/>
      <c r="Z35" s="1356" t="str">
        <f t="shared" si="18"/>
        <v>建筑品质</v>
      </c>
      <c r="AA35" s="1353">
        <f t="shared" si="15"/>
        <v>1</v>
      </c>
      <c r="AB35" s="1353">
        <f t="shared" si="16"/>
        <v>1</v>
      </c>
      <c r="AC35" s="1353">
        <f t="shared" si="17"/>
        <v>1</v>
      </c>
    </row>
    <row r="36" spans="1:29" ht="15">
      <c r="A36" s="423"/>
      <c r="B36" s="375" t="s">
        <v>1700</v>
      </c>
      <c r="C36" s="1906" t="s">
        <v>3503</v>
      </c>
      <c r="D36" s="386">
        <v>100</v>
      </c>
      <c r="E36" s="1907" t="s">
        <v>3503</v>
      </c>
      <c r="F36" s="412">
        <f>SUMIF(109:109,E36,110:110)-SUMIF(109:109,C36,110:110)+100</f>
        <v>100</v>
      </c>
      <c r="G36" s="1906" t="s">
        <v>3503</v>
      </c>
      <c r="H36" s="386">
        <f>SUMIF(109:109,G36,110:110)-SUMIF(109:109,C36,110:110)+100</f>
        <v>100</v>
      </c>
      <c r="I36" s="1907" t="s">
        <v>3503</v>
      </c>
      <c r="J36" s="386">
        <f>SUMIF(109:109,I36,110:110)-SUMIF(109:109,C36,110:110)+100</f>
        <v>100</v>
      </c>
      <c r="K36" s="377"/>
      <c r="L36" s="2722"/>
      <c r="M36" s="2716"/>
      <c r="N36" s="2716"/>
      <c r="O36" s="2716"/>
      <c r="P36" s="3704"/>
      <c r="Q36" s="1352" t="str">
        <f t="shared" si="11"/>
        <v>公共部分装修</v>
      </c>
      <c r="R36" s="705" t="s">
        <v>18</v>
      </c>
      <c r="S36" s="706">
        <f t="shared" si="12"/>
        <v>100</v>
      </c>
      <c r="T36" s="705" t="s">
        <v>18</v>
      </c>
      <c r="U36" s="706">
        <f t="shared" si="13"/>
        <v>100</v>
      </c>
      <c r="V36" s="705" t="s">
        <v>18</v>
      </c>
      <c r="W36" s="706">
        <f t="shared" si="14"/>
        <v>100</v>
      </c>
      <c r="X36" s="1355"/>
      <c r="Y36" s="3706"/>
      <c r="Z36" s="1356" t="str">
        <f t="shared" si="18"/>
        <v>公共部分装修</v>
      </c>
      <c r="AA36" s="1353">
        <f t="shared" si="15"/>
        <v>1</v>
      </c>
      <c r="AB36" s="1353">
        <f t="shared" si="16"/>
        <v>1</v>
      </c>
      <c r="AC36" s="1353">
        <f t="shared" si="17"/>
        <v>1</v>
      </c>
    </row>
    <row r="37" spans="1:29" s="108" customFormat="1" ht="15" hidden="1">
      <c r="A37" s="424"/>
      <c r="B37" s="375" t="s">
        <v>1701</v>
      </c>
      <c r="C37" s="425">
        <v>0.95</v>
      </c>
      <c r="D37" s="127">
        <v>100</v>
      </c>
      <c r="E37" s="425">
        <f>C37</f>
        <v>0.95</v>
      </c>
      <c r="F37" s="376">
        <f>LOOKUP(E37,112:112,113:113)-LOOKUP(C37,112:112,113:113)+100</f>
        <v>100</v>
      </c>
      <c r="G37" s="427">
        <f>C37</f>
        <v>0.95</v>
      </c>
      <c r="H37" s="127">
        <f>LOOKUP(G37,112:112,113:113)-LOOKUP(C37,112:112,113:113)+100</f>
        <v>100</v>
      </c>
      <c r="I37" s="426">
        <f>C37</f>
        <v>0.95</v>
      </c>
      <c r="J37" s="127">
        <f>LOOKUP(I37,112:112,113:113)-LOOKUP(C37,112:112,113:113)+100</f>
        <v>100</v>
      </c>
      <c r="K37" s="377"/>
      <c r="L37" s="2717"/>
      <c r="M37" s="2718"/>
      <c r="N37" s="2718"/>
      <c r="O37" s="2718"/>
      <c r="P37" s="3704"/>
      <c r="Q37" s="1343" t="str">
        <f t="shared" si="11"/>
        <v>成新度</v>
      </c>
      <c r="R37" s="701" t="s">
        <v>18</v>
      </c>
      <c r="S37" s="702">
        <f t="shared" si="12"/>
        <v>100</v>
      </c>
      <c r="T37" s="701" t="s">
        <v>18</v>
      </c>
      <c r="U37" s="702">
        <f t="shared" si="13"/>
        <v>100</v>
      </c>
      <c r="V37" s="701" t="s">
        <v>18</v>
      </c>
      <c r="W37" s="702">
        <f t="shared" si="14"/>
        <v>100</v>
      </c>
      <c r="X37" s="703"/>
      <c r="Y37" s="3706"/>
      <c r="Z37" s="52" t="str">
        <f t="shared" si="18"/>
        <v>成新度</v>
      </c>
      <c r="AA37" s="704">
        <f t="shared" si="15"/>
        <v>1</v>
      </c>
      <c r="AB37" s="704">
        <f t="shared" si="16"/>
        <v>1</v>
      </c>
      <c r="AC37" s="704">
        <f t="shared" si="17"/>
        <v>1</v>
      </c>
    </row>
    <row r="38" spans="1:29" ht="15">
      <c r="A38" s="423"/>
      <c r="B38" s="375" t="s">
        <v>1702</v>
      </c>
      <c r="C38" s="1906" t="s">
        <v>3505</v>
      </c>
      <c r="D38" s="386">
        <v>100</v>
      </c>
      <c r="E38" s="1907" t="s">
        <v>3505</v>
      </c>
      <c r="F38" s="412">
        <f>SUMIF(114:114,E38,115:115)-SUMIF(114:114,C38,115:115)+100</f>
        <v>100</v>
      </c>
      <c r="G38" s="1906" t="s">
        <v>3505</v>
      </c>
      <c r="H38" s="386">
        <f>SUMIF(114:114,G38,115:115)-SUMIF(114:114,C38,115:115)+100</f>
        <v>100</v>
      </c>
      <c r="I38" s="1907" t="s">
        <v>3505</v>
      </c>
      <c r="J38" s="386">
        <f>SUMIF(114:114,I38,115:115)-SUMIF(114:114,C38,115:115)+100</f>
        <v>100</v>
      </c>
      <c r="K38" s="377"/>
      <c r="L38" s="2722"/>
      <c r="M38" s="2716"/>
      <c r="N38" s="2716"/>
      <c r="O38" s="2716"/>
      <c r="P38" s="3704" t="s">
        <v>1696</v>
      </c>
      <c r="Q38" s="1352" t="str">
        <f t="shared" si="11"/>
        <v>物业管理</v>
      </c>
      <c r="R38" s="705" t="s">
        <v>18</v>
      </c>
      <c r="S38" s="706">
        <f t="shared" si="12"/>
        <v>100</v>
      </c>
      <c r="T38" s="705" t="s">
        <v>18</v>
      </c>
      <c r="U38" s="706">
        <f t="shared" si="13"/>
        <v>100</v>
      </c>
      <c r="V38" s="705" t="s">
        <v>18</v>
      </c>
      <c r="W38" s="706">
        <f t="shared" si="14"/>
        <v>100</v>
      </c>
      <c r="X38" s="1355"/>
      <c r="Y38" s="3706" t="s">
        <v>1696</v>
      </c>
      <c r="Z38" s="1356" t="str">
        <f t="shared" si="18"/>
        <v>物业管理</v>
      </c>
      <c r="AA38" s="1353">
        <f t="shared" si="15"/>
        <v>1</v>
      </c>
      <c r="AB38" s="1353">
        <f t="shared" si="16"/>
        <v>1</v>
      </c>
      <c r="AC38" s="1353">
        <f t="shared" si="17"/>
        <v>1</v>
      </c>
    </row>
    <row r="39" spans="1:29" ht="15">
      <c r="A39" s="423"/>
      <c r="B39" s="375" t="s">
        <v>1703</v>
      </c>
      <c r="C39" s="1906" t="s">
        <v>3507</v>
      </c>
      <c r="D39" s="386">
        <v>100</v>
      </c>
      <c r="E39" s="1907" t="s">
        <v>3507</v>
      </c>
      <c r="F39" s="412">
        <f>SUMIF(116:116,E39,117:117)-SUMIF(116:116,C39,117:117)+100</f>
        <v>100</v>
      </c>
      <c r="G39" s="1906" t="s">
        <v>3507</v>
      </c>
      <c r="H39" s="386">
        <f>SUMIF(116:116,G39,117:117)-SUMIF(116:116,C39,117:117)+100</f>
        <v>100</v>
      </c>
      <c r="I39" s="1907" t="s">
        <v>3507</v>
      </c>
      <c r="J39" s="386">
        <f>SUMIF(116:116,I39,117:117)-SUMIF(116:116,C39,117:117)+100</f>
        <v>100</v>
      </c>
      <c r="K39" s="377"/>
      <c r="L39" s="2722"/>
      <c r="M39" s="2716"/>
      <c r="N39" s="2716"/>
      <c r="O39" s="2716"/>
      <c r="P39" s="3704"/>
      <c r="Q39" s="1352" t="str">
        <f t="shared" si="11"/>
        <v>市政基础设施</v>
      </c>
      <c r="R39" s="705" t="s">
        <v>18</v>
      </c>
      <c r="S39" s="706">
        <f t="shared" si="12"/>
        <v>100</v>
      </c>
      <c r="T39" s="705" t="s">
        <v>18</v>
      </c>
      <c r="U39" s="706">
        <f t="shared" si="13"/>
        <v>100</v>
      </c>
      <c r="V39" s="705" t="s">
        <v>18</v>
      </c>
      <c r="W39" s="706">
        <f t="shared" si="14"/>
        <v>100</v>
      </c>
      <c r="X39" s="1355"/>
      <c r="Y39" s="3706"/>
      <c r="Z39" s="1356" t="str">
        <f t="shared" si="18"/>
        <v>市政基础设施</v>
      </c>
      <c r="AA39" s="1353">
        <f t="shared" si="15"/>
        <v>1</v>
      </c>
      <c r="AB39" s="1353">
        <f t="shared" si="16"/>
        <v>1</v>
      </c>
      <c r="AC39" s="1353">
        <f t="shared" si="17"/>
        <v>1</v>
      </c>
    </row>
    <row r="40" spans="1:29" ht="15" hidden="1">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4"/>
      <c r="Q40" s="1352" t="str">
        <f t="shared" si="11"/>
        <v>房型</v>
      </c>
      <c r="R40" s="705" t="s">
        <v>18</v>
      </c>
      <c r="S40" s="706">
        <f t="shared" si="12"/>
        <v>100</v>
      </c>
      <c r="T40" s="705" t="s">
        <v>18</v>
      </c>
      <c r="U40" s="706">
        <f t="shared" si="13"/>
        <v>100</v>
      </c>
      <c r="V40" s="705" t="s">
        <v>18</v>
      </c>
      <c r="W40" s="706">
        <f t="shared" si="14"/>
        <v>100</v>
      </c>
      <c r="X40" s="1355"/>
      <c r="Y40" s="3706"/>
      <c r="Z40" s="1356" t="str">
        <f t="shared" si="18"/>
        <v>房型</v>
      </c>
      <c r="AA40" s="1353">
        <f t="shared" si="15"/>
        <v>1</v>
      </c>
      <c r="AB40" s="1353">
        <f t="shared" si="16"/>
        <v>1</v>
      </c>
      <c r="AC40" s="1353">
        <f t="shared" si="17"/>
        <v>1</v>
      </c>
    </row>
    <row r="41" spans="1:29" s="422" customFormat="1" ht="28.8"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4"/>
      <c r="Q41" s="707" t="str">
        <f t="shared" si="11"/>
        <v>单套/主力户型建筑面积</v>
      </c>
      <c r="R41" s="708" t="s">
        <v>18</v>
      </c>
      <c r="S41" s="709">
        <f t="shared" si="12"/>
        <v>100</v>
      </c>
      <c r="T41" s="708" t="s">
        <v>18</v>
      </c>
      <c r="U41" s="709">
        <f t="shared" si="13"/>
        <v>100</v>
      </c>
      <c r="V41" s="708" t="s">
        <v>18</v>
      </c>
      <c r="W41" s="709">
        <f t="shared" si="14"/>
        <v>100</v>
      </c>
      <c r="X41" s="710"/>
      <c r="Y41" s="3706"/>
      <c r="Z41" s="711" t="str">
        <f t="shared" si="18"/>
        <v>单套/主力户型建筑面积</v>
      </c>
      <c r="AA41" s="1353">
        <f t="shared" si="15"/>
        <v>1</v>
      </c>
      <c r="AB41" s="1353">
        <f t="shared" si="16"/>
        <v>1</v>
      </c>
      <c r="AC41" s="1353">
        <f t="shared" si="17"/>
        <v>1</v>
      </c>
    </row>
    <row r="42" spans="1:29" ht="15">
      <c r="A42" s="423"/>
      <c r="B42" s="375" t="s">
        <v>1706</v>
      </c>
      <c r="C42" s="1906" t="s">
        <v>3503</v>
      </c>
      <c r="D42" s="386">
        <v>100</v>
      </c>
      <c r="E42" s="1907" t="s">
        <v>3503</v>
      </c>
      <c r="F42" s="412">
        <f>SUMIF(122:122,E42,123:123)-SUMIF(122:122,C42,123:123)+100</f>
        <v>100</v>
      </c>
      <c r="G42" s="1906" t="s">
        <v>3503</v>
      </c>
      <c r="H42" s="386">
        <f>SUMIF(122:122,G42,123:123)-SUMIF(122:122,C42,123:123)+100</f>
        <v>100</v>
      </c>
      <c r="I42" s="1907" t="s">
        <v>3503</v>
      </c>
      <c r="J42" s="386">
        <f>SUMIF(122:122,I42,123:123)-SUMIF(122:122,C42,123:123)+100</f>
        <v>100</v>
      </c>
      <c r="K42" s="377"/>
      <c r="L42" s="2722"/>
      <c r="M42" s="2716"/>
      <c r="N42" s="2716"/>
      <c r="O42" s="2716"/>
      <c r="P42" s="3704"/>
      <c r="Q42" s="1352" t="str">
        <f t="shared" si="11"/>
        <v>内部装修</v>
      </c>
      <c r="R42" s="705" t="s">
        <v>18</v>
      </c>
      <c r="S42" s="706">
        <f t="shared" si="12"/>
        <v>100</v>
      </c>
      <c r="T42" s="705" t="s">
        <v>18</v>
      </c>
      <c r="U42" s="706">
        <f t="shared" si="13"/>
        <v>100</v>
      </c>
      <c r="V42" s="705" t="s">
        <v>18</v>
      </c>
      <c r="W42" s="706">
        <f t="shared" si="14"/>
        <v>100</v>
      </c>
      <c r="X42" s="1355"/>
      <c r="Y42" s="3706"/>
      <c r="Z42" s="1356" t="str">
        <f t="shared" si="18"/>
        <v>内部装修</v>
      </c>
      <c r="AA42" s="1353">
        <f t="shared" si="15"/>
        <v>1</v>
      </c>
      <c r="AB42" s="1353">
        <f t="shared" si="16"/>
        <v>1</v>
      </c>
      <c r="AC42" s="1353">
        <f t="shared" si="17"/>
        <v>1</v>
      </c>
    </row>
    <row r="43" spans="1:29" ht="28.8" hidden="1">
      <c r="A43" s="423"/>
      <c r="B43" s="375" t="s">
        <v>1707</v>
      </c>
      <c r="C43" s="1906" t="s">
        <v>3516</v>
      </c>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4"/>
      <c r="Q43" s="1352" t="str">
        <f t="shared" si="11"/>
        <v>内部装修维护情况</v>
      </c>
      <c r="R43" s="705" t="s">
        <v>18</v>
      </c>
      <c r="S43" s="706">
        <f t="shared" si="12"/>
        <v>100</v>
      </c>
      <c r="T43" s="705" t="s">
        <v>18</v>
      </c>
      <c r="U43" s="706">
        <f t="shared" si="13"/>
        <v>100</v>
      </c>
      <c r="V43" s="705" t="s">
        <v>18</v>
      </c>
      <c r="W43" s="706">
        <f t="shared" si="14"/>
        <v>100</v>
      </c>
      <c r="X43" s="1355"/>
      <c r="Y43" s="3706"/>
      <c r="Z43" s="1356" t="str">
        <f t="shared" si="18"/>
        <v>内部装修维护情况</v>
      </c>
      <c r="AA43" s="1353">
        <f t="shared" si="15"/>
        <v>1</v>
      </c>
      <c r="AB43" s="1353">
        <f t="shared" si="16"/>
        <v>1</v>
      </c>
      <c r="AC43" s="1353">
        <f t="shared" si="17"/>
        <v>1</v>
      </c>
    </row>
    <row r="44" spans="1:29" s="108" customFormat="1" ht="15.6" thickBot="1">
      <c r="A44" s="424"/>
      <c r="B44" s="3478" t="s">
        <v>3510</v>
      </c>
      <c r="C44" s="420">
        <v>2019</v>
      </c>
      <c r="D44" s="127">
        <v>100</v>
      </c>
      <c r="E44" s="420">
        <f>D126</f>
        <v>2019</v>
      </c>
      <c r="F44" s="376">
        <f>SUMIF(126:126,E44,127:127)-SUMIF(126:126,C44,127:127)+100</f>
        <v>100</v>
      </c>
      <c r="G44" s="420">
        <v>2007</v>
      </c>
      <c r="H44" s="127">
        <f>SUMIF(126:126,G44,127:127)-SUMIF(126:126,C44,127:127)+100</f>
        <v>94</v>
      </c>
      <c r="I44" s="420">
        <f>F126</f>
        <v>2006</v>
      </c>
      <c r="J44" s="127">
        <f>SUMIF(126:126,I44,127:127)-SUMIF(126:126,C44,127:127)+100</f>
        <v>93.5</v>
      </c>
      <c r="K44" s="1894"/>
      <c r="L44" s="2717"/>
      <c r="M44" s="2718"/>
      <c r="N44" s="2718"/>
      <c r="O44" s="2718"/>
      <c r="P44" s="3704"/>
      <c r="Q44" s="1343" t="str">
        <f t="shared" si="11"/>
        <v>建成年代</v>
      </c>
      <c r="R44" s="701" t="s">
        <v>18</v>
      </c>
      <c r="S44" s="702">
        <f t="shared" si="12"/>
        <v>100</v>
      </c>
      <c r="T44" s="701" t="s">
        <v>18</v>
      </c>
      <c r="U44" s="702">
        <f t="shared" si="13"/>
        <v>94</v>
      </c>
      <c r="V44" s="701" t="s">
        <v>18</v>
      </c>
      <c r="W44" s="702">
        <f t="shared" si="14"/>
        <v>93.5</v>
      </c>
      <c r="X44" s="703"/>
      <c r="Y44" s="3706"/>
      <c r="Z44" s="52" t="str">
        <f t="shared" si="18"/>
        <v>建成年代</v>
      </c>
      <c r="AA44" s="704">
        <f t="shared" si="15"/>
        <v>1</v>
      </c>
      <c r="AB44" s="704">
        <f t="shared" si="16"/>
        <v>1.0638297872340425</v>
      </c>
      <c r="AC44" s="704">
        <f t="shared" si="17"/>
        <v>1.0695187165775402</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4"/>
      <c r="Q45" s="1352">
        <f t="shared" si="11"/>
        <v>111</v>
      </c>
      <c r="R45" s="705" t="s">
        <v>18</v>
      </c>
      <c r="S45" s="706">
        <f t="shared" si="12"/>
        <v>100</v>
      </c>
      <c r="T45" s="705" t="s">
        <v>18</v>
      </c>
      <c r="U45" s="706">
        <f t="shared" si="13"/>
        <v>100</v>
      </c>
      <c r="V45" s="705" t="s">
        <v>18</v>
      </c>
      <c r="W45" s="706">
        <f t="shared" si="14"/>
        <v>100</v>
      </c>
      <c r="X45" s="1355"/>
      <c r="Y45" s="3706"/>
      <c r="Z45" s="1356">
        <f t="shared" si="18"/>
        <v>111</v>
      </c>
      <c r="AA45" s="1353">
        <f t="shared" si="15"/>
        <v>1</v>
      </c>
      <c r="AB45" s="1353">
        <f t="shared" si="16"/>
        <v>1</v>
      </c>
      <c r="AC45" s="1353">
        <f t="shared" si="17"/>
        <v>1</v>
      </c>
    </row>
    <row r="46" spans="1:29" ht="15.6"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5"/>
      <c r="Q46" s="1352">
        <f t="shared" si="11"/>
        <v>111</v>
      </c>
      <c r="R46" s="705" t="s">
        <v>17</v>
      </c>
      <c r="S46" s="706">
        <f t="shared" si="12"/>
        <v>100</v>
      </c>
      <c r="T46" s="705" t="s">
        <v>17</v>
      </c>
      <c r="U46" s="706">
        <f t="shared" si="13"/>
        <v>100</v>
      </c>
      <c r="V46" s="705" t="s">
        <v>17</v>
      </c>
      <c r="W46" s="706">
        <f t="shared" si="14"/>
        <v>100</v>
      </c>
      <c r="X46" s="1355"/>
      <c r="Y46" s="3707"/>
      <c r="Z46" s="1356">
        <f t="shared" si="18"/>
        <v>111</v>
      </c>
      <c r="AA46" s="1353">
        <f t="shared" si="15"/>
        <v>1</v>
      </c>
      <c r="AB46" s="1353">
        <f t="shared" si="16"/>
        <v>1</v>
      </c>
      <c r="AC46" s="1353">
        <f t="shared" si="17"/>
        <v>1</v>
      </c>
    </row>
    <row r="47" spans="1:29" ht="14.4">
      <c r="A47" s="430" t="s">
        <v>1708</v>
      </c>
      <c r="B47" s="431"/>
      <c r="C47" s="1154" t="s">
        <v>16</v>
      </c>
      <c r="D47" s="1155"/>
      <c r="E47" s="1156">
        <v>72447</v>
      </c>
      <c r="F47" s="1157"/>
      <c r="G47" s="1158">
        <v>69889</v>
      </c>
      <c r="H47" s="1159"/>
      <c r="I47" s="1156">
        <v>81239</v>
      </c>
      <c r="J47" s="1159"/>
      <c r="K47" s="1914"/>
      <c r="L47" s="2724"/>
      <c r="M47" s="2725"/>
      <c r="N47" s="2716"/>
      <c r="O47" s="2725"/>
      <c r="P47" s="3699" t="str">
        <f>A47</f>
        <v>成交单价（元/平方米）</v>
      </c>
      <c r="Q47" s="3699"/>
      <c r="R47" s="3700">
        <f>E47</f>
        <v>72447</v>
      </c>
      <c r="S47" s="3700"/>
      <c r="T47" s="3700">
        <f>G47</f>
        <v>69889</v>
      </c>
      <c r="U47" s="3700"/>
      <c r="V47" s="3700">
        <f>I47</f>
        <v>81239</v>
      </c>
      <c r="W47" s="3700"/>
      <c r="X47" s="690"/>
      <c r="Y47" s="712"/>
      <c r="Z47" s="690"/>
      <c r="AA47" s="690"/>
      <c r="AB47" s="690"/>
      <c r="AC47" s="690"/>
    </row>
    <row r="48" spans="1:29" ht="15" thickBot="1">
      <c r="A48" s="437" t="s">
        <v>1709</v>
      </c>
      <c r="B48" s="438"/>
      <c r="C48" s="1160">
        <f>R49</f>
        <v>80767</v>
      </c>
      <c r="D48" s="2317" t="s">
        <v>2138</v>
      </c>
      <c r="E48" s="1161">
        <f>R48</f>
        <v>75781</v>
      </c>
      <c r="F48" s="2318"/>
      <c r="G48" s="1160">
        <f>T48</f>
        <v>75877</v>
      </c>
      <c r="H48" s="2318"/>
      <c r="I48" s="1161">
        <f>V48</f>
        <v>90644</v>
      </c>
      <c r="J48" s="2318"/>
      <c r="K48" s="2319">
        <f>F48+H48+J48</f>
        <v>0</v>
      </c>
      <c r="L48" s="2724"/>
      <c r="M48" s="2725"/>
      <c r="N48" s="2725"/>
      <c r="O48" s="2725"/>
      <c r="P48" s="3699" t="str">
        <f>A48</f>
        <v>比较价值（元/平方米）</v>
      </c>
      <c r="Q48" s="3699"/>
      <c r="R48" s="3700">
        <f>IF(F1="售价",ROUND(PRODUCT(R47,AA7:AA46),0),ROUND(PRODUCT(R47,AA7:AA46),1))</f>
        <v>75781</v>
      </c>
      <c r="S48" s="3700"/>
      <c r="T48" s="3700">
        <f>IF(F1="售价",ROUND(PRODUCT(T47,AB7:AB46),0),ROUND(PRODUCT(T47,AB7:AB46),1))</f>
        <v>75877</v>
      </c>
      <c r="U48" s="3700"/>
      <c r="V48" s="3700">
        <f>IF(F1="售价",ROUND(PRODUCT(V47,AC7:AC46),0),ROUND(PRODUCT(V47,AC7:AC46),1))</f>
        <v>90644</v>
      </c>
      <c r="W48" s="3700"/>
      <c r="X48" s="690"/>
      <c r="Y48" s="690"/>
      <c r="Z48" s="690"/>
      <c r="AA48" s="690"/>
      <c r="AB48" s="690"/>
      <c r="AC48" s="690"/>
    </row>
    <row r="49" spans="1:29" ht="15" thickBot="1">
      <c r="A49" s="441" t="s">
        <v>1710</v>
      </c>
      <c r="B49" s="442"/>
      <c r="C49" s="1162">
        <f>R49</f>
        <v>80767</v>
      </c>
      <c r="D49" s="1163"/>
      <c r="E49" s="1163"/>
      <c r="F49" s="1163"/>
      <c r="G49" s="1163"/>
      <c r="H49" s="1163"/>
      <c r="I49" s="1163"/>
      <c r="J49" s="1163"/>
      <c r="K49" s="1915"/>
      <c r="L49" s="2724"/>
      <c r="M49" s="2725"/>
      <c r="N49" s="2725"/>
      <c r="O49" s="2725"/>
      <c r="P49" s="3696" t="str">
        <f>A49</f>
        <v>估价对象XX用房的比较价值（楼面单价，元/平方米）</v>
      </c>
      <c r="Q49" s="3697"/>
      <c r="R49" s="3698">
        <f>IF(F1="售价",ROUND(IF(D48="简单平均",AVERAGE(R48:V48),R48*F48+T48*H48+V48*J48),0),ROUND(IF(D48="简单平均",AVERAGE(R48:V48),R48*F48+T48*H48+V48*J48),1))</f>
        <v>80767</v>
      </c>
      <c r="S49" s="3698"/>
      <c r="T49" s="3698"/>
      <c r="U49" s="3698"/>
      <c r="V49" s="3698"/>
      <c r="W49" s="369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4.6019848993057E-2</v>
      </c>
      <c r="F52" s="449" t="str">
        <f>IF(OR(E52&gt;=0.3,E52&lt;=-0.3),"超过30%","")</f>
        <v/>
      </c>
      <c r="G52" s="448">
        <f>IF(G47&lt;G48,G48/G47-1,G47/G48-1)</f>
        <v>8.5678719111734303E-2</v>
      </c>
      <c r="H52" s="449" t="str">
        <f>IF(OR(G52&gt;=0.3,G52&lt;=-0.3),"超过30%","")</f>
        <v/>
      </c>
      <c r="I52" s="448">
        <f>IF(I47&lt;I48,I48/I47-1,I47/I48-1)</f>
        <v>0.11576951956572579</v>
      </c>
      <c r="J52" s="449" t="str">
        <f>IF(OR(I52&gt;=0.3,I52&lt;=-0.3),"超过30%","")</f>
        <v/>
      </c>
      <c r="K52" s="2730"/>
      <c r="L52" s="2726"/>
      <c r="M52" s="2725"/>
      <c r="N52" s="2725"/>
      <c r="O52" s="2725"/>
    </row>
    <row r="53" spans="1:29" ht="13.5" customHeight="1">
      <c r="A53" s="2725"/>
      <c r="B53" s="2725"/>
      <c r="C53" s="446" t="s">
        <v>1712</v>
      </c>
      <c r="D53" s="450"/>
      <c r="E53" s="448">
        <f>IF(E48&lt;G48,G48/E48-1,E48/G48-1)</f>
        <v>1.2668083028728461E-3</v>
      </c>
      <c r="F53" s="449" t="str">
        <f>IF(OR(E53&gt;=0.2,E53&lt;=-0.2),"超过20%","")</f>
        <v/>
      </c>
      <c r="G53" s="448">
        <f>IF(G48&lt;I48,I48/G48-1,G48/I48-1)</f>
        <v>0.19461760480778101</v>
      </c>
      <c r="H53" s="449" t="str">
        <f>IF(OR(G53&gt;=0.2,G53&lt;=-0.2),"超过20%","")</f>
        <v/>
      </c>
      <c r="I53" s="448">
        <f>IF(I48&lt;E48,E48/I48-1,I48/E48-1)</f>
        <v>0.19613095630830957</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3.6600895706048187E-2</v>
      </c>
      <c r="F54" s="449" t="str">
        <f>IF(OR(E54&gt;=0.3,E54&lt;=-0.3),"超过30%","")</f>
        <v/>
      </c>
      <c r="G54" s="448">
        <f>IF(G47&lt;I47,I47/G47-1,G47/I47-1)</f>
        <v>0.16240037774184768</v>
      </c>
      <c r="H54" s="449" t="str">
        <f>IF(OR(G54&gt;=0.3,G54&lt;=-0.3),"超过30%","")</f>
        <v/>
      </c>
      <c r="I54" s="448">
        <f>IF(I47&lt;E47,E47/I47-1,I47/E47-1)</f>
        <v>0.12135768216765364</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2025-6</v>
      </c>
      <c r="D58" s="1185">
        <f>EDATE(C58,-1)</f>
        <v>45778</v>
      </c>
      <c r="E58" s="1185">
        <f>EDATE(D58,-1)</f>
        <v>45748</v>
      </c>
      <c r="F58" s="1185">
        <f t="shared" ref="F58:O58" si="19">EDATE(E58,-1)</f>
        <v>45717</v>
      </c>
      <c r="G58" s="1185">
        <f t="shared" si="19"/>
        <v>45689</v>
      </c>
      <c r="H58" s="1185">
        <f t="shared" si="19"/>
        <v>45658</v>
      </c>
      <c r="I58" s="1185">
        <f t="shared" si="19"/>
        <v>45627</v>
      </c>
      <c r="J58" s="1185">
        <f t="shared" si="19"/>
        <v>45597</v>
      </c>
      <c r="K58" s="1185">
        <f t="shared" si="19"/>
        <v>45566</v>
      </c>
      <c r="L58" s="1185">
        <f t="shared" si="19"/>
        <v>45536</v>
      </c>
      <c r="M58" s="1185">
        <f t="shared" si="19"/>
        <v>45505</v>
      </c>
      <c r="N58" s="1185">
        <f t="shared" si="19"/>
        <v>45474</v>
      </c>
      <c r="O58" s="1185">
        <f t="shared" si="19"/>
        <v>45444</v>
      </c>
      <c r="P58" s="1181"/>
    </row>
    <row r="59" spans="1:29" s="108" customFormat="1">
      <c r="A59" s="458"/>
      <c r="B59" s="1919"/>
      <c r="C59" s="1183">
        <v>100</v>
      </c>
      <c r="D59" s="460">
        <v>100</v>
      </c>
      <c r="E59" s="461">
        <v>100</v>
      </c>
      <c r="F59" s="461">
        <v>100.2</v>
      </c>
      <c r="G59" s="461">
        <f>F59</f>
        <v>100.2</v>
      </c>
      <c r="H59" s="461">
        <f>F59</f>
        <v>100.2</v>
      </c>
      <c r="I59" s="461">
        <v>100.4</v>
      </c>
      <c r="J59" s="461">
        <f>I59</f>
        <v>100.4</v>
      </c>
      <c r="K59" s="461">
        <f>I59</f>
        <v>100.4</v>
      </c>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t="str">
        <f>C9</f>
        <v>公寓</v>
      </c>
      <c r="D63" s="3479" t="s">
        <v>3515</v>
      </c>
      <c r="E63" s="479"/>
      <c r="F63" s="479"/>
      <c r="G63" s="479"/>
      <c r="H63" s="479"/>
      <c r="I63" s="479"/>
      <c r="J63" s="479"/>
      <c r="K63" s="480"/>
      <c r="L63" s="481"/>
      <c r="M63" s="482"/>
      <c r="N63" s="933"/>
      <c r="O63" s="933"/>
      <c r="P63" s="1922"/>
      <c r="Q63" s="453"/>
    </row>
    <row r="64" spans="1:29" ht="14.4" thickBot="1">
      <c r="A64" s="483"/>
      <c r="B64" s="484"/>
      <c r="C64" s="485">
        <v>100</v>
      </c>
      <c r="D64" s="485">
        <v>98</v>
      </c>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3475" t="s">
        <v>3486</v>
      </c>
      <c r="D88" s="3475" t="s">
        <v>3487</v>
      </c>
      <c r="E88" s="3475" t="s">
        <v>3489</v>
      </c>
      <c r="F88" s="3476" t="s">
        <v>3492</v>
      </c>
      <c r="G88" s="3475" t="s">
        <v>3493</v>
      </c>
      <c r="H88" s="3475" t="s">
        <v>3490</v>
      </c>
      <c r="I88" s="3475" t="s">
        <v>3521</v>
      </c>
      <c r="J88" s="3475" t="s">
        <v>3522</v>
      </c>
      <c r="K88" s="503"/>
      <c r="L88" s="503"/>
      <c r="M88" s="530"/>
      <c r="N88" s="932"/>
      <c r="O88" s="932"/>
      <c r="P88" s="1922"/>
      <c r="Q88" s="453"/>
    </row>
    <row r="89" spans="1:17" s="108" customFormat="1" ht="14.4"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4"/>
      <c r="O89" s="934"/>
      <c r="P89" s="1922"/>
      <c r="Q89" s="453"/>
    </row>
    <row r="90" spans="1:17" s="422" customFormat="1" ht="14.4" thickTop="1">
      <c r="A90" s="502"/>
      <c r="B90" s="487" t="str">
        <f>B27</f>
        <v>楼层</v>
      </c>
      <c r="C90" s="503" t="str">
        <f>C27</f>
        <v>2/23（低）</v>
      </c>
      <c r="D90" s="3477" t="str">
        <f>E27</f>
        <v>17/29（中）</v>
      </c>
      <c r="E90" s="3477" t="str">
        <f>G27</f>
        <v>3/20（低）</v>
      </c>
      <c r="F90" s="3477" t="str">
        <f>I27</f>
        <v>7/10（高）</v>
      </c>
      <c r="G90" s="503"/>
      <c r="H90" s="504"/>
      <c r="I90" s="504"/>
      <c r="J90" s="504"/>
      <c r="K90" s="504"/>
      <c r="L90" s="505"/>
      <c r="M90" s="506"/>
      <c r="N90" s="935"/>
      <c r="O90" s="935"/>
      <c r="P90" s="1923"/>
      <c r="Q90" s="508"/>
    </row>
    <row r="91" spans="1:17" s="422" customFormat="1" ht="14.4" thickBot="1">
      <c r="A91" s="502"/>
      <c r="B91" s="492"/>
      <c r="C91" s="509">
        <v>100</v>
      </c>
      <c r="D91" s="509">
        <v>101.5</v>
      </c>
      <c r="E91" s="509">
        <v>100</v>
      </c>
      <c r="F91" s="509">
        <v>103</v>
      </c>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3479" t="s">
        <v>3496</v>
      </c>
      <c r="D100" s="3479" t="s">
        <v>3498</v>
      </c>
      <c r="E100" s="3479" t="s">
        <v>3500</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 thickTop="1">
      <c r="A102" s="483"/>
      <c r="B102" s="487" t="s">
        <v>1737</v>
      </c>
      <c r="C102" s="527" t="str">
        <f>C103&amp;"(含)"&amp;"-"&amp;D103</f>
        <v>0(含)-180</v>
      </c>
      <c r="D102" s="527" t="str">
        <f t="shared" ref="D102:L102" si="26">D103&amp;"(含)"&amp;"-"&amp;E103</f>
        <v>180(含)-210</v>
      </c>
      <c r="E102" s="527" t="str">
        <f t="shared" si="26"/>
        <v>210(含)-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180</v>
      </c>
      <c r="E103" s="544">
        <v>210</v>
      </c>
      <c r="F103" s="544"/>
      <c r="G103" s="544"/>
      <c r="H103" s="544"/>
      <c r="I103" s="544"/>
      <c r="J103" s="545"/>
      <c r="K103" s="545"/>
      <c r="L103" s="546"/>
      <c r="M103" s="547"/>
      <c r="N103" s="935"/>
      <c r="O103" s="935"/>
      <c r="P103" s="1923"/>
      <c r="Q103" s="508"/>
    </row>
    <row r="104" spans="1:17" s="422" customFormat="1" ht="14.4" thickBot="1">
      <c r="A104" s="502"/>
      <c r="B104" s="492"/>
      <c r="C104" s="509">
        <v>100</v>
      </c>
      <c r="D104" s="485">
        <v>97</v>
      </c>
      <c r="E104" s="485">
        <v>94</v>
      </c>
      <c r="F104" s="485"/>
      <c r="G104" s="485"/>
      <c r="H104" s="485"/>
      <c r="I104" s="485"/>
      <c r="J104" s="485"/>
      <c r="K104" s="485"/>
      <c r="L104" s="485"/>
      <c r="M104" s="485"/>
      <c r="N104" s="934"/>
      <c r="O104" s="934"/>
      <c r="P104" s="1923"/>
      <c r="Q104" s="508"/>
    </row>
    <row r="105" spans="1:17" ht="15" thickTop="1">
      <c r="A105" s="548"/>
      <c r="B105" s="487" t="s">
        <v>1738</v>
      </c>
      <c r="C105" s="3475" t="s">
        <v>3502</v>
      </c>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75" t="s">
        <v>3504</v>
      </c>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75" t="s">
        <v>3506</v>
      </c>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75" t="s">
        <v>3508</v>
      </c>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75" t="s">
        <v>3509</v>
      </c>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t="str">
        <f>B44</f>
        <v>建成年代</v>
      </c>
      <c r="C126" s="503">
        <v>2020</v>
      </c>
      <c r="D126" s="503">
        <v>2019</v>
      </c>
      <c r="E126" s="503">
        <v>2007</v>
      </c>
      <c r="F126" s="503">
        <v>2006</v>
      </c>
      <c r="G126" s="503"/>
      <c r="H126" s="504"/>
      <c r="I126" s="504"/>
      <c r="J126" s="504"/>
      <c r="K126" s="504"/>
      <c r="L126" s="505"/>
      <c r="M126" s="506"/>
      <c r="N126" s="935"/>
      <c r="O126" s="935"/>
      <c r="P126" s="1923"/>
      <c r="Q126" s="508"/>
    </row>
    <row r="127" spans="1:17" s="422" customFormat="1" ht="14.4" thickBot="1">
      <c r="A127" s="502"/>
      <c r="B127" s="492"/>
      <c r="C127" s="509">
        <v>100</v>
      </c>
      <c r="D127" s="485">
        <v>100</v>
      </c>
      <c r="E127" s="485">
        <v>94</v>
      </c>
      <c r="F127" s="485">
        <v>93.5</v>
      </c>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8"/>
  <sheetViews>
    <sheetView topLeftCell="A109" workbookViewId="0">
      <selection activeCell="D139" sqref="D139"/>
    </sheetView>
  </sheetViews>
  <sheetFormatPr defaultRowHeight="14.4"/>
  <cols>
    <col min="1" max="1" width="5.5546875" style="3465" customWidth="1"/>
    <col min="2" max="2" width="37.44140625" style="3465" customWidth="1"/>
    <col min="3" max="3" width="12.44140625" style="3465" customWidth="1"/>
    <col min="4" max="4" width="12.5546875" style="3465" customWidth="1"/>
    <col min="5" max="6" width="12.77734375" style="3465" customWidth="1"/>
    <col min="7" max="7" width="13.44140625" style="3465" customWidth="1"/>
    <col min="8" max="8" width="13.44140625" customWidth="1"/>
  </cols>
  <sheetData>
    <row r="1" spans="1:11" s="3465" customFormat="1">
      <c r="B1" s="3468" t="s">
        <v>3415</v>
      </c>
      <c r="C1" s="3468" t="s">
        <v>3423</v>
      </c>
      <c r="D1" s="3468" t="s">
        <v>3412</v>
      </c>
      <c r="E1" s="3468" t="s">
        <v>3413</v>
      </c>
      <c r="F1" s="3468" t="s">
        <v>3416</v>
      </c>
      <c r="G1" s="3468" t="s">
        <v>3414</v>
      </c>
      <c r="H1" s="3468" t="s">
        <v>3417</v>
      </c>
      <c r="J1" s="3468" t="s">
        <v>3422</v>
      </c>
    </row>
    <row r="2" spans="1:11">
      <c r="A2" s="3465">
        <v>1</v>
      </c>
      <c r="B2" s="3468" t="s">
        <v>3430</v>
      </c>
      <c r="C2" s="3467">
        <v>45806</v>
      </c>
      <c r="D2" s="3465">
        <v>162.19999999999999</v>
      </c>
      <c r="E2" s="3465">
        <v>8854000</v>
      </c>
      <c r="F2" s="3465">
        <f>ROUND(E2/D2,0)</f>
        <v>54587</v>
      </c>
      <c r="G2" s="3465">
        <v>13506400</v>
      </c>
      <c r="H2" s="3465">
        <f>ROUND(G2/D2,0)</f>
        <v>83270</v>
      </c>
      <c r="I2" s="3466" t="s">
        <v>3419</v>
      </c>
    </row>
    <row r="3" spans="1:11">
      <c r="A3" s="3465">
        <v>2</v>
      </c>
      <c r="B3" s="3468" t="s">
        <v>3418</v>
      </c>
      <c r="C3" s="3467">
        <v>45776</v>
      </c>
      <c r="D3" s="3465">
        <v>227.34</v>
      </c>
      <c r="F3" s="3465">
        <f t="shared" ref="F3:F11" si="0">ROUND(E3/D3,0)</f>
        <v>0</v>
      </c>
      <c r="G3" s="3465">
        <v>21434914</v>
      </c>
      <c r="H3" s="3465">
        <f t="shared" ref="H3:H11" si="1">ROUND(G3/D3,0)</f>
        <v>94286</v>
      </c>
      <c r="I3" s="3466" t="s">
        <v>3421</v>
      </c>
      <c r="J3" s="3465">
        <v>12003552</v>
      </c>
      <c r="K3" s="3465">
        <f>ROUND(J3/D3,0)</f>
        <v>52800</v>
      </c>
    </row>
    <row r="4" spans="1:11">
      <c r="A4" s="3465">
        <v>3</v>
      </c>
      <c r="B4" s="3465" t="s">
        <v>3420</v>
      </c>
      <c r="C4" s="3467">
        <v>45776</v>
      </c>
      <c r="D4" s="3465">
        <v>227.34</v>
      </c>
      <c r="F4" s="3465">
        <f t="shared" si="0"/>
        <v>0</v>
      </c>
      <c r="G4" s="3465">
        <v>21434914</v>
      </c>
      <c r="H4" s="3465">
        <f t="shared" si="1"/>
        <v>94286</v>
      </c>
      <c r="I4" s="3466" t="s">
        <v>3421</v>
      </c>
      <c r="J4" s="3465">
        <v>12003552</v>
      </c>
      <c r="K4" s="3465">
        <f>ROUND(J4/D4,0)</f>
        <v>52800</v>
      </c>
    </row>
    <row r="5" spans="1:11">
      <c r="A5" s="3465">
        <v>4</v>
      </c>
      <c r="B5" s="3468" t="s">
        <v>3431</v>
      </c>
      <c r="C5" s="3467">
        <v>45696</v>
      </c>
      <c r="D5" s="3465">
        <v>135.53</v>
      </c>
      <c r="E5" s="3465">
        <v>8190000</v>
      </c>
      <c r="F5" s="3465">
        <f t="shared" si="0"/>
        <v>60429</v>
      </c>
      <c r="G5" s="3465">
        <v>11396700</v>
      </c>
      <c r="H5" s="3465">
        <f t="shared" si="1"/>
        <v>84090</v>
      </c>
    </row>
    <row r="6" spans="1:11">
      <c r="A6" s="3465">
        <v>5</v>
      </c>
      <c r="B6" s="3468" t="s">
        <v>3432</v>
      </c>
      <c r="C6" s="3467">
        <v>45696</v>
      </c>
      <c r="D6" s="3465">
        <v>162.19999999999999</v>
      </c>
      <c r="F6" s="3465">
        <f t="shared" si="0"/>
        <v>0</v>
      </c>
      <c r="G6" s="3465">
        <v>13506400</v>
      </c>
      <c r="H6" s="3465">
        <f t="shared" si="1"/>
        <v>83270</v>
      </c>
      <c r="I6" s="3466" t="s">
        <v>3424</v>
      </c>
      <c r="J6">
        <v>9455000</v>
      </c>
      <c r="K6" s="3465">
        <f>ROUND(J6/D6,0)</f>
        <v>58292</v>
      </c>
    </row>
    <row r="7" spans="1:11">
      <c r="A7" s="3465">
        <v>6</v>
      </c>
      <c r="B7" s="3468" t="s">
        <v>3425</v>
      </c>
      <c r="C7" s="3467">
        <v>45666</v>
      </c>
      <c r="D7" s="3465">
        <v>127.98</v>
      </c>
      <c r="E7" s="3465">
        <v>7813344</v>
      </c>
      <c r="F7" s="3465">
        <f t="shared" si="0"/>
        <v>61051</v>
      </c>
      <c r="G7" s="3465">
        <v>12066685</v>
      </c>
      <c r="H7" s="3465">
        <f t="shared" si="1"/>
        <v>94286</v>
      </c>
      <c r="I7" s="3466" t="s">
        <v>3426</v>
      </c>
    </row>
    <row r="8" spans="1:11">
      <c r="A8" s="3465">
        <v>7</v>
      </c>
      <c r="B8" s="3468" t="s">
        <v>3427</v>
      </c>
      <c r="C8" s="3467">
        <v>45676</v>
      </c>
      <c r="D8" s="3465">
        <v>141.78</v>
      </c>
      <c r="E8" s="3465">
        <v>8299984</v>
      </c>
      <c r="F8" s="3465">
        <f t="shared" si="0"/>
        <v>58541</v>
      </c>
      <c r="G8" s="3465">
        <v>13367828</v>
      </c>
      <c r="H8" s="3465">
        <f t="shared" si="1"/>
        <v>94286</v>
      </c>
      <c r="I8" s="3466" t="s">
        <v>3419</v>
      </c>
    </row>
    <row r="9" spans="1:11">
      <c r="A9" s="3465">
        <v>8</v>
      </c>
      <c r="B9" s="3468" t="s">
        <v>3428</v>
      </c>
      <c r="C9" s="3467">
        <v>45676</v>
      </c>
      <c r="D9" s="3465">
        <v>217.15</v>
      </c>
      <c r="E9" s="3465">
        <v>11750520</v>
      </c>
      <c r="F9" s="3465">
        <f t="shared" si="0"/>
        <v>54112</v>
      </c>
      <c r="G9" s="3465">
        <v>20474142</v>
      </c>
      <c r="H9" s="3465">
        <f t="shared" si="1"/>
        <v>94286</v>
      </c>
      <c r="I9" s="3466" t="s">
        <v>3419</v>
      </c>
    </row>
    <row r="10" spans="1:11">
      <c r="A10" s="3465">
        <v>9</v>
      </c>
      <c r="B10" s="3468" t="s">
        <v>3429</v>
      </c>
      <c r="C10" s="3467">
        <v>45676</v>
      </c>
      <c r="D10" s="3465">
        <v>227.34</v>
      </c>
      <c r="E10" s="3465">
        <v>12303552</v>
      </c>
      <c r="F10" s="3465">
        <f t="shared" si="0"/>
        <v>54120</v>
      </c>
      <c r="G10" s="3465">
        <v>21434914</v>
      </c>
      <c r="H10" s="3465">
        <f t="shared" si="1"/>
        <v>94286</v>
      </c>
      <c r="I10" s="3466" t="s">
        <v>3419</v>
      </c>
    </row>
    <row r="11" spans="1:11">
      <c r="A11" s="3465">
        <v>10</v>
      </c>
      <c r="B11" s="3468" t="s">
        <v>3433</v>
      </c>
      <c r="C11" s="3467">
        <v>45534</v>
      </c>
      <c r="D11" s="3465">
        <v>135.5</v>
      </c>
      <c r="E11" s="3465">
        <v>8031372.5199999996</v>
      </c>
      <c r="F11" s="3465">
        <f t="shared" si="0"/>
        <v>59272</v>
      </c>
      <c r="G11" s="3465">
        <v>10166294.33</v>
      </c>
      <c r="H11" s="3465">
        <f t="shared" si="1"/>
        <v>75028</v>
      </c>
      <c r="I11" s="3466" t="s">
        <v>3424</v>
      </c>
    </row>
    <row r="12" spans="1:11">
      <c r="C12" s="3467"/>
    </row>
    <row r="13" spans="1:11">
      <c r="C13" s="3467"/>
    </row>
    <row r="14" spans="1:11">
      <c r="C14" s="3467"/>
    </row>
    <row r="15" spans="1:11">
      <c r="A15" s="3468" t="s">
        <v>3479</v>
      </c>
      <c r="C15" s="3467"/>
    </row>
    <row r="16" spans="1:11">
      <c r="C16" s="3467"/>
    </row>
    <row r="17" spans="1:3">
      <c r="C17" s="3467"/>
    </row>
    <row r="24" spans="1:3">
      <c r="A24" s="3468" t="s">
        <v>3480</v>
      </c>
    </row>
    <row r="46" spans="1:1">
      <c r="A46" s="3468"/>
    </row>
    <row r="53" spans="1:1">
      <c r="A53" s="3468" t="s">
        <v>3481</v>
      </c>
    </row>
    <row r="134" spans="2:6">
      <c r="C134" s="3481" t="s">
        <v>3523</v>
      </c>
      <c r="D134" s="3481" t="s">
        <v>3524</v>
      </c>
      <c r="E134" s="3481" t="s">
        <v>3525</v>
      </c>
      <c r="F134" s="3481" t="s">
        <v>3526</v>
      </c>
    </row>
    <row r="135" spans="2:6">
      <c r="B135" s="3483" t="s">
        <v>3532</v>
      </c>
      <c r="C135" s="3482">
        <v>206</v>
      </c>
      <c r="D135" s="3481" t="s">
        <v>3528</v>
      </c>
      <c r="E135" s="3482">
        <v>141.78</v>
      </c>
      <c r="F135" s="3482">
        <f>[2]结果表!$G$20</f>
        <v>74654</v>
      </c>
    </row>
    <row r="136" spans="2:6">
      <c r="B136" s="3483" t="s">
        <v>3529</v>
      </c>
      <c r="C136" s="3482">
        <v>202</v>
      </c>
      <c r="D136" s="3481" t="s">
        <v>3527</v>
      </c>
      <c r="E136" s="3482">
        <v>164.94</v>
      </c>
      <c r="F136" s="3482">
        <f ca="1">结果表!G20</f>
        <v>73341</v>
      </c>
    </row>
    <row r="137" spans="2:6">
      <c r="B137" s="3483" t="s">
        <v>3531</v>
      </c>
      <c r="C137" s="3482">
        <v>205</v>
      </c>
      <c r="D137" s="3481" t="s">
        <v>3528</v>
      </c>
      <c r="E137" s="3482">
        <v>183.28</v>
      </c>
      <c r="F137" s="3482">
        <f>[3]结果表!$G$20</f>
        <v>72697</v>
      </c>
    </row>
    <row r="138" spans="2:6">
      <c r="B138" s="3483" t="s">
        <v>3530</v>
      </c>
      <c r="C138" s="3482">
        <v>204</v>
      </c>
      <c r="D138" s="3481" t="s">
        <v>3454</v>
      </c>
      <c r="E138" s="3482">
        <v>132.97999999999999</v>
      </c>
      <c r="F138" s="3482">
        <f>[4]结果表!$G$20</f>
        <v>68575</v>
      </c>
    </row>
  </sheetData>
  <sortState ref="B135:F138">
    <sortCondition descending="1" ref="F138"/>
  </sortState>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workbookViewId="0">
      <selection activeCell="B15" sqref="B15:F26"/>
    </sheetView>
  </sheetViews>
  <sheetFormatPr defaultRowHeight="14.4"/>
  <cols>
    <col min="1" max="1" width="18.88671875" customWidth="1"/>
    <col min="2" max="14" width="11.21875" customWidth="1"/>
  </cols>
  <sheetData>
    <row r="1" spans="1:14" s="3290" customFormat="1">
      <c r="A1" s="3742" t="s">
        <v>3434</v>
      </c>
      <c r="B1" s="3471"/>
      <c r="C1" s="3469">
        <v>45778.333831018521</v>
      </c>
      <c r="D1" s="3469">
        <v>45748.333831018521</v>
      </c>
      <c r="E1" s="3469">
        <v>45717.333831018521</v>
      </c>
      <c r="F1" s="3469">
        <v>45689.333831018521</v>
      </c>
      <c r="G1" s="3469">
        <v>45658.333831018521</v>
      </c>
      <c r="H1" s="3470">
        <v>45627.333831018521</v>
      </c>
      <c r="I1" s="3469">
        <v>45597.333831018521</v>
      </c>
      <c r="J1" s="3469">
        <v>45566.333831018521</v>
      </c>
      <c r="K1" s="3469">
        <v>45536.333831018521</v>
      </c>
      <c r="L1" s="3469">
        <v>45505.333831018521</v>
      </c>
      <c r="M1" s="3469">
        <v>45474.333831018521</v>
      </c>
      <c r="N1" s="3469">
        <v>45444.333831018521</v>
      </c>
    </row>
    <row r="2" spans="1:14" s="3471" customFormat="1">
      <c r="A2" s="3742"/>
      <c r="C2" s="3471" t="s">
        <v>3435</v>
      </c>
      <c r="D2" s="3471" t="s">
        <v>3435</v>
      </c>
      <c r="E2" s="3471" t="s">
        <v>3435</v>
      </c>
      <c r="F2" s="3471" t="s">
        <v>3435</v>
      </c>
      <c r="G2" s="3471" t="s">
        <v>3435</v>
      </c>
      <c r="H2" s="3471" t="s">
        <v>3435</v>
      </c>
      <c r="I2" s="3471" t="s">
        <v>3435</v>
      </c>
      <c r="J2" s="3471" t="s">
        <v>3435</v>
      </c>
      <c r="K2" s="3471" t="s">
        <v>3435</v>
      </c>
      <c r="L2" s="3471" t="s">
        <v>3435</v>
      </c>
      <c r="M2" s="3471" t="s">
        <v>3435</v>
      </c>
      <c r="N2" s="3471" t="s">
        <v>3435</v>
      </c>
    </row>
    <row r="3" spans="1:14" s="3471" customFormat="1">
      <c r="A3" s="3471" t="s">
        <v>3436</v>
      </c>
      <c r="B3" s="3472">
        <f>ROUND(AVERAGE(C3:N3),1)</f>
        <v>141.1</v>
      </c>
      <c r="C3" s="3471">
        <v>141.08000000000001</v>
      </c>
      <c r="D3" s="3471">
        <v>141.08000000000001</v>
      </c>
      <c r="E3" s="3471">
        <v>141.08000000000001</v>
      </c>
      <c r="F3" s="3471">
        <v>141.08000000000001</v>
      </c>
      <c r="G3" s="3471">
        <v>141.08000000000001</v>
      </c>
      <c r="H3" s="3471">
        <v>141.08000000000001</v>
      </c>
      <c r="I3" s="3471">
        <v>141.08000000000001</v>
      </c>
      <c r="J3" s="3471">
        <v>141.08000000000001</v>
      </c>
      <c r="K3" s="3471">
        <v>141.08000000000001</v>
      </c>
      <c r="L3" s="3471">
        <v>141.08000000000001</v>
      </c>
      <c r="M3" s="3471">
        <v>141.08000000000001</v>
      </c>
      <c r="N3" s="3471">
        <v>141.08000000000001</v>
      </c>
    </row>
    <row r="4" spans="1:14" s="3471" customFormat="1">
      <c r="A4" s="3471" t="s">
        <v>3437</v>
      </c>
      <c r="B4" s="3472">
        <f t="shared" ref="B4:B11" si="0">ROUND(AVERAGE(C4:N4),1)</f>
        <v>83</v>
      </c>
      <c r="C4" s="3471">
        <v>81.34</v>
      </c>
      <c r="D4" s="3471">
        <v>76.680000000000007</v>
      </c>
      <c r="E4" s="3471">
        <v>70.97</v>
      </c>
      <c r="F4" s="3471">
        <v>76.17</v>
      </c>
      <c r="G4" s="3471">
        <v>83.82</v>
      </c>
      <c r="H4" s="3471">
        <v>89.36</v>
      </c>
      <c r="I4" s="3471">
        <v>96.28</v>
      </c>
      <c r="J4" s="3471">
        <v>86.69</v>
      </c>
      <c r="K4" s="3471">
        <v>86</v>
      </c>
      <c r="L4" s="3471">
        <v>83.72</v>
      </c>
      <c r="M4" s="3471">
        <v>82.75</v>
      </c>
      <c r="N4" s="3471">
        <v>81.99</v>
      </c>
    </row>
    <row r="5" spans="1:14" s="3471" customFormat="1">
      <c r="A5" s="3471" t="s">
        <v>3438</v>
      </c>
      <c r="B5" s="3472">
        <f t="shared" si="0"/>
        <v>136.30000000000001</v>
      </c>
      <c r="C5" s="3471">
        <v>138.9</v>
      </c>
      <c r="D5" s="3471">
        <v>131.19</v>
      </c>
      <c r="E5" s="3471">
        <v>131.13999999999999</v>
      </c>
      <c r="F5" s="3471">
        <v>133.28</v>
      </c>
      <c r="G5" s="3471">
        <v>134.54</v>
      </c>
      <c r="H5" s="3471">
        <v>136.41999999999999</v>
      </c>
      <c r="I5" s="3471">
        <v>139.78</v>
      </c>
      <c r="J5" s="3471">
        <v>139.71</v>
      </c>
      <c r="K5" s="3471">
        <v>133.78</v>
      </c>
      <c r="L5" s="3471">
        <v>136.01</v>
      </c>
      <c r="M5" s="3471">
        <v>136.19999999999999</v>
      </c>
      <c r="N5" s="3471">
        <v>144.28</v>
      </c>
    </row>
    <row r="6" spans="1:14" s="3471" customFormat="1">
      <c r="A6" s="3471" t="s">
        <v>3440</v>
      </c>
      <c r="B6" s="3472">
        <f t="shared" si="0"/>
        <v>123.7</v>
      </c>
      <c r="C6" s="3471">
        <v>123.73</v>
      </c>
      <c r="D6" s="3471">
        <v>123.73</v>
      </c>
      <c r="E6" s="3471">
        <v>123.73</v>
      </c>
      <c r="F6" s="3471">
        <v>123.73</v>
      </c>
      <c r="G6" s="3471">
        <v>123.73</v>
      </c>
      <c r="H6" s="3471">
        <v>123.73</v>
      </c>
      <c r="I6" s="3471">
        <v>123.73</v>
      </c>
      <c r="J6" s="3471">
        <v>123.73</v>
      </c>
      <c r="K6" s="3471">
        <v>123.73</v>
      </c>
      <c r="L6" s="3471">
        <v>123.73</v>
      </c>
      <c r="M6" s="3471">
        <v>123.73</v>
      </c>
      <c r="N6" s="3471">
        <v>123.73</v>
      </c>
    </row>
    <row r="7" spans="1:14" s="3471" customFormat="1">
      <c r="A7" s="3471" t="s">
        <v>3441</v>
      </c>
      <c r="B7" s="3472">
        <f t="shared" si="0"/>
        <v>119.9</v>
      </c>
      <c r="C7" s="3471">
        <v>108.89</v>
      </c>
      <c r="D7" s="3471">
        <v>108.89</v>
      </c>
      <c r="E7" s="3471" t="s">
        <v>3439</v>
      </c>
      <c r="F7" s="3471">
        <v>108.89</v>
      </c>
      <c r="G7" s="3471">
        <v>108.89</v>
      </c>
      <c r="H7" s="3471">
        <v>126.22</v>
      </c>
      <c r="I7" s="3471">
        <v>126.22</v>
      </c>
      <c r="J7" s="3471">
        <v>126.22</v>
      </c>
      <c r="K7" s="3471">
        <v>126.22</v>
      </c>
      <c r="L7" s="3471">
        <v>126.22</v>
      </c>
      <c r="M7" s="3471">
        <v>126.22</v>
      </c>
      <c r="N7" s="3471">
        <v>126.22</v>
      </c>
    </row>
    <row r="8" spans="1:14" s="3471" customFormat="1">
      <c r="A8" s="3471" t="s">
        <v>3442</v>
      </c>
      <c r="B8" s="3472">
        <f t="shared" si="0"/>
        <v>109.1</v>
      </c>
      <c r="C8" s="3471">
        <v>119.24</v>
      </c>
      <c r="D8" s="3471">
        <v>116.27</v>
      </c>
      <c r="E8" s="3471">
        <v>111.54</v>
      </c>
      <c r="F8" s="3471">
        <v>107.86</v>
      </c>
      <c r="G8" s="3471">
        <v>98.77</v>
      </c>
      <c r="H8" s="3471">
        <v>96.59</v>
      </c>
      <c r="I8" s="3471">
        <v>101.9</v>
      </c>
      <c r="J8" s="3471">
        <v>116.05</v>
      </c>
      <c r="K8" s="3471">
        <v>117.86</v>
      </c>
      <c r="L8" s="3471">
        <v>108.47</v>
      </c>
      <c r="M8" s="3471">
        <v>108.3</v>
      </c>
      <c r="N8" s="3471">
        <v>106.3</v>
      </c>
    </row>
    <row r="9" spans="1:14" s="3471" customFormat="1">
      <c r="A9" s="3471" t="s">
        <v>3443</v>
      </c>
      <c r="B9" s="3472">
        <f t="shared" si="0"/>
        <v>160</v>
      </c>
      <c r="C9" s="3471">
        <v>160.02000000000001</v>
      </c>
      <c r="D9" s="3471">
        <v>160.02000000000001</v>
      </c>
      <c r="E9" s="3471">
        <v>160.02000000000001</v>
      </c>
      <c r="F9" s="3471">
        <v>160.02000000000001</v>
      </c>
      <c r="G9" s="3471">
        <v>160.02000000000001</v>
      </c>
      <c r="H9" s="3471">
        <v>160.02000000000001</v>
      </c>
      <c r="I9" s="3471">
        <v>160.02000000000001</v>
      </c>
      <c r="J9" s="3471">
        <v>160.02000000000001</v>
      </c>
      <c r="K9" s="3471">
        <v>160.02000000000001</v>
      </c>
      <c r="L9" s="3471">
        <v>160.02000000000001</v>
      </c>
      <c r="M9" s="3471">
        <v>160.02000000000001</v>
      </c>
      <c r="N9" s="3471">
        <v>160.02000000000001</v>
      </c>
    </row>
    <row r="10" spans="1:14" s="3471" customFormat="1">
      <c r="A10" s="3471" t="s">
        <v>3444</v>
      </c>
      <c r="B10" s="3472">
        <f t="shared" si="0"/>
        <v>171.6</v>
      </c>
      <c r="C10" s="3471">
        <v>161.72999999999999</v>
      </c>
      <c r="D10" s="3471">
        <v>165.84</v>
      </c>
      <c r="E10" s="3471">
        <v>172.3</v>
      </c>
      <c r="F10" s="3471">
        <v>173.25</v>
      </c>
      <c r="G10" s="3471">
        <v>173.95</v>
      </c>
      <c r="H10" s="3471">
        <v>178.49</v>
      </c>
      <c r="I10" s="3471">
        <v>167.17</v>
      </c>
      <c r="J10" s="3471">
        <v>175.99</v>
      </c>
      <c r="K10" s="3471">
        <v>175.31</v>
      </c>
      <c r="L10" s="3471">
        <v>168.97</v>
      </c>
      <c r="M10" s="3471">
        <v>171.03</v>
      </c>
      <c r="N10" s="3471">
        <v>175.34</v>
      </c>
    </row>
    <row r="11" spans="1:14" s="3471" customFormat="1">
      <c r="A11" s="3471" t="s">
        <v>3445</v>
      </c>
      <c r="B11" s="3472">
        <f t="shared" si="0"/>
        <v>86.2</v>
      </c>
      <c r="C11" s="3471">
        <v>86.21</v>
      </c>
      <c r="D11" s="3471">
        <v>86.21</v>
      </c>
      <c r="E11" s="3471">
        <v>86.21</v>
      </c>
      <c r="F11" s="3471">
        <v>86.21</v>
      </c>
      <c r="G11" s="3471">
        <v>86.21</v>
      </c>
      <c r="H11" s="3471">
        <v>86.21</v>
      </c>
      <c r="I11" s="3471">
        <v>86.21</v>
      </c>
      <c r="J11" s="3471">
        <v>86.21</v>
      </c>
      <c r="K11" s="3471">
        <v>86.21</v>
      </c>
      <c r="L11" s="3471">
        <v>86.21</v>
      </c>
      <c r="M11" s="3471">
        <v>86.21</v>
      </c>
      <c r="N11" s="3471">
        <v>86.21</v>
      </c>
    </row>
    <row r="15" spans="1:14">
      <c r="B15">
        <v>183</v>
      </c>
      <c r="C15" s="3466" t="s">
        <v>3454</v>
      </c>
      <c r="D15" s="3473" t="s">
        <v>3455</v>
      </c>
      <c r="E15">
        <v>23000</v>
      </c>
      <c r="F15">
        <f>ROUND(E15/B15,0)</f>
        <v>126</v>
      </c>
    </row>
    <row r="16" spans="1:14">
      <c r="B16">
        <v>165</v>
      </c>
      <c r="C16" s="3466" t="s">
        <v>3456</v>
      </c>
      <c r="D16" s="3473" t="s">
        <v>3457</v>
      </c>
      <c r="E16">
        <v>23500</v>
      </c>
      <c r="F16">
        <f t="shared" ref="F16:F26" si="1">ROUND(E16/B16,0)</f>
        <v>142</v>
      </c>
    </row>
    <row r="17" spans="2:6">
      <c r="B17">
        <v>165</v>
      </c>
      <c r="C17" s="3466" t="s">
        <v>3458</v>
      </c>
      <c r="D17" s="3473" t="s">
        <v>3459</v>
      </c>
      <c r="E17">
        <v>23000</v>
      </c>
      <c r="F17">
        <f t="shared" si="1"/>
        <v>139</v>
      </c>
    </row>
    <row r="18" spans="2:6">
      <c r="B18">
        <v>164</v>
      </c>
      <c r="C18" s="3466" t="s">
        <v>3461</v>
      </c>
      <c r="D18" s="3473" t="s">
        <v>3460</v>
      </c>
      <c r="E18">
        <v>23000</v>
      </c>
      <c r="F18">
        <f t="shared" si="1"/>
        <v>140</v>
      </c>
    </row>
    <row r="19" spans="2:6">
      <c r="B19">
        <v>164</v>
      </c>
      <c r="C19" s="3466" t="s">
        <v>3454</v>
      </c>
      <c r="D19" s="3473" t="s">
        <v>3462</v>
      </c>
      <c r="E19">
        <v>23500</v>
      </c>
      <c r="F19">
        <f t="shared" si="1"/>
        <v>143</v>
      </c>
    </row>
    <row r="20" spans="2:6">
      <c r="B20">
        <v>183</v>
      </c>
      <c r="C20" s="3466" t="s">
        <v>3454</v>
      </c>
      <c r="D20" s="3473" t="s">
        <v>3463</v>
      </c>
      <c r="E20">
        <v>24000</v>
      </c>
      <c r="F20">
        <f t="shared" si="1"/>
        <v>131</v>
      </c>
    </row>
    <row r="21" spans="2:6">
      <c r="B21">
        <v>227</v>
      </c>
      <c r="C21" s="3466" t="s">
        <v>3464</v>
      </c>
      <c r="D21" s="3473" t="s">
        <v>3465</v>
      </c>
      <c r="E21">
        <v>26000</v>
      </c>
      <c r="F21">
        <f t="shared" si="1"/>
        <v>115</v>
      </c>
    </row>
    <row r="22" spans="2:6">
      <c r="B22">
        <v>183</v>
      </c>
      <c r="C22" s="3466" t="s">
        <v>3454</v>
      </c>
      <c r="D22" s="3473" t="s">
        <v>3466</v>
      </c>
      <c r="E22">
        <v>25000</v>
      </c>
      <c r="F22">
        <f t="shared" si="1"/>
        <v>137</v>
      </c>
    </row>
    <row r="23" spans="2:6">
      <c r="B23">
        <v>187</v>
      </c>
      <c r="C23" s="3466" t="s">
        <v>3468</v>
      </c>
      <c r="D23" s="3473" t="s">
        <v>3467</v>
      </c>
      <c r="E23">
        <v>23000</v>
      </c>
      <c r="F23">
        <f t="shared" si="1"/>
        <v>123</v>
      </c>
    </row>
    <row r="24" spans="2:6">
      <c r="B24">
        <v>81</v>
      </c>
      <c r="C24" s="3466" t="s">
        <v>3461</v>
      </c>
      <c r="D24" s="3473" t="s">
        <v>3469</v>
      </c>
      <c r="E24">
        <v>15000</v>
      </c>
      <c r="F24">
        <f t="shared" si="1"/>
        <v>185</v>
      </c>
    </row>
    <row r="25" spans="2:6">
      <c r="B25">
        <v>168</v>
      </c>
      <c r="C25" s="3466" t="s">
        <v>3470</v>
      </c>
      <c r="D25" s="3473" t="s">
        <v>3469</v>
      </c>
      <c r="E25">
        <v>22000</v>
      </c>
      <c r="F25">
        <f t="shared" si="1"/>
        <v>131</v>
      </c>
    </row>
    <row r="26" spans="2:6">
      <c r="B26">
        <v>140</v>
      </c>
      <c r="C26" s="3466" t="s">
        <v>3471</v>
      </c>
      <c r="D26" s="3473" t="s">
        <v>3472</v>
      </c>
      <c r="E26">
        <v>22000</v>
      </c>
      <c r="F26">
        <f t="shared" si="1"/>
        <v>157</v>
      </c>
    </row>
    <row r="27" spans="2:6">
      <c r="D27" s="3474"/>
    </row>
    <row r="28" spans="2:6" ht="15.6" customHeight="1">
      <c r="D28" s="3474"/>
    </row>
    <row r="29" spans="2:6">
      <c r="D29" s="3474"/>
    </row>
    <row r="30" spans="2:6">
      <c r="D30" s="3474"/>
    </row>
    <row r="31" spans="2:6">
      <c r="D31" s="3474"/>
    </row>
    <row r="32" spans="2:6">
      <c r="D32" s="3474"/>
    </row>
  </sheetData>
  <mergeCells count="1">
    <mergeCell ref="A1:A2"/>
  </mergeCells>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164.94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14" t="s">
        <v>1770</v>
      </c>
      <c r="D4" s="3715"/>
      <c r="E4" s="3716" t="s">
        <v>1771</v>
      </c>
      <c r="F4" s="3717"/>
      <c r="G4" s="3714" t="s">
        <v>1772</v>
      </c>
      <c r="H4" s="3715"/>
      <c r="I4" s="3714" t="s">
        <v>1773</v>
      </c>
      <c r="J4" s="3715"/>
      <c r="K4" s="559" t="s">
        <v>1774</v>
      </c>
      <c r="L4" s="2715"/>
      <c r="M4" s="2716"/>
      <c r="N4" s="2716"/>
      <c r="O4" s="2716"/>
      <c r="P4" s="3718" t="s">
        <v>1775</v>
      </c>
      <c r="Q4" s="3719"/>
      <c r="R4" s="3724" t="s">
        <v>1771</v>
      </c>
      <c r="S4" s="3725"/>
      <c r="T4" s="3724" t="s">
        <v>1772</v>
      </c>
      <c r="U4" s="3725"/>
      <c r="V4" s="3730" t="s">
        <v>1773</v>
      </c>
      <c r="W4" s="3730"/>
      <c r="X4" s="1355"/>
      <c r="Y4" s="3724" t="s">
        <v>1775</v>
      </c>
      <c r="Z4" s="3725"/>
      <c r="AA4" s="3711" t="s">
        <v>1771</v>
      </c>
      <c r="AB4" s="3730" t="s">
        <v>1772</v>
      </c>
      <c r="AC4" s="3711" t="s">
        <v>1773</v>
      </c>
    </row>
    <row r="5" spans="1:29">
      <c r="A5" s="358"/>
      <c r="B5" s="359"/>
      <c r="C5" s="3733" t="s">
        <v>1673</v>
      </c>
      <c r="D5" s="3734"/>
      <c r="E5" s="3744" t="s">
        <v>1674</v>
      </c>
      <c r="F5" s="3741"/>
      <c r="G5" s="3733" t="s">
        <v>1675</v>
      </c>
      <c r="H5" s="3734"/>
      <c r="I5" s="3733" t="s">
        <v>1676</v>
      </c>
      <c r="J5" s="3734"/>
      <c r="K5" s="559"/>
      <c r="L5" s="2715"/>
      <c r="M5" s="2716"/>
      <c r="N5" s="2716"/>
      <c r="O5" s="2716"/>
      <c r="P5" s="3720"/>
      <c r="Q5" s="3721"/>
      <c r="R5" s="3726"/>
      <c r="S5" s="3727"/>
      <c r="T5" s="3726"/>
      <c r="U5" s="3727"/>
      <c r="V5" s="3730"/>
      <c r="W5" s="3730"/>
      <c r="X5" s="1355"/>
      <c r="Y5" s="3726"/>
      <c r="Z5" s="3727"/>
      <c r="AA5" s="3712"/>
      <c r="AB5" s="3730"/>
      <c r="AC5" s="3712"/>
    </row>
    <row r="6" spans="1:29" ht="15" thickBot="1">
      <c r="A6" s="360"/>
      <c r="B6" s="361"/>
      <c r="C6" s="3731" t="s">
        <v>1677</v>
      </c>
      <c r="D6" s="3732"/>
      <c r="E6" s="3743" t="s">
        <v>1677</v>
      </c>
      <c r="F6" s="3739"/>
      <c r="G6" s="3731" t="s">
        <v>1677</v>
      </c>
      <c r="H6" s="3732"/>
      <c r="I6" s="3731" t="s">
        <v>1677</v>
      </c>
      <c r="J6" s="3732"/>
      <c r="K6" s="559" t="s">
        <v>1678</v>
      </c>
      <c r="L6" s="2715"/>
      <c r="M6" s="2716"/>
      <c r="N6" s="2716"/>
      <c r="O6" s="2716"/>
      <c r="P6" s="3722"/>
      <c r="Q6" s="3723"/>
      <c r="R6" s="3726"/>
      <c r="S6" s="3727"/>
      <c r="T6" s="3728"/>
      <c r="U6" s="3729"/>
      <c r="V6" s="3730"/>
      <c r="W6" s="3730"/>
      <c r="X6" s="1355"/>
      <c r="Y6" s="3728"/>
      <c r="Z6" s="3729"/>
      <c r="AA6" s="3713"/>
      <c r="AB6" s="3730"/>
      <c r="AC6" s="3713"/>
    </row>
    <row r="7" spans="1:29" s="108" customFormat="1" ht="15" thickBot="1">
      <c r="A7" s="362" t="s">
        <v>1679</v>
      </c>
      <c r="B7" s="363"/>
      <c r="C7" s="364">
        <f>'数据-取费表'!B2</f>
        <v>45828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5" t="s">
        <v>1680</v>
      </c>
      <c r="Q7" s="3737"/>
      <c r="R7" s="701" t="s">
        <v>14</v>
      </c>
      <c r="S7" s="702">
        <f t="shared" ref="S7:S15" si="0">F7</f>
        <v>0</v>
      </c>
      <c r="T7" s="701" t="s">
        <v>14</v>
      </c>
      <c r="U7" s="702">
        <f t="shared" ref="U7:U15" si="1">H7</f>
        <v>0</v>
      </c>
      <c r="V7" s="701" t="s">
        <v>14</v>
      </c>
      <c r="W7" s="702">
        <f t="shared" ref="W7:W15" si="2">J7</f>
        <v>0</v>
      </c>
      <c r="X7" s="703"/>
      <c r="Y7" s="3735" t="s">
        <v>1680</v>
      </c>
      <c r="Z7" s="3736"/>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5" t="s">
        <v>1683</v>
      </c>
      <c r="Q8" s="3736"/>
      <c r="R8" s="701" t="s">
        <v>14</v>
      </c>
      <c r="S8" s="702">
        <f t="shared" si="0"/>
        <v>100</v>
      </c>
      <c r="T8" s="701" t="s">
        <v>14</v>
      </c>
      <c r="U8" s="702">
        <f t="shared" si="1"/>
        <v>100</v>
      </c>
      <c r="V8" s="701" t="s">
        <v>14</v>
      </c>
      <c r="W8" s="702">
        <f t="shared" si="2"/>
        <v>100</v>
      </c>
      <c r="X8" s="703"/>
      <c r="Y8" s="3735" t="s">
        <v>1683</v>
      </c>
      <c r="Z8" s="3736"/>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10"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10"/>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10"/>
      <c r="Q11" s="1343" t="str">
        <f t="shared" si="6"/>
        <v>容积率</v>
      </c>
      <c r="R11" s="701" t="s">
        <v>14</v>
      </c>
      <c r="S11" s="702" t="e">
        <f t="shared" si="0"/>
        <v>#N/A</v>
      </c>
      <c r="T11" s="701" t="s">
        <v>14</v>
      </c>
      <c r="U11" s="702" t="e">
        <f t="shared" si="1"/>
        <v>#N/A</v>
      </c>
      <c r="V11" s="701" t="s">
        <v>14</v>
      </c>
      <c r="W11" s="702" t="e">
        <f t="shared" si="2"/>
        <v>#N/A</v>
      </c>
      <c r="X11" s="703"/>
      <c r="Y11" s="357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0"/>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0"/>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0"/>
      <c r="Q14" s="1343">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8" t="s">
        <v>1691</v>
      </c>
      <c r="Q15" s="1352" t="str">
        <f t="shared" si="6"/>
        <v>商业繁华度</v>
      </c>
      <c r="R15" s="705" t="s">
        <v>14</v>
      </c>
      <c r="S15" s="706">
        <f t="shared" si="0"/>
        <v>100</v>
      </c>
      <c r="T15" s="705" t="s">
        <v>14</v>
      </c>
      <c r="U15" s="706">
        <f t="shared" si="1"/>
        <v>100</v>
      </c>
      <c r="V15" s="705" t="s">
        <v>14</v>
      </c>
      <c r="W15" s="706">
        <f t="shared" si="2"/>
        <v>100</v>
      </c>
      <c r="X15" s="1355"/>
      <c r="Y15" s="370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9"/>
      <c r="Q16" s="1352"/>
      <c r="R16" s="705"/>
      <c r="S16" s="706"/>
      <c r="T16" s="705"/>
      <c r="U16" s="706"/>
      <c r="V16" s="705"/>
      <c r="W16" s="706"/>
      <c r="X16" s="1355"/>
      <c r="Y16" s="3702"/>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9"/>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9"/>
      <c r="Q18" s="1352"/>
      <c r="R18" s="705"/>
      <c r="S18" s="706"/>
      <c r="T18" s="705"/>
      <c r="U18" s="706"/>
      <c r="V18" s="705"/>
      <c r="W18" s="706"/>
      <c r="X18" s="1355"/>
      <c r="Y18" s="3702"/>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9"/>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9"/>
      <c r="Q20" s="1352"/>
      <c r="R20" s="705"/>
      <c r="S20" s="706"/>
      <c r="T20" s="705"/>
      <c r="U20" s="706"/>
      <c r="V20" s="705"/>
      <c r="W20" s="706"/>
      <c r="X20" s="1355"/>
      <c r="Y20" s="3702"/>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9"/>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9"/>
      <c r="Q22" s="1352"/>
      <c r="R22" s="705"/>
      <c r="S22" s="706"/>
      <c r="T22" s="705"/>
      <c r="U22" s="706"/>
      <c r="V22" s="705"/>
      <c r="W22" s="706"/>
      <c r="X22" s="1355"/>
      <c r="Y22" s="3702"/>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9"/>
      <c r="Q23" s="1352" t="str">
        <f>B23</f>
        <v>自然及人文环境</v>
      </c>
      <c r="R23" s="705" t="s">
        <v>14</v>
      </c>
      <c r="S23" s="706">
        <f>F23</f>
        <v>100</v>
      </c>
      <c r="T23" s="705" t="s">
        <v>14</v>
      </c>
      <c r="U23" s="706">
        <f>H23</f>
        <v>100</v>
      </c>
      <c r="V23" s="705" t="s">
        <v>14</v>
      </c>
      <c r="W23" s="706">
        <f>J23</f>
        <v>100</v>
      </c>
      <c r="X23" s="1355"/>
      <c r="Y23" s="370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9"/>
      <c r="Q24" s="1352"/>
      <c r="R24" s="705"/>
      <c r="S24" s="706"/>
      <c r="T24" s="705"/>
      <c r="U24" s="706"/>
      <c r="V24" s="705"/>
      <c r="W24" s="706"/>
      <c r="X24" s="1355"/>
      <c r="Y24" s="370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9"/>
      <c r="Q25" s="1352" t="str">
        <f t="shared" ref="Q25:Q46" si="11">B25</f>
        <v>临街状况</v>
      </c>
      <c r="R25" s="705" t="s">
        <v>14</v>
      </c>
      <c r="S25" s="706">
        <f>F25</f>
        <v>100</v>
      </c>
      <c r="T25" s="705" t="s">
        <v>14</v>
      </c>
      <c r="U25" s="706">
        <f>H25</f>
        <v>100</v>
      </c>
      <c r="V25" s="705" t="s">
        <v>14</v>
      </c>
      <c r="W25" s="706">
        <f>J25</f>
        <v>100</v>
      </c>
      <c r="X25" s="1355"/>
      <c r="Y25" s="370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9"/>
      <c r="Q26" s="1352" t="str">
        <f t="shared" si="11"/>
        <v>平面位置/可视性</v>
      </c>
      <c r="R26" s="705" t="s">
        <v>14</v>
      </c>
      <c r="S26" s="706">
        <f>F26</f>
        <v>100</v>
      </c>
      <c r="T26" s="705" t="s">
        <v>14</v>
      </c>
      <c r="U26" s="706">
        <f>H26</f>
        <v>100</v>
      </c>
      <c r="V26" s="705" t="s">
        <v>14</v>
      </c>
      <c r="W26" s="706">
        <f>J26</f>
        <v>100</v>
      </c>
      <c r="X26" s="1355"/>
      <c r="Y26" s="370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9"/>
      <c r="Q27" s="1343" t="str">
        <f t="shared" si="11"/>
        <v>人流量</v>
      </c>
      <c r="R27" s="701" t="s">
        <v>14</v>
      </c>
      <c r="S27" s="702">
        <f>F27</f>
        <v>100</v>
      </c>
      <c r="T27" s="701" t="s">
        <v>14</v>
      </c>
      <c r="U27" s="702">
        <f>H27</f>
        <v>100</v>
      </c>
      <c r="V27" s="701" t="s">
        <v>14</v>
      </c>
      <c r="W27" s="702">
        <f>J27</f>
        <v>100</v>
      </c>
      <c r="X27" s="703"/>
      <c r="Y27" s="370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9"/>
      <c r="Q29" s="1352">
        <f t="shared" si="11"/>
        <v>111</v>
      </c>
      <c r="R29" s="705" t="s">
        <v>14</v>
      </c>
      <c r="S29" s="706">
        <f t="shared" si="12"/>
        <v>100</v>
      </c>
      <c r="T29" s="705" t="s">
        <v>14</v>
      </c>
      <c r="U29" s="706">
        <f t="shared" si="13"/>
        <v>100</v>
      </c>
      <c r="V29" s="705" t="s">
        <v>14</v>
      </c>
      <c r="W29" s="706">
        <f t="shared" si="14"/>
        <v>100</v>
      </c>
      <c r="X29" s="1355"/>
      <c r="Y29" s="370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9"/>
      <c r="Q30" s="1352">
        <f t="shared" si="11"/>
        <v>111</v>
      </c>
      <c r="R30" s="705" t="s">
        <v>14</v>
      </c>
      <c r="S30" s="706">
        <f t="shared" si="12"/>
        <v>100</v>
      </c>
      <c r="T30" s="705" t="s">
        <v>14</v>
      </c>
      <c r="U30" s="706">
        <f t="shared" si="13"/>
        <v>100</v>
      </c>
      <c r="V30" s="705" t="s">
        <v>14</v>
      </c>
      <c r="W30" s="706">
        <f t="shared" si="14"/>
        <v>100</v>
      </c>
      <c r="X30" s="1355"/>
      <c r="Y30" s="3702"/>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9"/>
      <c r="Q31" s="1352">
        <f t="shared" si="11"/>
        <v>111</v>
      </c>
      <c r="R31" s="705" t="s">
        <v>14</v>
      </c>
      <c r="S31" s="706">
        <f t="shared" si="12"/>
        <v>100</v>
      </c>
      <c r="T31" s="705" t="s">
        <v>14</v>
      </c>
      <c r="U31" s="706">
        <f t="shared" si="13"/>
        <v>100</v>
      </c>
      <c r="V31" s="705" t="s">
        <v>14</v>
      </c>
      <c r="W31" s="706">
        <f t="shared" si="14"/>
        <v>100</v>
      </c>
      <c r="X31" s="1355"/>
      <c r="Y31" s="370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3" t="s">
        <v>1696</v>
      </c>
      <c r="Q32" s="1352" t="str">
        <f t="shared" si="11"/>
        <v>商业类型</v>
      </c>
      <c r="R32" s="705" t="s">
        <v>14</v>
      </c>
      <c r="S32" s="706">
        <f t="shared" si="12"/>
        <v>100</v>
      </c>
      <c r="T32" s="705" t="s">
        <v>14</v>
      </c>
      <c r="U32" s="706">
        <f t="shared" si="13"/>
        <v>100</v>
      </c>
      <c r="V32" s="705" t="s">
        <v>14</v>
      </c>
      <c r="W32" s="706">
        <f t="shared" si="14"/>
        <v>100</v>
      </c>
      <c r="X32" s="1355"/>
      <c r="Y32" s="370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4"/>
      <c r="Q33" s="707" t="str">
        <f t="shared" si="11"/>
        <v>项目建筑规模</v>
      </c>
      <c r="R33" s="708" t="s">
        <v>14</v>
      </c>
      <c r="S33" s="709" t="e">
        <f t="shared" si="12"/>
        <v>#N/A</v>
      </c>
      <c r="T33" s="708" t="s">
        <v>14</v>
      </c>
      <c r="U33" s="709" t="e">
        <f t="shared" si="13"/>
        <v>#N/A</v>
      </c>
      <c r="V33" s="708" t="s">
        <v>14</v>
      </c>
      <c r="W33" s="709" t="e">
        <f t="shared" si="14"/>
        <v>#N/A</v>
      </c>
      <c r="X33" s="710"/>
      <c r="Y33" s="370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4"/>
      <c r="Q34" s="1352" t="str">
        <f t="shared" si="11"/>
        <v>建筑结构</v>
      </c>
      <c r="R34" s="705" t="s">
        <v>14</v>
      </c>
      <c r="S34" s="706">
        <f t="shared" si="12"/>
        <v>100</v>
      </c>
      <c r="T34" s="705" t="s">
        <v>14</v>
      </c>
      <c r="U34" s="706">
        <f t="shared" si="13"/>
        <v>100</v>
      </c>
      <c r="V34" s="705" t="s">
        <v>14</v>
      </c>
      <c r="W34" s="706">
        <f t="shared" si="14"/>
        <v>100</v>
      </c>
      <c r="X34" s="1355"/>
      <c r="Y34" s="370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4"/>
      <c r="Q35" s="1352" t="str">
        <f t="shared" si="11"/>
        <v>公共部分装修</v>
      </c>
      <c r="R35" s="705" t="s">
        <v>14</v>
      </c>
      <c r="S35" s="706">
        <f t="shared" si="12"/>
        <v>100</v>
      </c>
      <c r="T35" s="705" t="s">
        <v>14</v>
      </c>
      <c r="U35" s="706">
        <f t="shared" si="13"/>
        <v>100</v>
      </c>
      <c r="V35" s="705" t="s">
        <v>14</v>
      </c>
      <c r="W35" s="706">
        <f t="shared" si="14"/>
        <v>100</v>
      </c>
      <c r="X35" s="1355"/>
      <c r="Y35" s="370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4"/>
      <c r="Q36" s="1352" t="str">
        <f t="shared" si="11"/>
        <v>成新度</v>
      </c>
      <c r="R36" s="705" t="s">
        <v>14</v>
      </c>
      <c r="S36" s="706" t="e">
        <f t="shared" si="12"/>
        <v>#N/A</v>
      </c>
      <c r="T36" s="705" t="s">
        <v>14</v>
      </c>
      <c r="U36" s="706" t="e">
        <f t="shared" si="13"/>
        <v>#N/A</v>
      </c>
      <c r="V36" s="705" t="s">
        <v>14</v>
      </c>
      <c r="W36" s="706" t="e">
        <f t="shared" si="14"/>
        <v>#N/A</v>
      </c>
      <c r="X36" s="1355"/>
      <c r="Y36" s="370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4"/>
      <c r="Q37" s="1343" t="str">
        <f t="shared" si="11"/>
        <v>市政基础设施</v>
      </c>
      <c r="R37" s="701" t="s">
        <v>14</v>
      </c>
      <c r="S37" s="702">
        <f t="shared" si="12"/>
        <v>100</v>
      </c>
      <c r="T37" s="701" t="s">
        <v>14</v>
      </c>
      <c r="U37" s="702">
        <f t="shared" si="13"/>
        <v>100</v>
      </c>
      <c r="V37" s="701" t="s">
        <v>14</v>
      </c>
      <c r="W37" s="702">
        <f t="shared" si="14"/>
        <v>100</v>
      </c>
      <c r="X37" s="703"/>
      <c r="Y37" s="370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4" t="s">
        <v>1696</v>
      </c>
      <c r="Q38" s="1352" t="str">
        <f t="shared" si="11"/>
        <v>业态</v>
      </c>
      <c r="R38" s="705" t="s">
        <v>14</v>
      </c>
      <c r="S38" s="706">
        <f t="shared" si="12"/>
        <v>100</v>
      </c>
      <c r="T38" s="705" t="s">
        <v>14</v>
      </c>
      <c r="U38" s="706">
        <f t="shared" si="13"/>
        <v>100</v>
      </c>
      <c r="V38" s="705" t="s">
        <v>14</v>
      </c>
      <c r="W38" s="706">
        <f t="shared" si="14"/>
        <v>100</v>
      </c>
      <c r="X38" s="1355"/>
      <c r="Y38" s="370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4"/>
      <c r="Q39" s="1352" t="str">
        <f t="shared" si="11"/>
        <v>层高</v>
      </c>
      <c r="R39" s="705" t="s">
        <v>14</v>
      </c>
      <c r="S39" s="706">
        <f t="shared" si="12"/>
        <v>100</v>
      </c>
      <c r="T39" s="705" t="s">
        <v>14</v>
      </c>
      <c r="U39" s="706">
        <f t="shared" si="13"/>
        <v>100</v>
      </c>
      <c r="V39" s="705" t="s">
        <v>14</v>
      </c>
      <c r="W39" s="706">
        <f t="shared" si="14"/>
        <v>100</v>
      </c>
      <c r="X39" s="1355"/>
      <c r="Y39" s="370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4"/>
      <c r="Q40" s="1352" t="str">
        <f t="shared" si="11"/>
        <v>单套建筑面积</v>
      </c>
      <c r="R40" s="705" t="s">
        <v>14</v>
      </c>
      <c r="S40" s="706">
        <f t="shared" si="12"/>
        <v>100</v>
      </c>
      <c r="T40" s="705" t="s">
        <v>14</v>
      </c>
      <c r="U40" s="706">
        <f t="shared" si="13"/>
        <v>100</v>
      </c>
      <c r="V40" s="705" t="s">
        <v>14</v>
      </c>
      <c r="W40" s="706">
        <f t="shared" si="14"/>
        <v>100</v>
      </c>
      <c r="X40" s="1355"/>
      <c r="Y40" s="370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4"/>
      <c r="Q41" s="707" t="str">
        <f t="shared" si="11"/>
        <v>进深比</v>
      </c>
      <c r="R41" s="708" t="s">
        <v>14</v>
      </c>
      <c r="S41" s="709">
        <f t="shared" si="12"/>
        <v>100</v>
      </c>
      <c r="T41" s="708" t="s">
        <v>14</v>
      </c>
      <c r="U41" s="709">
        <f t="shared" si="13"/>
        <v>100</v>
      </c>
      <c r="V41" s="708" t="s">
        <v>14</v>
      </c>
      <c r="W41" s="709">
        <f t="shared" si="14"/>
        <v>100</v>
      </c>
      <c r="X41" s="710"/>
      <c r="Y41" s="370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4"/>
      <c r="Q42" s="1352" t="str">
        <f t="shared" si="11"/>
        <v>内部装修</v>
      </c>
      <c r="R42" s="705" t="s">
        <v>14</v>
      </c>
      <c r="S42" s="706">
        <f t="shared" si="12"/>
        <v>100</v>
      </c>
      <c r="T42" s="705" t="s">
        <v>14</v>
      </c>
      <c r="U42" s="706">
        <f t="shared" si="13"/>
        <v>100</v>
      </c>
      <c r="V42" s="705" t="s">
        <v>14</v>
      </c>
      <c r="W42" s="706">
        <f t="shared" si="14"/>
        <v>100</v>
      </c>
      <c r="X42" s="1355"/>
      <c r="Y42" s="3706"/>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4"/>
      <c r="Q43" s="1352" t="str">
        <f t="shared" si="11"/>
        <v>内部装修维护情况</v>
      </c>
      <c r="R43" s="705" t="s">
        <v>14</v>
      </c>
      <c r="S43" s="706">
        <f t="shared" si="12"/>
        <v>100</v>
      </c>
      <c r="T43" s="705" t="s">
        <v>14</v>
      </c>
      <c r="U43" s="706">
        <f t="shared" si="13"/>
        <v>100</v>
      </c>
      <c r="V43" s="705" t="s">
        <v>14</v>
      </c>
      <c r="W43" s="706">
        <f t="shared" si="14"/>
        <v>100</v>
      </c>
      <c r="X43" s="1355"/>
      <c r="Y43" s="370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4"/>
      <c r="Q44" s="1343">
        <f t="shared" si="11"/>
        <v>111</v>
      </c>
      <c r="R44" s="701" t="s">
        <v>14</v>
      </c>
      <c r="S44" s="702">
        <f t="shared" si="12"/>
        <v>100</v>
      </c>
      <c r="T44" s="701" t="s">
        <v>14</v>
      </c>
      <c r="U44" s="702">
        <f t="shared" si="13"/>
        <v>100</v>
      </c>
      <c r="V44" s="701" t="s">
        <v>14</v>
      </c>
      <c r="W44" s="702">
        <f t="shared" si="14"/>
        <v>100</v>
      </c>
      <c r="X44" s="703"/>
      <c r="Y44" s="370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4"/>
      <c r="Q45" s="1352">
        <f t="shared" si="11"/>
        <v>111</v>
      </c>
      <c r="R45" s="705" t="s">
        <v>14</v>
      </c>
      <c r="S45" s="706">
        <f t="shared" si="12"/>
        <v>100</v>
      </c>
      <c r="T45" s="705" t="s">
        <v>14</v>
      </c>
      <c r="U45" s="706">
        <f t="shared" si="13"/>
        <v>100</v>
      </c>
      <c r="V45" s="705" t="s">
        <v>14</v>
      </c>
      <c r="W45" s="706">
        <f t="shared" si="14"/>
        <v>100</v>
      </c>
      <c r="X45" s="1355"/>
      <c r="Y45" s="3706"/>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5"/>
      <c r="Q46" s="1352">
        <f t="shared" si="11"/>
        <v>111</v>
      </c>
      <c r="R46" s="705" t="s">
        <v>14</v>
      </c>
      <c r="S46" s="706">
        <f t="shared" si="12"/>
        <v>100</v>
      </c>
      <c r="T46" s="705" t="s">
        <v>14</v>
      </c>
      <c r="U46" s="706">
        <f t="shared" si="13"/>
        <v>100</v>
      </c>
      <c r="V46" s="705" t="s">
        <v>14</v>
      </c>
      <c r="W46" s="706">
        <f t="shared" si="14"/>
        <v>100</v>
      </c>
      <c r="X46" s="1355"/>
      <c r="Y46" s="3707"/>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699" t="str">
        <f>A47</f>
        <v>成交单价（元/平方米）</v>
      </c>
      <c r="Q47" s="3699"/>
      <c r="R47" s="3730">
        <f>E47</f>
        <v>0</v>
      </c>
      <c r="S47" s="3730"/>
      <c r="T47" s="3730">
        <f>G47</f>
        <v>0</v>
      </c>
      <c r="U47" s="3730"/>
      <c r="V47" s="3730">
        <f>I47</f>
        <v>0</v>
      </c>
      <c r="W47" s="3730"/>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2025-6</v>
      </c>
      <c r="D58" s="1185">
        <f>EDATE(C58,-1)</f>
        <v>45778</v>
      </c>
      <c r="E58" s="1185">
        <f t="shared" ref="E58:N58" si="16">EDATE(D58,-1)</f>
        <v>45748</v>
      </c>
      <c r="F58" s="1185">
        <f t="shared" si="16"/>
        <v>45717</v>
      </c>
      <c r="G58" s="1185">
        <f t="shared" si="16"/>
        <v>45689</v>
      </c>
      <c r="H58" s="1185">
        <f t="shared" si="16"/>
        <v>45658</v>
      </c>
      <c r="I58" s="1185">
        <f t="shared" si="16"/>
        <v>45627</v>
      </c>
      <c r="J58" s="1185">
        <f t="shared" si="16"/>
        <v>45597</v>
      </c>
      <c r="K58" s="1185">
        <f t="shared" si="16"/>
        <v>45566</v>
      </c>
      <c r="L58" s="1185">
        <f t="shared" si="16"/>
        <v>45536</v>
      </c>
      <c r="M58" s="1185">
        <f t="shared" si="16"/>
        <v>45505</v>
      </c>
      <c r="N58" s="1185">
        <f t="shared" si="16"/>
        <v>45474</v>
      </c>
      <c r="O58" s="1185">
        <f>EDATE(N58,-1)</f>
        <v>45444</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估价对象为北京市房地产，为所有。根据《国有土地使用证》[]，估价对象（分摊）出让国有建设用地使用权面积为0平方米，建筑面积为164.94平方米。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估价对象为北京市房地产,属开发建设的，该项目尚在开发建设中。根据《国有土地使用证》[]，估价对象（分摊）出让国有建设用地使用权面积为0平方米，规划建筑面积为164.94平方米。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2025年6月20日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164.94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14" t="s">
        <v>1770</v>
      </c>
      <c r="D4" s="3715"/>
      <c r="E4" s="3716" t="s">
        <v>1771</v>
      </c>
      <c r="F4" s="3717"/>
      <c r="G4" s="3714" t="s">
        <v>1772</v>
      </c>
      <c r="H4" s="3715"/>
      <c r="I4" s="3714" t="s">
        <v>1773</v>
      </c>
      <c r="J4" s="3715"/>
      <c r="K4" s="559" t="s">
        <v>1774</v>
      </c>
      <c r="L4" s="2715"/>
      <c r="M4" s="2716"/>
      <c r="N4" s="2716"/>
      <c r="O4" s="2716"/>
      <c r="P4" s="3751" t="s">
        <v>1775</v>
      </c>
      <c r="Q4" s="3752"/>
      <c r="R4" s="3755" t="s">
        <v>1771</v>
      </c>
      <c r="S4" s="3756"/>
      <c r="T4" s="3755" t="s">
        <v>1772</v>
      </c>
      <c r="U4" s="3756"/>
      <c r="V4" s="3757" t="s">
        <v>1773</v>
      </c>
      <c r="W4" s="3757"/>
      <c r="X4" s="1958"/>
      <c r="Y4" s="3755" t="s">
        <v>1775</v>
      </c>
      <c r="Z4" s="3756"/>
      <c r="AA4" s="3759" t="s">
        <v>1771</v>
      </c>
      <c r="AB4" s="3759" t="s">
        <v>1772</v>
      </c>
      <c r="AC4" s="3748" t="s">
        <v>1773</v>
      </c>
    </row>
    <row r="5" spans="1:29">
      <c r="A5" s="358"/>
      <c r="B5" s="359"/>
      <c r="C5" s="3733" t="s">
        <v>1673</v>
      </c>
      <c r="D5" s="3734"/>
      <c r="E5" s="3744" t="s">
        <v>1674</v>
      </c>
      <c r="F5" s="3741"/>
      <c r="G5" s="3733" t="s">
        <v>1675</v>
      </c>
      <c r="H5" s="3734"/>
      <c r="I5" s="3733" t="s">
        <v>1676</v>
      </c>
      <c r="J5" s="3734"/>
      <c r="K5" s="559"/>
      <c r="L5" s="2715"/>
      <c r="M5" s="2716"/>
      <c r="N5" s="2716"/>
      <c r="O5" s="2716"/>
      <c r="P5" s="3753"/>
      <c r="Q5" s="3721"/>
      <c r="R5" s="3726"/>
      <c r="S5" s="3727"/>
      <c r="T5" s="3726"/>
      <c r="U5" s="3727"/>
      <c r="V5" s="3730"/>
      <c r="W5" s="3730"/>
      <c r="X5" s="1355"/>
      <c r="Y5" s="3726"/>
      <c r="Z5" s="3727"/>
      <c r="AA5" s="3712"/>
      <c r="AB5" s="3712"/>
      <c r="AC5" s="3749"/>
    </row>
    <row r="6" spans="1:29" ht="15" thickBot="1">
      <c r="A6" s="360"/>
      <c r="B6" s="361"/>
      <c r="C6" s="3731" t="s">
        <v>1677</v>
      </c>
      <c r="D6" s="3732"/>
      <c r="E6" s="3743" t="s">
        <v>1677</v>
      </c>
      <c r="F6" s="3739"/>
      <c r="G6" s="3731" t="s">
        <v>1677</v>
      </c>
      <c r="H6" s="3732"/>
      <c r="I6" s="3731" t="s">
        <v>1677</v>
      </c>
      <c r="J6" s="3732"/>
      <c r="K6" s="559" t="s">
        <v>1678</v>
      </c>
      <c r="L6" s="2715"/>
      <c r="M6" s="2716"/>
      <c r="N6" s="2716"/>
      <c r="O6" s="2716"/>
      <c r="P6" s="3754"/>
      <c r="Q6" s="3723"/>
      <c r="R6" s="3726"/>
      <c r="S6" s="3727"/>
      <c r="T6" s="3728"/>
      <c r="U6" s="3729"/>
      <c r="V6" s="3730"/>
      <c r="W6" s="3730"/>
      <c r="X6" s="1355"/>
      <c r="Y6" s="3728"/>
      <c r="Z6" s="3729"/>
      <c r="AA6" s="3713"/>
      <c r="AB6" s="3713"/>
      <c r="AC6" s="3750"/>
    </row>
    <row r="7" spans="1:29" s="108" customFormat="1" ht="15" thickBot="1">
      <c r="A7" s="362" t="s">
        <v>1679</v>
      </c>
      <c r="B7" s="363"/>
      <c r="C7" s="364">
        <f>'数据-取费表'!B2</f>
        <v>45828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8" t="s">
        <v>1680</v>
      </c>
      <c r="Q7" s="3737"/>
      <c r="R7" s="701" t="s">
        <v>14</v>
      </c>
      <c r="S7" s="702">
        <f t="shared" ref="S7:S15" si="0">F7</f>
        <v>0</v>
      </c>
      <c r="T7" s="701" t="s">
        <v>14</v>
      </c>
      <c r="U7" s="702">
        <f t="shared" ref="U7:U15" si="1">H7</f>
        <v>0</v>
      </c>
      <c r="V7" s="701" t="s">
        <v>14</v>
      </c>
      <c r="W7" s="702">
        <f t="shared" ref="W7:W15" si="2">J7</f>
        <v>0</v>
      </c>
      <c r="X7" s="703"/>
      <c r="Y7" s="3735" t="s">
        <v>1680</v>
      </c>
      <c r="Z7" s="3736"/>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8" t="s">
        <v>1683</v>
      </c>
      <c r="Q8" s="3736"/>
      <c r="R8" s="701" t="s">
        <v>14</v>
      </c>
      <c r="S8" s="702">
        <f t="shared" si="0"/>
        <v>100</v>
      </c>
      <c r="T8" s="701" t="s">
        <v>14</v>
      </c>
      <c r="U8" s="702">
        <f t="shared" si="1"/>
        <v>100</v>
      </c>
      <c r="V8" s="701" t="s">
        <v>14</v>
      </c>
      <c r="W8" s="702">
        <f t="shared" si="2"/>
        <v>100</v>
      </c>
      <c r="X8" s="703"/>
      <c r="Y8" s="3735" t="s">
        <v>1683</v>
      </c>
      <c r="Z8" s="3736"/>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10"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10"/>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0"/>
      <c r="Q11" s="1343" t="str">
        <f t="shared" si="6"/>
        <v>容积率</v>
      </c>
      <c r="R11" s="701" t="s">
        <v>14</v>
      </c>
      <c r="S11" s="702">
        <f t="shared" si="0"/>
        <v>100</v>
      </c>
      <c r="T11" s="701" t="s">
        <v>14</v>
      </c>
      <c r="U11" s="702">
        <f t="shared" si="1"/>
        <v>100</v>
      </c>
      <c r="V11" s="701" t="s">
        <v>14</v>
      </c>
      <c r="W11" s="702">
        <f t="shared" si="2"/>
        <v>100</v>
      </c>
      <c r="X11" s="703"/>
      <c r="Y11" s="357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0"/>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0"/>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0"/>
      <c r="Q14" s="1343">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8" t="s">
        <v>1691</v>
      </c>
      <c r="Q15" s="1352" t="str">
        <f t="shared" si="6"/>
        <v>办公集聚程度</v>
      </c>
      <c r="R15" s="705" t="s">
        <v>14</v>
      </c>
      <c r="S15" s="706">
        <f t="shared" si="0"/>
        <v>100</v>
      </c>
      <c r="T15" s="705" t="s">
        <v>14</v>
      </c>
      <c r="U15" s="706">
        <f t="shared" si="1"/>
        <v>100</v>
      </c>
      <c r="V15" s="705" t="s">
        <v>14</v>
      </c>
      <c r="W15" s="706">
        <f t="shared" si="2"/>
        <v>100</v>
      </c>
      <c r="X15" s="1355"/>
      <c r="Y15" s="370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9"/>
      <c r="Q16" s="1352"/>
      <c r="R16" s="705"/>
      <c r="S16" s="706"/>
      <c r="T16" s="705"/>
      <c r="U16" s="706"/>
      <c r="V16" s="705"/>
      <c r="W16" s="706"/>
      <c r="X16" s="1355"/>
      <c r="Y16" s="3702"/>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9"/>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9"/>
      <c r="Q18" s="1352"/>
      <c r="R18" s="705"/>
      <c r="S18" s="706"/>
      <c r="T18" s="705"/>
      <c r="U18" s="706"/>
      <c r="V18" s="705"/>
      <c r="W18" s="706"/>
      <c r="X18" s="1355"/>
      <c r="Y18" s="3702"/>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9"/>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9"/>
      <c r="Q20" s="1352"/>
      <c r="R20" s="705"/>
      <c r="S20" s="706"/>
      <c r="T20" s="705"/>
      <c r="U20" s="706"/>
      <c r="V20" s="705"/>
      <c r="W20" s="706"/>
      <c r="X20" s="1355"/>
      <c r="Y20" s="3702"/>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9"/>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9"/>
      <c r="Q22" s="1352"/>
      <c r="R22" s="705"/>
      <c r="S22" s="706"/>
      <c r="T22" s="705"/>
      <c r="U22" s="706"/>
      <c r="V22" s="705"/>
      <c r="W22" s="706"/>
      <c r="X22" s="1355"/>
      <c r="Y22" s="3702"/>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9"/>
      <c r="Q23" s="1352" t="str">
        <f>B23</f>
        <v>环境质量</v>
      </c>
      <c r="R23" s="705" t="s">
        <v>14</v>
      </c>
      <c r="S23" s="706">
        <f>F23</f>
        <v>100</v>
      </c>
      <c r="T23" s="705" t="s">
        <v>14</v>
      </c>
      <c r="U23" s="706">
        <f>H23</f>
        <v>100</v>
      </c>
      <c r="V23" s="705" t="s">
        <v>14</v>
      </c>
      <c r="W23" s="706">
        <f>J23</f>
        <v>100</v>
      </c>
      <c r="X23" s="1355"/>
      <c r="Y23" s="370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9"/>
      <c r="Q24" s="1352"/>
      <c r="R24" s="705"/>
      <c r="S24" s="706"/>
      <c r="T24" s="705"/>
      <c r="U24" s="706"/>
      <c r="V24" s="705"/>
      <c r="W24" s="706"/>
      <c r="X24" s="1355"/>
      <c r="Y24" s="3702"/>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9"/>
      <c r="Q25" s="1352" t="str">
        <f>B25</f>
        <v>毗邻道路的类型与等级</v>
      </c>
      <c r="R25" s="705" t="s">
        <v>14</v>
      </c>
      <c r="S25" s="706">
        <f>F25</f>
        <v>100</v>
      </c>
      <c r="T25" s="705" t="s">
        <v>14</v>
      </c>
      <c r="U25" s="706">
        <f>H25</f>
        <v>100</v>
      </c>
      <c r="V25" s="705" t="s">
        <v>14</v>
      </c>
      <c r="W25" s="706">
        <f>J25</f>
        <v>100</v>
      </c>
      <c r="X25" s="1355"/>
      <c r="Y25" s="370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9"/>
      <c r="Q26" s="1352"/>
      <c r="R26" s="705"/>
      <c r="S26" s="706"/>
      <c r="T26" s="705"/>
      <c r="U26" s="706"/>
      <c r="V26" s="705"/>
      <c r="W26" s="706"/>
      <c r="X26" s="1355"/>
      <c r="Y26" s="370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9"/>
      <c r="Q27" s="1352" t="str">
        <f t="shared" ref="Q27:Q47" si="11">B27</f>
        <v>楼层</v>
      </c>
      <c r="R27" s="705" t="s">
        <v>14</v>
      </c>
      <c r="S27" s="706">
        <f>F27</f>
        <v>100</v>
      </c>
      <c r="T27" s="705" t="s">
        <v>14</v>
      </c>
      <c r="U27" s="706">
        <f>H27</f>
        <v>100</v>
      </c>
      <c r="V27" s="705" t="s">
        <v>14</v>
      </c>
      <c r="W27" s="706">
        <f>J27</f>
        <v>100</v>
      </c>
      <c r="X27" s="1355"/>
      <c r="Y27" s="370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9"/>
      <c r="Q28" s="1343" t="str">
        <f t="shared" si="11"/>
        <v>朝向</v>
      </c>
      <c r="R28" s="701" t="s">
        <v>14</v>
      </c>
      <c r="S28" s="702">
        <f>F28</f>
        <v>100</v>
      </c>
      <c r="T28" s="701" t="s">
        <v>14</v>
      </c>
      <c r="U28" s="702">
        <f>H28</f>
        <v>100</v>
      </c>
      <c r="V28" s="701" t="s">
        <v>14</v>
      </c>
      <c r="W28" s="702">
        <f>J28</f>
        <v>100</v>
      </c>
      <c r="X28" s="703"/>
      <c r="Y28" s="370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9"/>
      <c r="Q29" s="1352">
        <f t="shared" si="11"/>
        <v>111</v>
      </c>
      <c r="R29" s="705" t="s">
        <v>14</v>
      </c>
      <c r="S29" s="706">
        <f t="shared" ref="S29:S47" si="12">F29</f>
        <v>100</v>
      </c>
      <c r="T29" s="705" t="s">
        <v>14</v>
      </c>
      <c r="U29" s="706">
        <f t="shared" ref="U29:U47" si="13">H29</f>
        <v>100</v>
      </c>
      <c r="V29" s="705" t="s">
        <v>14</v>
      </c>
      <c r="W29" s="706">
        <f t="shared" ref="W29:W47" si="14">J29</f>
        <v>100</v>
      </c>
      <c r="X29" s="1355"/>
      <c r="Y29" s="370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9"/>
      <c r="Q30" s="1352">
        <f t="shared" si="11"/>
        <v>111</v>
      </c>
      <c r="R30" s="705" t="s">
        <v>14</v>
      </c>
      <c r="S30" s="706">
        <f t="shared" si="12"/>
        <v>100</v>
      </c>
      <c r="T30" s="705" t="s">
        <v>14</v>
      </c>
      <c r="U30" s="706">
        <f t="shared" si="13"/>
        <v>100</v>
      </c>
      <c r="V30" s="705" t="s">
        <v>14</v>
      </c>
      <c r="W30" s="706">
        <f t="shared" si="14"/>
        <v>100</v>
      </c>
      <c r="X30" s="1355"/>
      <c r="Y30" s="370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9"/>
      <c r="Q31" s="1352">
        <f t="shared" si="11"/>
        <v>111</v>
      </c>
      <c r="R31" s="705" t="s">
        <v>14</v>
      </c>
      <c r="S31" s="706">
        <f t="shared" si="12"/>
        <v>100</v>
      </c>
      <c r="T31" s="705" t="s">
        <v>14</v>
      </c>
      <c r="U31" s="706">
        <f t="shared" si="13"/>
        <v>100</v>
      </c>
      <c r="V31" s="705" t="s">
        <v>14</v>
      </c>
      <c r="W31" s="706">
        <f t="shared" si="14"/>
        <v>100</v>
      </c>
      <c r="X31" s="1355"/>
      <c r="Y31" s="3702"/>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9"/>
      <c r="Q32" s="1352">
        <f t="shared" si="11"/>
        <v>111</v>
      </c>
      <c r="R32" s="705" t="s">
        <v>14</v>
      </c>
      <c r="S32" s="706">
        <f t="shared" si="12"/>
        <v>100</v>
      </c>
      <c r="T32" s="705" t="s">
        <v>14</v>
      </c>
      <c r="U32" s="706">
        <f t="shared" si="13"/>
        <v>100</v>
      </c>
      <c r="V32" s="705" t="s">
        <v>14</v>
      </c>
      <c r="W32" s="706">
        <f t="shared" si="14"/>
        <v>100</v>
      </c>
      <c r="X32" s="1355"/>
      <c r="Y32" s="370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3" t="s">
        <v>1696</v>
      </c>
      <c r="Q33" s="1352" t="str">
        <f t="shared" si="11"/>
        <v>建筑类型</v>
      </c>
      <c r="R33" s="705" t="s">
        <v>14</v>
      </c>
      <c r="S33" s="706">
        <f t="shared" si="12"/>
        <v>100</v>
      </c>
      <c r="T33" s="705" t="s">
        <v>14</v>
      </c>
      <c r="U33" s="706">
        <f t="shared" si="13"/>
        <v>100</v>
      </c>
      <c r="V33" s="705" t="s">
        <v>14</v>
      </c>
      <c r="W33" s="706">
        <f t="shared" si="14"/>
        <v>100</v>
      </c>
      <c r="X33" s="1355"/>
      <c r="Y33" s="370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4"/>
      <c r="Q34" s="707" t="str">
        <f t="shared" si="11"/>
        <v>项目建筑规模</v>
      </c>
      <c r="R34" s="708" t="s">
        <v>14</v>
      </c>
      <c r="S34" s="709" t="e">
        <f t="shared" si="12"/>
        <v>#N/A</v>
      </c>
      <c r="T34" s="708" t="s">
        <v>14</v>
      </c>
      <c r="U34" s="709" t="e">
        <f t="shared" si="13"/>
        <v>#N/A</v>
      </c>
      <c r="V34" s="708" t="s">
        <v>14</v>
      </c>
      <c r="W34" s="709" t="e">
        <f t="shared" si="14"/>
        <v>#N/A</v>
      </c>
      <c r="X34" s="710"/>
      <c r="Y34" s="370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4"/>
      <c r="Q35" s="1352" t="str">
        <f t="shared" si="11"/>
        <v>建筑结构</v>
      </c>
      <c r="R35" s="705" t="s">
        <v>14</v>
      </c>
      <c r="S35" s="706">
        <f t="shared" si="12"/>
        <v>100</v>
      </c>
      <c r="T35" s="705" t="s">
        <v>14</v>
      </c>
      <c r="U35" s="706">
        <f t="shared" si="13"/>
        <v>100</v>
      </c>
      <c r="V35" s="705" t="s">
        <v>14</v>
      </c>
      <c r="W35" s="706">
        <f t="shared" si="14"/>
        <v>100</v>
      </c>
      <c r="X35" s="1355"/>
      <c r="Y35" s="370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4"/>
      <c r="Q36" s="1352" t="str">
        <f t="shared" si="11"/>
        <v>公共部分装修</v>
      </c>
      <c r="R36" s="705" t="s">
        <v>14</v>
      </c>
      <c r="S36" s="706">
        <f t="shared" si="12"/>
        <v>100</v>
      </c>
      <c r="T36" s="705" t="s">
        <v>14</v>
      </c>
      <c r="U36" s="706">
        <f t="shared" si="13"/>
        <v>100</v>
      </c>
      <c r="V36" s="705" t="s">
        <v>14</v>
      </c>
      <c r="W36" s="706">
        <f t="shared" si="14"/>
        <v>100</v>
      </c>
      <c r="X36" s="1355"/>
      <c r="Y36" s="370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4"/>
      <c r="Q37" s="1352" t="str">
        <f t="shared" si="11"/>
        <v>成新度</v>
      </c>
      <c r="R37" s="705" t="s">
        <v>14</v>
      </c>
      <c r="S37" s="706" t="e">
        <f t="shared" si="12"/>
        <v>#N/A</v>
      </c>
      <c r="T37" s="705" t="s">
        <v>14</v>
      </c>
      <c r="U37" s="706" t="e">
        <f t="shared" si="13"/>
        <v>#N/A</v>
      </c>
      <c r="V37" s="705" t="s">
        <v>14</v>
      </c>
      <c r="W37" s="706" t="e">
        <f t="shared" si="14"/>
        <v>#N/A</v>
      </c>
      <c r="X37" s="1355"/>
      <c r="Y37" s="370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4"/>
      <c r="Q38" s="1343" t="str">
        <f t="shared" si="11"/>
        <v>写字楼等级</v>
      </c>
      <c r="R38" s="701" t="s">
        <v>14</v>
      </c>
      <c r="S38" s="702">
        <f t="shared" si="12"/>
        <v>100</v>
      </c>
      <c r="T38" s="701" t="s">
        <v>14</v>
      </c>
      <c r="U38" s="702">
        <f t="shared" si="13"/>
        <v>100</v>
      </c>
      <c r="V38" s="701" t="s">
        <v>14</v>
      </c>
      <c r="W38" s="702">
        <f t="shared" si="14"/>
        <v>100</v>
      </c>
      <c r="X38" s="703"/>
      <c r="Y38" s="370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4" t="s">
        <v>1696</v>
      </c>
      <c r="Q39" s="1352" t="str">
        <f t="shared" si="11"/>
        <v>物业管理</v>
      </c>
      <c r="R39" s="705" t="s">
        <v>14</v>
      </c>
      <c r="S39" s="706">
        <f t="shared" si="12"/>
        <v>100</v>
      </c>
      <c r="T39" s="705" t="s">
        <v>14</v>
      </c>
      <c r="U39" s="706">
        <f t="shared" si="13"/>
        <v>100</v>
      </c>
      <c r="V39" s="705" t="s">
        <v>14</v>
      </c>
      <c r="W39" s="706">
        <f t="shared" si="14"/>
        <v>100</v>
      </c>
      <c r="X39" s="1355"/>
      <c r="Y39" s="370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4"/>
      <c r="Q40" s="1352" t="str">
        <f t="shared" si="11"/>
        <v>市政基础设施</v>
      </c>
      <c r="R40" s="705" t="s">
        <v>14</v>
      </c>
      <c r="S40" s="706">
        <f t="shared" si="12"/>
        <v>100</v>
      </c>
      <c r="T40" s="705" t="s">
        <v>14</v>
      </c>
      <c r="U40" s="706">
        <f t="shared" si="13"/>
        <v>100</v>
      </c>
      <c r="V40" s="705" t="s">
        <v>14</v>
      </c>
      <c r="W40" s="706">
        <f t="shared" si="14"/>
        <v>100</v>
      </c>
      <c r="X40" s="1355"/>
      <c r="Y40" s="370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4"/>
      <c r="Q41" s="1352" t="str">
        <f t="shared" si="11"/>
        <v>层高</v>
      </c>
      <c r="R41" s="705" t="s">
        <v>14</v>
      </c>
      <c r="S41" s="706">
        <f t="shared" si="12"/>
        <v>100</v>
      </c>
      <c r="T41" s="705" t="s">
        <v>14</v>
      </c>
      <c r="U41" s="706">
        <f t="shared" si="13"/>
        <v>100</v>
      </c>
      <c r="V41" s="705" t="s">
        <v>14</v>
      </c>
      <c r="W41" s="706">
        <f t="shared" si="14"/>
        <v>100</v>
      </c>
      <c r="X41" s="1355"/>
      <c r="Y41" s="370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4"/>
      <c r="Q42" s="707" t="str">
        <f t="shared" si="11"/>
        <v>单套建筑面积</v>
      </c>
      <c r="R42" s="708" t="s">
        <v>14</v>
      </c>
      <c r="S42" s="709">
        <f t="shared" si="12"/>
        <v>100</v>
      </c>
      <c r="T42" s="708" t="s">
        <v>14</v>
      </c>
      <c r="U42" s="709">
        <f t="shared" si="13"/>
        <v>100</v>
      </c>
      <c r="V42" s="708" t="s">
        <v>14</v>
      </c>
      <c r="W42" s="709">
        <f t="shared" si="14"/>
        <v>100</v>
      </c>
      <c r="X42" s="710"/>
      <c r="Y42" s="370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4"/>
      <c r="Q43" s="1352" t="str">
        <f t="shared" si="11"/>
        <v>内部装修</v>
      </c>
      <c r="R43" s="705" t="s">
        <v>14</v>
      </c>
      <c r="S43" s="706">
        <f t="shared" si="12"/>
        <v>100</v>
      </c>
      <c r="T43" s="705" t="s">
        <v>14</v>
      </c>
      <c r="U43" s="706">
        <f t="shared" si="13"/>
        <v>100</v>
      </c>
      <c r="V43" s="705" t="s">
        <v>14</v>
      </c>
      <c r="W43" s="706">
        <f t="shared" si="14"/>
        <v>100</v>
      </c>
      <c r="X43" s="1355"/>
      <c r="Y43" s="3706"/>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4"/>
      <c r="Q44" s="1352" t="str">
        <f t="shared" si="11"/>
        <v>内部装修维护情况</v>
      </c>
      <c r="R44" s="705" t="s">
        <v>14</v>
      </c>
      <c r="S44" s="706">
        <f t="shared" si="12"/>
        <v>100</v>
      </c>
      <c r="T44" s="705" t="s">
        <v>14</v>
      </c>
      <c r="U44" s="706">
        <f t="shared" si="13"/>
        <v>100</v>
      </c>
      <c r="V44" s="705" t="s">
        <v>14</v>
      </c>
      <c r="W44" s="706">
        <f t="shared" si="14"/>
        <v>100</v>
      </c>
      <c r="X44" s="1355"/>
      <c r="Y44" s="370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4"/>
      <c r="Q45" s="1343">
        <f t="shared" si="11"/>
        <v>111</v>
      </c>
      <c r="R45" s="701" t="s">
        <v>14</v>
      </c>
      <c r="S45" s="702">
        <f t="shared" si="12"/>
        <v>100</v>
      </c>
      <c r="T45" s="701" t="s">
        <v>14</v>
      </c>
      <c r="U45" s="702">
        <f t="shared" si="13"/>
        <v>100</v>
      </c>
      <c r="V45" s="701" t="s">
        <v>14</v>
      </c>
      <c r="W45" s="702">
        <f t="shared" si="14"/>
        <v>100</v>
      </c>
      <c r="X45" s="703"/>
      <c r="Y45" s="370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5"/>
      <c r="Q47" s="1352">
        <f t="shared" si="11"/>
        <v>111</v>
      </c>
      <c r="R47" s="705" t="s">
        <v>14</v>
      </c>
      <c r="S47" s="706">
        <f t="shared" si="12"/>
        <v>100</v>
      </c>
      <c r="T47" s="705" t="s">
        <v>14</v>
      </c>
      <c r="U47" s="706">
        <f t="shared" si="13"/>
        <v>100</v>
      </c>
      <c r="V47" s="705" t="s">
        <v>14</v>
      </c>
      <c r="W47" s="706">
        <f t="shared" si="14"/>
        <v>100</v>
      </c>
      <c r="X47" s="1355"/>
      <c r="Y47" s="3707"/>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10" t="str">
        <f>A48</f>
        <v>成交单价（元/平方米）</v>
      </c>
      <c r="Q48" s="3699"/>
      <c r="R48" s="3700">
        <f>E48</f>
        <v>0</v>
      </c>
      <c r="S48" s="3700"/>
      <c r="T48" s="3700">
        <f>G48</f>
        <v>0</v>
      </c>
      <c r="U48" s="3700"/>
      <c r="V48" s="3700">
        <f>I48</f>
        <v>0</v>
      </c>
      <c r="W48" s="3700"/>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10" t="str">
        <f>A49</f>
        <v>比较价值（元/平方米）</v>
      </c>
      <c r="Q49" s="3699"/>
      <c r="R49" s="3700" t="e">
        <f>IF(F1="售价",ROUND(PRODUCT(R48,AA7:AA47),0),ROUND(PRODUCT(R48,AA7:AA47),1))</f>
        <v>#DIV/0!</v>
      </c>
      <c r="S49" s="3700"/>
      <c r="T49" s="3700" t="e">
        <f>IF(F1="售价",ROUND(PRODUCT(T48,AB7:AB47),0),ROUND(PRODUCT(T48,AB7:AB47),1))</f>
        <v>#DIV/0!</v>
      </c>
      <c r="U49" s="3700"/>
      <c r="V49" s="3700" t="e">
        <f>IF(F1="售价",ROUND(PRODUCT(V48,AC7:AC47),0),ROUND(PRODUCT(V48,AC7:AC47),1))</f>
        <v>#DIV/0!</v>
      </c>
      <c r="W49" s="3700"/>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45" t="str">
        <f>A50</f>
        <v>估价对象XX用房的比较价值（楼面单价，元/平方米）</v>
      </c>
      <c r="Q50" s="3746"/>
      <c r="R50" s="3747" t="e">
        <f>IF(F1="售价",ROUND(IF(D49="简单平均",AVERAGE(R49:V49),R49*F49+T49*H49+V49*J49),0),ROUND(IF(D49="简单平均",AVERAGE(R49:V49),R49*F49+T49*H49+V49*J49),1))</f>
        <v>#DIV/0!</v>
      </c>
      <c r="S50" s="3747"/>
      <c r="T50" s="3747"/>
      <c r="U50" s="3747"/>
      <c r="V50" s="3747"/>
      <c r="W50" s="374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2025-6</v>
      </c>
      <c r="D59" s="1185">
        <f>EDATE(C59,-1)</f>
        <v>45778</v>
      </c>
      <c r="E59" s="1185">
        <f>EDATE(D59,-1)</f>
        <v>45748</v>
      </c>
      <c r="F59" s="1185">
        <f t="shared" ref="F59:O59" si="16">EDATE(E59,-1)</f>
        <v>45717</v>
      </c>
      <c r="G59" s="1185">
        <f t="shared" si="16"/>
        <v>45689</v>
      </c>
      <c r="H59" s="1185">
        <f t="shared" si="16"/>
        <v>45658</v>
      </c>
      <c r="I59" s="1185">
        <f t="shared" si="16"/>
        <v>45627</v>
      </c>
      <c r="J59" s="1185">
        <f t="shared" si="16"/>
        <v>45597</v>
      </c>
      <c r="K59" s="1185">
        <f t="shared" si="16"/>
        <v>45566</v>
      </c>
      <c r="L59" s="1185">
        <f t="shared" si="16"/>
        <v>45536</v>
      </c>
      <c r="M59" s="1185">
        <f t="shared" si="16"/>
        <v>45505</v>
      </c>
      <c r="N59" s="1185">
        <f t="shared" si="16"/>
        <v>45474</v>
      </c>
      <c r="O59" s="1185">
        <f t="shared" si="16"/>
        <v>45444</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164.94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14" t="s">
        <v>1770</v>
      </c>
      <c r="D4" s="3715"/>
      <c r="E4" s="3716" t="s">
        <v>1771</v>
      </c>
      <c r="F4" s="3717"/>
      <c r="G4" s="3714" t="s">
        <v>1772</v>
      </c>
      <c r="H4" s="3715"/>
      <c r="I4" s="3714" t="s">
        <v>1773</v>
      </c>
      <c r="J4" s="3715"/>
      <c r="K4" s="559" t="s">
        <v>1774</v>
      </c>
      <c r="L4" s="913"/>
      <c r="M4" s="914"/>
      <c r="N4" s="914"/>
      <c r="O4" s="914"/>
      <c r="P4" s="3718" t="s">
        <v>1775</v>
      </c>
      <c r="Q4" s="3719"/>
      <c r="R4" s="3724" t="s">
        <v>1771</v>
      </c>
      <c r="S4" s="3725"/>
      <c r="T4" s="3724" t="s">
        <v>1772</v>
      </c>
      <c r="U4" s="3725"/>
      <c r="V4" s="3730" t="s">
        <v>1773</v>
      </c>
      <c r="W4" s="3730"/>
      <c r="X4" s="1355"/>
      <c r="Y4" s="3724" t="s">
        <v>1775</v>
      </c>
      <c r="Z4" s="3725"/>
      <c r="AA4" s="3711" t="s">
        <v>1771</v>
      </c>
      <c r="AB4" s="3712" t="s">
        <v>1772</v>
      </c>
      <c r="AC4" s="3711" t="s">
        <v>1773</v>
      </c>
    </row>
    <row r="5" spans="1:29">
      <c r="A5" s="358"/>
      <c r="B5" s="359"/>
      <c r="C5" s="3733" t="s">
        <v>1673</v>
      </c>
      <c r="D5" s="3734"/>
      <c r="E5" s="3744" t="s">
        <v>1674</v>
      </c>
      <c r="F5" s="3741"/>
      <c r="G5" s="3733" t="s">
        <v>1675</v>
      </c>
      <c r="H5" s="3734"/>
      <c r="I5" s="3733" t="s">
        <v>1676</v>
      </c>
      <c r="J5" s="3734"/>
      <c r="K5" s="559"/>
      <c r="L5" s="913"/>
      <c r="M5" s="914"/>
      <c r="N5" s="914"/>
      <c r="O5" s="914"/>
      <c r="P5" s="3720"/>
      <c r="Q5" s="3721"/>
      <c r="R5" s="3726"/>
      <c r="S5" s="3727"/>
      <c r="T5" s="3726"/>
      <c r="U5" s="3727"/>
      <c r="V5" s="3730"/>
      <c r="W5" s="3730"/>
      <c r="X5" s="1355"/>
      <c r="Y5" s="3726"/>
      <c r="Z5" s="3727"/>
      <c r="AA5" s="3712"/>
      <c r="AB5" s="3712"/>
      <c r="AC5" s="3712"/>
    </row>
    <row r="6" spans="1:29" ht="15" thickBot="1">
      <c r="A6" s="360"/>
      <c r="B6" s="361"/>
      <c r="C6" s="3731" t="s">
        <v>1677</v>
      </c>
      <c r="D6" s="3732"/>
      <c r="E6" s="3743" t="s">
        <v>1677</v>
      </c>
      <c r="F6" s="3739"/>
      <c r="G6" s="3731" t="s">
        <v>1677</v>
      </c>
      <c r="H6" s="3732"/>
      <c r="I6" s="3731" t="s">
        <v>1677</v>
      </c>
      <c r="J6" s="3732"/>
      <c r="K6" s="559" t="s">
        <v>1678</v>
      </c>
      <c r="L6" s="913"/>
      <c r="M6" s="914"/>
      <c r="N6" s="914"/>
      <c r="O6" s="914"/>
      <c r="P6" s="3722"/>
      <c r="Q6" s="3723"/>
      <c r="R6" s="3726"/>
      <c r="S6" s="3727"/>
      <c r="T6" s="3728"/>
      <c r="U6" s="3729"/>
      <c r="V6" s="3730"/>
      <c r="W6" s="3730"/>
      <c r="X6" s="1355"/>
      <c r="Y6" s="3728"/>
      <c r="Z6" s="3729"/>
      <c r="AA6" s="3713"/>
      <c r="AB6" s="3713"/>
      <c r="AC6" s="3713"/>
    </row>
    <row r="7" spans="1:29" s="108" customFormat="1" ht="15" thickBot="1">
      <c r="A7" s="362" t="s">
        <v>1679</v>
      </c>
      <c r="B7" s="363"/>
      <c r="C7" s="364">
        <f>'数据-取费表'!B2</f>
        <v>45828</v>
      </c>
      <c r="D7" s="365">
        <v>100</v>
      </c>
      <c r="E7" s="366"/>
      <c r="F7" s="367">
        <f>SUMIF(52:52,YEAR(E7)&amp;"-"&amp;MONTH(E7),53:53)</f>
        <v>0</v>
      </c>
      <c r="G7" s="366"/>
      <c r="H7" s="365">
        <f>SUMIF(52:52,YEAR(G7)&amp;"-"&amp;MONTH(G7),53:53)</f>
        <v>0</v>
      </c>
      <c r="I7" s="366"/>
      <c r="J7" s="365">
        <f>SUMIF(52:52,YEAR(I7)&amp;"-"&amp;MONTH(I7),53:53)</f>
        <v>0</v>
      </c>
      <c r="K7" s="560"/>
      <c r="L7" s="915"/>
      <c r="M7" s="916"/>
      <c r="N7" s="916"/>
      <c r="O7" s="916"/>
      <c r="P7" s="3735" t="s">
        <v>1680</v>
      </c>
      <c r="Q7" s="3737"/>
      <c r="R7" s="701" t="s">
        <v>14</v>
      </c>
      <c r="S7" s="702">
        <f t="shared" ref="S7:S15" si="0">F7</f>
        <v>0</v>
      </c>
      <c r="T7" s="701" t="s">
        <v>14</v>
      </c>
      <c r="U7" s="702">
        <f t="shared" ref="U7:U15" si="1">H7</f>
        <v>0</v>
      </c>
      <c r="V7" s="701" t="s">
        <v>14</v>
      </c>
      <c r="W7" s="702">
        <f t="shared" ref="W7:W15" si="2">J7</f>
        <v>0</v>
      </c>
      <c r="X7" s="703"/>
      <c r="Y7" s="3735" t="s">
        <v>1680</v>
      </c>
      <c r="Z7" s="3736"/>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5" t="s">
        <v>1683</v>
      </c>
      <c r="Q8" s="3736"/>
      <c r="R8" s="701" t="s">
        <v>14</v>
      </c>
      <c r="S8" s="702">
        <f t="shared" si="0"/>
        <v>100</v>
      </c>
      <c r="T8" s="701" t="s">
        <v>14</v>
      </c>
      <c r="U8" s="702">
        <f t="shared" si="1"/>
        <v>100</v>
      </c>
      <c r="V8" s="701" t="s">
        <v>14</v>
      </c>
      <c r="W8" s="702">
        <f t="shared" si="2"/>
        <v>100</v>
      </c>
      <c r="X8" s="703"/>
      <c r="Y8" s="3735" t="s">
        <v>1683</v>
      </c>
      <c r="Z8" s="3736"/>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9"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9"/>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9"/>
      <c r="Q11" s="1343" t="str">
        <f t="shared" si="6"/>
        <v>容积率</v>
      </c>
      <c r="R11" s="701" t="s">
        <v>14</v>
      </c>
      <c r="S11" s="702">
        <f t="shared" si="0"/>
        <v>100</v>
      </c>
      <c r="T11" s="701" t="s">
        <v>14</v>
      </c>
      <c r="U11" s="702">
        <f t="shared" si="1"/>
        <v>100</v>
      </c>
      <c r="V11" s="701" t="s">
        <v>14</v>
      </c>
      <c r="W11" s="702">
        <f t="shared" si="2"/>
        <v>100</v>
      </c>
      <c r="X11" s="703"/>
      <c r="Y11" s="357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9"/>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9"/>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9"/>
      <c r="Q14" s="1343">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1" t="s">
        <v>1691</v>
      </c>
      <c r="Q15" s="1352" t="str">
        <f t="shared" si="6"/>
        <v>产业集聚程度</v>
      </c>
      <c r="R15" s="705" t="s">
        <v>14</v>
      </c>
      <c r="S15" s="706">
        <f t="shared" si="0"/>
        <v>100</v>
      </c>
      <c r="T15" s="705" t="s">
        <v>14</v>
      </c>
      <c r="U15" s="706">
        <f t="shared" si="1"/>
        <v>100</v>
      </c>
      <c r="V15" s="705" t="s">
        <v>14</v>
      </c>
      <c r="W15" s="706">
        <f t="shared" si="2"/>
        <v>100</v>
      </c>
      <c r="X15" s="1355"/>
      <c r="Y15" s="370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2"/>
      <c r="Q16" s="1352"/>
      <c r="R16" s="705"/>
      <c r="S16" s="706"/>
      <c r="T16" s="705"/>
      <c r="U16" s="706"/>
      <c r="V16" s="705"/>
      <c r="W16" s="706"/>
      <c r="X16" s="1355"/>
      <c r="Y16" s="3702"/>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2"/>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2"/>
      <c r="Q18" s="1352"/>
      <c r="R18" s="705"/>
      <c r="S18" s="706"/>
      <c r="T18" s="705"/>
      <c r="U18" s="706"/>
      <c r="V18" s="705"/>
      <c r="W18" s="706"/>
      <c r="X18" s="1355"/>
      <c r="Y18" s="3702"/>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2"/>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2"/>
      <c r="Q20" s="1352"/>
      <c r="R20" s="705"/>
      <c r="S20" s="706"/>
      <c r="T20" s="705"/>
      <c r="U20" s="706"/>
      <c r="V20" s="705"/>
      <c r="W20" s="706"/>
      <c r="X20" s="1355"/>
      <c r="Y20" s="3702"/>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2"/>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2"/>
      <c r="Q22" s="1352"/>
      <c r="R22" s="705"/>
      <c r="S22" s="706"/>
      <c r="T22" s="705"/>
      <c r="U22" s="706"/>
      <c r="V22" s="705"/>
      <c r="W22" s="706"/>
      <c r="X22" s="1355"/>
      <c r="Y22" s="3702"/>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2"/>
      <c r="Q23" s="1352" t="str">
        <f>B23</f>
        <v>环境质量</v>
      </c>
      <c r="R23" s="705" t="s">
        <v>14</v>
      </c>
      <c r="S23" s="706">
        <f>F23</f>
        <v>100</v>
      </c>
      <c r="T23" s="705" t="s">
        <v>14</v>
      </c>
      <c r="U23" s="706">
        <f>H23</f>
        <v>100</v>
      </c>
      <c r="V23" s="705" t="s">
        <v>14</v>
      </c>
      <c r="W23" s="706">
        <f>J23</f>
        <v>100</v>
      </c>
      <c r="X23" s="1355"/>
      <c r="Y23" s="370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2"/>
      <c r="Q24" s="1352"/>
      <c r="R24" s="705"/>
      <c r="S24" s="706"/>
      <c r="T24" s="705"/>
      <c r="U24" s="706"/>
      <c r="V24" s="705"/>
      <c r="W24" s="706"/>
      <c r="X24" s="1355"/>
      <c r="Y24" s="370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2"/>
      <c r="Q25" s="1352">
        <f>B25</f>
        <v>111</v>
      </c>
      <c r="R25" s="705" t="s">
        <v>14</v>
      </c>
      <c r="S25" s="706">
        <f>F25</f>
        <v>100</v>
      </c>
      <c r="T25" s="705" t="s">
        <v>14</v>
      </c>
      <c r="U25" s="706">
        <f>H25</f>
        <v>100</v>
      </c>
      <c r="V25" s="705" t="s">
        <v>14</v>
      </c>
      <c r="W25" s="706">
        <f>J25</f>
        <v>100</v>
      </c>
      <c r="X25" s="1355"/>
      <c r="Y25" s="370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2"/>
      <c r="Q26" s="1352">
        <f t="shared" ref="Q26:Q40" si="11">B26</f>
        <v>111</v>
      </c>
      <c r="R26" s="705" t="s">
        <v>14</v>
      </c>
      <c r="S26" s="706">
        <f>F26</f>
        <v>100</v>
      </c>
      <c r="T26" s="705" t="s">
        <v>14</v>
      </c>
      <c r="U26" s="706">
        <f>H26</f>
        <v>100</v>
      </c>
      <c r="V26" s="705" t="s">
        <v>14</v>
      </c>
      <c r="W26" s="706">
        <f>J26</f>
        <v>100</v>
      </c>
      <c r="X26" s="1355"/>
      <c r="Y26" s="370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2"/>
      <c r="Q27" s="1343">
        <f t="shared" si="11"/>
        <v>111</v>
      </c>
      <c r="R27" s="701" t="s">
        <v>14</v>
      </c>
      <c r="S27" s="702">
        <f>F27</f>
        <v>100</v>
      </c>
      <c r="T27" s="701" t="s">
        <v>14</v>
      </c>
      <c r="U27" s="702">
        <f>H27</f>
        <v>100</v>
      </c>
      <c r="V27" s="701" t="s">
        <v>14</v>
      </c>
      <c r="W27" s="702">
        <f>J27</f>
        <v>100</v>
      </c>
      <c r="X27" s="703"/>
      <c r="Y27" s="3702"/>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2"/>
      <c r="Q28" s="1352">
        <f t="shared" si="11"/>
        <v>111</v>
      </c>
      <c r="R28" s="705" t="s">
        <v>14</v>
      </c>
      <c r="S28" s="706">
        <f t="shared" ref="S28:S40" si="12">F28</f>
        <v>100</v>
      </c>
      <c r="T28" s="705" t="s">
        <v>14</v>
      </c>
      <c r="U28" s="706">
        <f t="shared" ref="U28:U40" si="13">H28</f>
        <v>100</v>
      </c>
      <c r="V28" s="705" t="s">
        <v>14</v>
      </c>
      <c r="W28" s="706">
        <f t="shared" ref="W28:W40" si="14">J28</f>
        <v>100</v>
      </c>
      <c r="X28" s="1355"/>
      <c r="Y28" s="3702"/>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0" t="s">
        <v>1696</v>
      </c>
      <c r="Q29" s="1352" t="str">
        <f t="shared" si="11"/>
        <v>建筑类型</v>
      </c>
      <c r="R29" s="705" t="s">
        <v>14</v>
      </c>
      <c r="S29" s="706">
        <f t="shared" si="12"/>
        <v>100</v>
      </c>
      <c r="T29" s="705" t="s">
        <v>14</v>
      </c>
      <c r="U29" s="706">
        <f t="shared" si="13"/>
        <v>100</v>
      </c>
      <c r="V29" s="705" t="s">
        <v>14</v>
      </c>
      <c r="W29" s="706">
        <f t="shared" si="14"/>
        <v>100</v>
      </c>
      <c r="X29" s="1355"/>
      <c r="Y29" s="370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6"/>
      <c r="Q30" s="707" t="str">
        <f t="shared" si="11"/>
        <v>项目建筑规模</v>
      </c>
      <c r="R30" s="708" t="s">
        <v>14</v>
      </c>
      <c r="S30" s="709" t="e">
        <f t="shared" si="12"/>
        <v>#N/A</v>
      </c>
      <c r="T30" s="708" t="s">
        <v>14</v>
      </c>
      <c r="U30" s="709" t="e">
        <f t="shared" si="13"/>
        <v>#N/A</v>
      </c>
      <c r="V30" s="708" t="s">
        <v>14</v>
      </c>
      <c r="W30" s="709" t="e">
        <f t="shared" si="14"/>
        <v>#N/A</v>
      </c>
      <c r="X30" s="710"/>
      <c r="Y30" s="370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6"/>
      <c r="Q31" s="1352" t="str">
        <f t="shared" si="11"/>
        <v>建筑结构</v>
      </c>
      <c r="R31" s="705" t="s">
        <v>14</v>
      </c>
      <c r="S31" s="706">
        <f t="shared" si="12"/>
        <v>100</v>
      </c>
      <c r="T31" s="705" t="s">
        <v>14</v>
      </c>
      <c r="U31" s="706">
        <f t="shared" si="13"/>
        <v>100</v>
      </c>
      <c r="V31" s="705" t="s">
        <v>14</v>
      </c>
      <c r="W31" s="706">
        <f t="shared" si="14"/>
        <v>100</v>
      </c>
      <c r="X31" s="1355"/>
      <c r="Y31" s="370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6"/>
      <c r="Q32" s="1352" t="str">
        <f t="shared" si="11"/>
        <v>公共部分装修</v>
      </c>
      <c r="R32" s="705" t="s">
        <v>14</v>
      </c>
      <c r="S32" s="706">
        <f t="shared" si="12"/>
        <v>100</v>
      </c>
      <c r="T32" s="705" t="s">
        <v>14</v>
      </c>
      <c r="U32" s="706">
        <f t="shared" si="13"/>
        <v>100</v>
      </c>
      <c r="V32" s="705" t="s">
        <v>14</v>
      </c>
      <c r="W32" s="706">
        <f t="shared" si="14"/>
        <v>100</v>
      </c>
      <c r="X32" s="1355"/>
      <c r="Y32" s="370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6"/>
      <c r="Q33" s="1352" t="str">
        <f t="shared" si="11"/>
        <v>成新度</v>
      </c>
      <c r="R33" s="705" t="s">
        <v>14</v>
      </c>
      <c r="S33" s="706" t="e">
        <f t="shared" si="12"/>
        <v>#N/A</v>
      </c>
      <c r="T33" s="705" t="s">
        <v>14</v>
      </c>
      <c r="U33" s="706" t="e">
        <f t="shared" si="13"/>
        <v>#N/A</v>
      </c>
      <c r="V33" s="705" t="s">
        <v>14</v>
      </c>
      <c r="W33" s="706" t="e">
        <f t="shared" si="14"/>
        <v>#N/A</v>
      </c>
      <c r="X33" s="1355"/>
      <c r="Y33" s="370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6"/>
      <c r="Q34" s="1343" t="str">
        <f t="shared" si="11"/>
        <v>物业管理</v>
      </c>
      <c r="R34" s="701" t="s">
        <v>14</v>
      </c>
      <c r="S34" s="702">
        <f t="shared" si="12"/>
        <v>100</v>
      </c>
      <c r="T34" s="701" t="s">
        <v>14</v>
      </c>
      <c r="U34" s="702">
        <f t="shared" si="13"/>
        <v>100</v>
      </c>
      <c r="V34" s="701" t="s">
        <v>14</v>
      </c>
      <c r="W34" s="702">
        <f t="shared" si="14"/>
        <v>100</v>
      </c>
      <c r="X34" s="703"/>
      <c r="Y34" s="370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6" t="s">
        <v>1696</v>
      </c>
      <c r="Q35" s="1352" t="str">
        <f t="shared" si="11"/>
        <v>市政基础设施</v>
      </c>
      <c r="R35" s="705" t="s">
        <v>14</v>
      </c>
      <c r="S35" s="706">
        <f t="shared" si="12"/>
        <v>100</v>
      </c>
      <c r="T35" s="705" t="s">
        <v>14</v>
      </c>
      <c r="U35" s="706">
        <f t="shared" si="13"/>
        <v>100</v>
      </c>
      <c r="V35" s="705" t="s">
        <v>14</v>
      </c>
      <c r="W35" s="706">
        <f t="shared" si="14"/>
        <v>100</v>
      </c>
      <c r="X35" s="1355"/>
      <c r="Y35" s="370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6"/>
      <c r="Q36" s="1352" t="str">
        <f t="shared" si="11"/>
        <v>内部装修</v>
      </c>
      <c r="R36" s="705" t="s">
        <v>14</v>
      </c>
      <c r="S36" s="706">
        <f t="shared" si="12"/>
        <v>100</v>
      </c>
      <c r="T36" s="705" t="s">
        <v>14</v>
      </c>
      <c r="U36" s="706">
        <f t="shared" si="13"/>
        <v>100</v>
      </c>
      <c r="V36" s="705" t="s">
        <v>14</v>
      </c>
      <c r="W36" s="706">
        <f t="shared" si="14"/>
        <v>100</v>
      </c>
      <c r="X36" s="1355"/>
      <c r="Y36" s="370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6"/>
      <c r="Q37" s="1352" t="str">
        <f t="shared" si="11"/>
        <v>内部装修状况</v>
      </c>
      <c r="R37" s="705" t="s">
        <v>14</v>
      </c>
      <c r="S37" s="706">
        <f t="shared" si="12"/>
        <v>100</v>
      </c>
      <c r="T37" s="705" t="s">
        <v>14</v>
      </c>
      <c r="U37" s="706">
        <f t="shared" si="13"/>
        <v>100</v>
      </c>
      <c r="V37" s="705" t="s">
        <v>14</v>
      </c>
      <c r="W37" s="706">
        <f t="shared" si="14"/>
        <v>100</v>
      </c>
      <c r="X37" s="1355"/>
      <c r="Y37" s="370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6"/>
      <c r="Q38" s="707">
        <f t="shared" si="11"/>
        <v>111</v>
      </c>
      <c r="R38" s="708" t="s">
        <v>14</v>
      </c>
      <c r="S38" s="709">
        <f t="shared" si="12"/>
        <v>100</v>
      </c>
      <c r="T38" s="708" t="s">
        <v>14</v>
      </c>
      <c r="U38" s="709">
        <f t="shared" si="13"/>
        <v>100</v>
      </c>
      <c r="V38" s="708" t="s">
        <v>14</v>
      </c>
      <c r="W38" s="709">
        <f t="shared" si="14"/>
        <v>100</v>
      </c>
      <c r="X38" s="710"/>
      <c r="Y38" s="370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6"/>
      <c r="Q39" s="1352">
        <f t="shared" si="11"/>
        <v>111</v>
      </c>
      <c r="R39" s="705" t="s">
        <v>14</v>
      </c>
      <c r="S39" s="706">
        <f t="shared" si="12"/>
        <v>100</v>
      </c>
      <c r="T39" s="705" t="s">
        <v>14</v>
      </c>
      <c r="U39" s="706">
        <f t="shared" si="13"/>
        <v>100</v>
      </c>
      <c r="V39" s="705" t="s">
        <v>14</v>
      </c>
      <c r="W39" s="706">
        <f t="shared" si="14"/>
        <v>100</v>
      </c>
      <c r="X39" s="1355"/>
      <c r="Y39" s="3706"/>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7"/>
      <c r="Q40" s="1352">
        <f t="shared" si="11"/>
        <v>111</v>
      </c>
      <c r="R40" s="705" t="s">
        <v>14</v>
      </c>
      <c r="S40" s="706">
        <f t="shared" si="12"/>
        <v>100</v>
      </c>
      <c r="T40" s="705" t="s">
        <v>14</v>
      </c>
      <c r="U40" s="706">
        <f t="shared" si="13"/>
        <v>100</v>
      </c>
      <c r="V40" s="705" t="s">
        <v>14</v>
      </c>
      <c r="W40" s="706">
        <f t="shared" si="14"/>
        <v>100</v>
      </c>
      <c r="X40" s="1355"/>
      <c r="Y40" s="3707"/>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699" t="str">
        <f>A41</f>
        <v>成交单价（元/平方米）</v>
      </c>
      <c r="Q41" s="3699"/>
      <c r="R41" s="3700">
        <f>E41</f>
        <v>0</v>
      </c>
      <c r="S41" s="3700"/>
      <c r="T41" s="3700">
        <f>G41</f>
        <v>0</v>
      </c>
      <c r="U41" s="3700"/>
      <c r="V41" s="3700">
        <f>I41</f>
        <v>0</v>
      </c>
      <c r="W41" s="3700"/>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9" t="str">
        <f>A42</f>
        <v>比较价值（元/平方米）</v>
      </c>
      <c r="Q42" s="3699"/>
      <c r="R42" s="3700" t="e">
        <f>IF(F1="售价",ROUND(PRODUCT(R41,AA7:AA40),0),ROUND(PRODUCT(R41,AA7:AA40),1))</f>
        <v>#DIV/0!</v>
      </c>
      <c r="S42" s="3700"/>
      <c r="T42" s="3700" t="e">
        <f>IF(F1="售价",ROUND(PRODUCT(T41,AB7:AB40),0),ROUND(PRODUCT(T41,AB7:AB40),1))</f>
        <v>#DIV/0!</v>
      </c>
      <c r="U42" s="3700"/>
      <c r="V42" s="3700" t="e">
        <f>IF(F1="售价",ROUND(PRODUCT(V41,AC7:AC40),0),ROUND(PRODUCT(V41,AC7:AC40),1))</f>
        <v>#DIV/0!</v>
      </c>
      <c r="W42" s="3700"/>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96" t="str">
        <f>A43</f>
        <v>估价对象XX用房的比较价值（楼面单价，元/平方米）</v>
      </c>
      <c r="Q43" s="3697"/>
      <c r="R43" s="3698" t="e">
        <f>IF(F1="售价",ROUND(IF(D42="简单平均",AVERAGE(R42:V42),R42*F42+T42*H42+V42*J42),0),ROUND(IF(D42="简单平均",AVERAGE(R42:V42),R42*F42+T42*H42+V42*J42),1))</f>
        <v>#DIV/0!</v>
      </c>
      <c r="S43" s="3698"/>
      <c r="T43" s="3698"/>
      <c r="U43" s="3698"/>
      <c r="V43" s="3698"/>
      <c r="W43" s="369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2025-6</v>
      </c>
      <c r="D52" s="1185">
        <f>EDATE(C52,-1)</f>
        <v>45778</v>
      </c>
      <c r="E52" s="1185">
        <f t="shared" ref="E52:O52" si="16">EDATE(D52,-1)</f>
        <v>45748</v>
      </c>
      <c r="F52" s="1185">
        <f t="shared" si="16"/>
        <v>45717</v>
      </c>
      <c r="G52" s="1185">
        <f t="shared" si="16"/>
        <v>45689</v>
      </c>
      <c r="H52" s="1185">
        <f t="shared" si="16"/>
        <v>45658</v>
      </c>
      <c r="I52" s="1185">
        <f t="shared" si="16"/>
        <v>45627</v>
      </c>
      <c r="J52" s="1185">
        <f t="shared" si="16"/>
        <v>45597</v>
      </c>
      <c r="K52" s="1185">
        <f t="shared" si="16"/>
        <v>45566</v>
      </c>
      <c r="L52" s="1185">
        <f t="shared" si="16"/>
        <v>45536</v>
      </c>
      <c r="M52" s="1185">
        <f t="shared" si="16"/>
        <v>45505</v>
      </c>
      <c r="N52" s="1185">
        <f t="shared" si="16"/>
        <v>45474</v>
      </c>
      <c r="O52" s="1185">
        <f t="shared" si="16"/>
        <v>45444</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14" t="s">
        <v>1770</v>
      </c>
      <c r="D4" s="3715"/>
      <c r="E4" s="3716" t="s">
        <v>1771</v>
      </c>
      <c r="F4" s="3717"/>
      <c r="G4" s="3714" t="s">
        <v>1772</v>
      </c>
      <c r="H4" s="3715"/>
      <c r="I4" s="3714" t="s">
        <v>1773</v>
      </c>
      <c r="J4" s="3715"/>
      <c r="K4" s="559" t="s">
        <v>1774</v>
      </c>
      <c r="L4" s="2715"/>
      <c r="M4" s="2716"/>
      <c r="N4" s="2716"/>
      <c r="O4" s="2716"/>
      <c r="P4" s="3718" t="s">
        <v>1775</v>
      </c>
      <c r="Q4" s="3719"/>
      <c r="R4" s="3724" t="s">
        <v>1771</v>
      </c>
      <c r="S4" s="3725"/>
      <c r="T4" s="3724" t="s">
        <v>1772</v>
      </c>
      <c r="U4" s="3725"/>
      <c r="V4" s="3730" t="s">
        <v>1773</v>
      </c>
      <c r="W4" s="3730"/>
      <c r="X4" s="1355"/>
      <c r="Y4" s="3724" t="s">
        <v>1775</v>
      </c>
      <c r="Z4" s="3725"/>
      <c r="AA4" s="3711" t="s">
        <v>1771</v>
      </c>
      <c r="AB4" s="3712" t="s">
        <v>1772</v>
      </c>
      <c r="AC4" s="3711" t="s">
        <v>1773</v>
      </c>
    </row>
    <row r="5" spans="1:29">
      <c r="A5" s="358"/>
      <c r="B5" s="359"/>
      <c r="C5" s="3733" t="s">
        <v>1673</v>
      </c>
      <c r="D5" s="3734"/>
      <c r="E5" s="3744" t="s">
        <v>1674</v>
      </c>
      <c r="F5" s="3741"/>
      <c r="G5" s="3733" t="s">
        <v>1675</v>
      </c>
      <c r="H5" s="3734"/>
      <c r="I5" s="3733" t="s">
        <v>1676</v>
      </c>
      <c r="J5" s="3734"/>
      <c r="K5" s="559"/>
      <c r="L5" s="2715"/>
      <c r="M5" s="2716"/>
      <c r="N5" s="2716"/>
      <c r="O5" s="2716"/>
      <c r="P5" s="3720"/>
      <c r="Q5" s="3721"/>
      <c r="R5" s="3726"/>
      <c r="S5" s="3727"/>
      <c r="T5" s="3726"/>
      <c r="U5" s="3727"/>
      <c r="V5" s="3730"/>
      <c r="W5" s="3730"/>
      <c r="X5" s="1355"/>
      <c r="Y5" s="3726"/>
      <c r="Z5" s="3727"/>
      <c r="AA5" s="3712"/>
      <c r="AB5" s="3712"/>
      <c r="AC5" s="3712"/>
    </row>
    <row r="6" spans="1:29" ht="15" thickBot="1">
      <c r="A6" s="360"/>
      <c r="B6" s="361"/>
      <c r="C6" s="3731" t="s">
        <v>1677</v>
      </c>
      <c r="D6" s="3732"/>
      <c r="E6" s="3743" t="s">
        <v>1677</v>
      </c>
      <c r="F6" s="3739"/>
      <c r="G6" s="3731" t="s">
        <v>1677</v>
      </c>
      <c r="H6" s="3732"/>
      <c r="I6" s="3731" t="s">
        <v>1677</v>
      </c>
      <c r="J6" s="3732"/>
      <c r="K6" s="559" t="s">
        <v>1678</v>
      </c>
      <c r="L6" s="2715"/>
      <c r="M6" s="2716"/>
      <c r="N6" s="2716"/>
      <c r="O6" s="2716"/>
      <c r="P6" s="3722"/>
      <c r="Q6" s="3723"/>
      <c r="R6" s="3726"/>
      <c r="S6" s="3727"/>
      <c r="T6" s="3728"/>
      <c r="U6" s="3729"/>
      <c r="V6" s="3730"/>
      <c r="W6" s="3730"/>
      <c r="X6" s="1355"/>
      <c r="Y6" s="3728"/>
      <c r="Z6" s="3729"/>
      <c r="AA6" s="3713"/>
      <c r="AB6" s="3713"/>
      <c r="AC6" s="3713"/>
    </row>
    <row r="7" spans="1:29" s="108" customFormat="1" ht="15" thickBot="1">
      <c r="A7" s="362" t="s">
        <v>1679</v>
      </c>
      <c r="B7" s="363"/>
      <c r="C7" s="364">
        <f>'数据-取费表'!B2</f>
        <v>45828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5" t="s">
        <v>1680</v>
      </c>
      <c r="Q7" s="3737"/>
      <c r="R7" s="701" t="s">
        <v>14</v>
      </c>
      <c r="S7" s="702">
        <f t="shared" ref="S7:S14" si="0">F7</f>
        <v>0</v>
      </c>
      <c r="T7" s="701" t="s">
        <v>14</v>
      </c>
      <c r="U7" s="702">
        <f t="shared" ref="U7:U14" si="1">H7</f>
        <v>0</v>
      </c>
      <c r="V7" s="701" t="s">
        <v>14</v>
      </c>
      <c r="W7" s="702">
        <f t="shared" ref="W7:W14" si="2">J7</f>
        <v>0</v>
      </c>
      <c r="X7" s="703"/>
      <c r="Y7" s="3735" t="s">
        <v>1680</v>
      </c>
      <c r="Z7" s="3736"/>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5" t="s">
        <v>1683</v>
      </c>
      <c r="Q8" s="3736"/>
      <c r="R8" s="701" t="s">
        <v>14</v>
      </c>
      <c r="S8" s="702">
        <f t="shared" si="0"/>
        <v>100</v>
      </c>
      <c r="T8" s="701" t="s">
        <v>14</v>
      </c>
      <c r="U8" s="702">
        <f t="shared" si="1"/>
        <v>100</v>
      </c>
      <c r="V8" s="701" t="s">
        <v>14</v>
      </c>
      <c r="W8" s="702">
        <f t="shared" si="2"/>
        <v>100</v>
      </c>
      <c r="X8" s="703"/>
      <c r="Y8" s="3735" t="s">
        <v>1683</v>
      </c>
      <c r="Z8" s="3736"/>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9" t="s">
        <v>1686</v>
      </c>
      <c r="Q9" s="1343" t="str">
        <f t="shared" ref="Q9:Q14" si="6">B9</f>
        <v>用途</v>
      </c>
      <c r="R9" s="701" t="s">
        <v>14</v>
      </c>
      <c r="S9" s="702">
        <f t="shared" si="0"/>
        <v>100</v>
      </c>
      <c r="T9" s="701" t="s">
        <v>14</v>
      </c>
      <c r="U9" s="702">
        <f t="shared" si="1"/>
        <v>100</v>
      </c>
      <c r="V9" s="701" t="s">
        <v>14</v>
      </c>
      <c r="W9" s="702">
        <f t="shared" si="2"/>
        <v>100</v>
      </c>
      <c r="X9" s="703"/>
      <c r="Y9" s="3574"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9"/>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9"/>
      <c r="Q11" s="1343">
        <f t="shared" si="6"/>
        <v>111</v>
      </c>
      <c r="R11" s="701" t="s">
        <v>14</v>
      </c>
      <c r="S11" s="702">
        <f t="shared" si="0"/>
        <v>100</v>
      </c>
      <c r="T11" s="701" t="s">
        <v>14</v>
      </c>
      <c r="U11" s="702">
        <f t="shared" si="1"/>
        <v>100</v>
      </c>
      <c r="V11" s="701" t="s">
        <v>14</v>
      </c>
      <c r="W11" s="702">
        <f t="shared" si="2"/>
        <v>100</v>
      </c>
      <c r="X11" s="703"/>
      <c r="Y11" s="357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9"/>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9"/>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1" t="s">
        <v>1691</v>
      </c>
      <c r="Q14" s="1352" t="str">
        <f t="shared" si="6"/>
        <v>交通便捷度</v>
      </c>
      <c r="R14" s="705" t="s">
        <v>14</v>
      </c>
      <c r="S14" s="706">
        <f t="shared" si="0"/>
        <v>100</v>
      </c>
      <c r="T14" s="705" t="s">
        <v>14</v>
      </c>
      <c r="U14" s="706">
        <f t="shared" si="1"/>
        <v>100</v>
      </c>
      <c r="V14" s="705" t="s">
        <v>14</v>
      </c>
      <c r="W14" s="706">
        <f t="shared" si="2"/>
        <v>100</v>
      </c>
      <c r="X14" s="1355"/>
      <c r="Y14" s="370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2"/>
      <c r="Q15" s="1352"/>
      <c r="R15" s="705"/>
      <c r="S15" s="706"/>
      <c r="T15" s="705"/>
      <c r="U15" s="706"/>
      <c r="V15" s="705"/>
      <c r="W15" s="706"/>
      <c r="X15" s="1355"/>
      <c r="Y15" s="3702"/>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2"/>
      <c r="Q16" s="1352" t="str">
        <f>B16</f>
        <v>公共配套设施</v>
      </c>
      <c r="R16" s="705" t="s">
        <v>14</v>
      </c>
      <c r="S16" s="706">
        <f>F16</f>
        <v>100</v>
      </c>
      <c r="T16" s="705" t="s">
        <v>14</v>
      </c>
      <c r="U16" s="706">
        <f>H16</f>
        <v>100</v>
      </c>
      <c r="V16" s="705" t="s">
        <v>14</v>
      </c>
      <c r="W16" s="706">
        <f>J16</f>
        <v>100</v>
      </c>
      <c r="X16" s="1355"/>
      <c r="Y16" s="370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2"/>
      <c r="Q17" s="1352"/>
      <c r="R17" s="705"/>
      <c r="S17" s="706"/>
      <c r="T17" s="705"/>
      <c r="U17" s="706"/>
      <c r="V17" s="705"/>
      <c r="W17" s="706"/>
      <c r="X17" s="1355"/>
      <c r="Y17" s="3702"/>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2"/>
      <c r="Q18" s="1352" t="str">
        <f>B18</f>
        <v>基础设施水平</v>
      </c>
      <c r="R18" s="705" t="s">
        <v>14</v>
      </c>
      <c r="S18" s="706">
        <f>F18</f>
        <v>100</v>
      </c>
      <c r="T18" s="705" t="s">
        <v>14</v>
      </c>
      <c r="U18" s="706">
        <f>H18</f>
        <v>100</v>
      </c>
      <c r="V18" s="705" t="s">
        <v>14</v>
      </c>
      <c r="W18" s="706">
        <f>J18</f>
        <v>100</v>
      </c>
      <c r="X18" s="1355"/>
      <c r="Y18" s="370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2"/>
      <c r="Q19" s="1352"/>
      <c r="R19" s="705"/>
      <c r="S19" s="706"/>
      <c r="T19" s="705"/>
      <c r="U19" s="706"/>
      <c r="V19" s="705"/>
      <c r="W19" s="706"/>
      <c r="X19" s="1355"/>
      <c r="Y19" s="3702"/>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2"/>
      <c r="Q20" s="1352" t="str">
        <f>B20</f>
        <v>自然及人文环境</v>
      </c>
      <c r="R20" s="705" t="s">
        <v>14</v>
      </c>
      <c r="S20" s="706">
        <f>F20</f>
        <v>100</v>
      </c>
      <c r="T20" s="705" t="s">
        <v>14</v>
      </c>
      <c r="U20" s="706">
        <f>H20</f>
        <v>100</v>
      </c>
      <c r="V20" s="705" t="s">
        <v>14</v>
      </c>
      <c r="W20" s="706">
        <f>J20</f>
        <v>100</v>
      </c>
      <c r="X20" s="1355"/>
      <c r="Y20" s="370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2"/>
      <c r="Q21" s="1352"/>
      <c r="R21" s="705"/>
      <c r="S21" s="706"/>
      <c r="T21" s="705"/>
      <c r="U21" s="706"/>
      <c r="V21" s="705"/>
      <c r="W21" s="706"/>
      <c r="X21" s="1355"/>
      <c r="Y21" s="370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2"/>
      <c r="Q22" s="1352" t="str">
        <f>B22</f>
        <v>楼层</v>
      </c>
      <c r="R22" s="705" t="s">
        <v>14</v>
      </c>
      <c r="S22" s="706">
        <f>F22</f>
        <v>100</v>
      </c>
      <c r="T22" s="705" t="s">
        <v>14</v>
      </c>
      <c r="U22" s="706">
        <f>H22</f>
        <v>100</v>
      </c>
      <c r="V22" s="705" t="s">
        <v>14</v>
      </c>
      <c r="W22" s="706">
        <f>J22</f>
        <v>100</v>
      </c>
      <c r="X22" s="1355"/>
      <c r="Y22" s="370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2"/>
      <c r="Q23" s="1352">
        <f>B23</f>
        <v>111</v>
      </c>
      <c r="R23" s="705" t="s">
        <v>14</v>
      </c>
      <c r="S23" s="706">
        <f>F23</f>
        <v>100</v>
      </c>
      <c r="T23" s="705" t="s">
        <v>14</v>
      </c>
      <c r="U23" s="706">
        <f>H23</f>
        <v>100</v>
      </c>
      <c r="V23" s="705" t="s">
        <v>14</v>
      </c>
      <c r="W23" s="706">
        <f>J23</f>
        <v>100</v>
      </c>
      <c r="X23" s="1355"/>
      <c r="Y23" s="370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2"/>
      <c r="Q24" s="1352">
        <f t="shared" ref="Q24:Q36" si="11">B24</f>
        <v>111</v>
      </c>
      <c r="R24" s="705" t="s">
        <v>14</v>
      </c>
      <c r="S24" s="706">
        <f>F24</f>
        <v>100</v>
      </c>
      <c r="T24" s="705" t="s">
        <v>14</v>
      </c>
      <c r="U24" s="706">
        <f>H24</f>
        <v>100</v>
      </c>
      <c r="V24" s="705" t="s">
        <v>14</v>
      </c>
      <c r="W24" s="706">
        <f>J24</f>
        <v>100</v>
      </c>
      <c r="X24" s="1355"/>
      <c r="Y24" s="3702"/>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2"/>
      <c r="Q25" s="1343">
        <f t="shared" si="11"/>
        <v>111</v>
      </c>
      <c r="R25" s="701" t="s">
        <v>14</v>
      </c>
      <c r="S25" s="702">
        <f>F25</f>
        <v>100</v>
      </c>
      <c r="T25" s="701" t="s">
        <v>14</v>
      </c>
      <c r="U25" s="702">
        <f>H25</f>
        <v>100</v>
      </c>
      <c r="V25" s="701" t="s">
        <v>14</v>
      </c>
      <c r="W25" s="702">
        <f>J25</f>
        <v>100</v>
      </c>
      <c r="X25" s="703"/>
      <c r="Y25" s="3702"/>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6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6"/>
      <c r="Q27" s="707" t="str">
        <f t="shared" si="11"/>
        <v>项目停车位配比</v>
      </c>
      <c r="R27" s="708" t="s">
        <v>14</v>
      </c>
      <c r="S27" s="709">
        <f t="shared" si="12"/>
        <v>100</v>
      </c>
      <c r="T27" s="708" t="s">
        <v>14</v>
      </c>
      <c r="U27" s="709">
        <f t="shared" si="13"/>
        <v>100</v>
      </c>
      <c r="V27" s="708" t="s">
        <v>14</v>
      </c>
      <c r="W27" s="709">
        <f t="shared" si="14"/>
        <v>100</v>
      </c>
      <c r="X27" s="710"/>
      <c r="Y27" s="370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6"/>
      <c r="Q28" s="1352" t="str">
        <f t="shared" si="11"/>
        <v>公共部分装修</v>
      </c>
      <c r="R28" s="705" t="s">
        <v>14</v>
      </c>
      <c r="S28" s="706">
        <f t="shared" si="12"/>
        <v>100</v>
      </c>
      <c r="T28" s="705" t="s">
        <v>14</v>
      </c>
      <c r="U28" s="706">
        <f t="shared" si="13"/>
        <v>100</v>
      </c>
      <c r="V28" s="705" t="s">
        <v>14</v>
      </c>
      <c r="W28" s="706">
        <f t="shared" si="14"/>
        <v>100</v>
      </c>
      <c r="X28" s="1355"/>
      <c r="Y28" s="370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6"/>
      <c r="Q29" s="1352" t="str">
        <f t="shared" si="11"/>
        <v>成新率</v>
      </c>
      <c r="R29" s="705" t="s">
        <v>14</v>
      </c>
      <c r="S29" s="706" t="e">
        <f t="shared" si="12"/>
        <v>#N/A</v>
      </c>
      <c r="T29" s="705" t="s">
        <v>14</v>
      </c>
      <c r="U29" s="706" t="e">
        <f t="shared" si="13"/>
        <v>#N/A</v>
      </c>
      <c r="V29" s="705" t="s">
        <v>14</v>
      </c>
      <c r="W29" s="706" t="e">
        <f t="shared" si="14"/>
        <v>#N/A</v>
      </c>
      <c r="X29" s="1355"/>
      <c r="Y29" s="370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6"/>
      <c r="Q30" s="1352" t="str">
        <f t="shared" si="11"/>
        <v>物业等级</v>
      </c>
      <c r="R30" s="705" t="s">
        <v>14</v>
      </c>
      <c r="S30" s="706">
        <f t="shared" si="12"/>
        <v>100</v>
      </c>
      <c r="T30" s="705" t="s">
        <v>14</v>
      </c>
      <c r="U30" s="706">
        <f t="shared" si="13"/>
        <v>100</v>
      </c>
      <c r="V30" s="705" t="s">
        <v>14</v>
      </c>
      <c r="W30" s="706">
        <f t="shared" si="14"/>
        <v>100</v>
      </c>
      <c r="X30" s="1355"/>
      <c r="Y30" s="370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6"/>
      <c r="Q31" s="1343" t="str">
        <f t="shared" si="11"/>
        <v>停车位面积</v>
      </c>
      <c r="R31" s="701" t="s">
        <v>14</v>
      </c>
      <c r="S31" s="702" t="e">
        <f t="shared" si="12"/>
        <v>#N/A</v>
      </c>
      <c r="T31" s="701" t="s">
        <v>14</v>
      </c>
      <c r="U31" s="702" t="e">
        <f t="shared" si="13"/>
        <v>#N/A</v>
      </c>
      <c r="V31" s="701" t="s">
        <v>14</v>
      </c>
      <c r="W31" s="702" t="e">
        <f t="shared" si="14"/>
        <v>#N/A</v>
      </c>
      <c r="X31" s="703"/>
      <c r="Y31" s="370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6" t="s">
        <v>1696</v>
      </c>
      <c r="Q32" s="1352" t="str">
        <f t="shared" si="11"/>
        <v>车位类型</v>
      </c>
      <c r="R32" s="705" t="s">
        <v>14</v>
      </c>
      <c r="S32" s="706">
        <f t="shared" si="12"/>
        <v>100</v>
      </c>
      <c r="T32" s="705" t="s">
        <v>14</v>
      </c>
      <c r="U32" s="706">
        <f t="shared" si="13"/>
        <v>100</v>
      </c>
      <c r="V32" s="705" t="s">
        <v>14</v>
      </c>
      <c r="W32" s="706">
        <f t="shared" si="14"/>
        <v>100</v>
      </c>
      <c r="X32" s="1355"/>
      <c r="Y32" s="370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6"/>
      <c r="Q33" s="1352" t="str">
        <f t="shared" si="11"/>
        <v>是否直接入户</v>
      </c>
      <c r="R33" s="705" t="s">
        <v>14</v>
      </c>
      <c r="S33" s="706">
        <f t="shared" si="12"/>
        <v>100</v>
      </c>
      <c r="T33" s="705" t="s">
        <v>14</v>
      </c>
      <c r="U33" s="706">
        <f t="shared" si="13"/>
        <v>100</v>
      </c>
      <c r="V33" s="705" t="s">
        <v>14</v>
      </c>
      <c r="W33" s="706">
        <f t="shared" si="14"/>
        <v>100</v>
      </c>
      <c r="X33" s="1355"/>
      <c r="Y33" s="370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6"/>
      <c r="Q34" s="1352">
        <f t="shared" si="11"/>
        <v>111</v>
      </c>
      <c r="R34" s="705" t="s">
        <v>14</v>
      </c>
      <c r="S34" s="706">
        <f t="shared" si="12"/>
        <v>100</v>
      </c>
      <c r="T34" s="705" t="s">
        <v>14</v>
      </c>
      <c r="U34" s="706">
        <f t="shared" si="13"/>
        <v>100</v>
      </c>
      <c r="V34" s="705" t="s">
        <v>14</v>
      </c>
      <c r="W34" s="706">
        <f t="shared" si="14"/>
        <v>100</v>
      </c>
      <c r="X34" s="1355"/>
      <c r="Y34" s="370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6"/>
      <c r="Q35" s="707">
        <f t="shared" si="11"/>
        <v>111</v>
      </c>
      <c r="R35" s="708" t="s">
        <v>14</v>
      </c>
      <c r="S35" s="709">
        <f t="shared" si="12"/>
        <v>100</v>
      </c>
      <c r="T35" s="708" t="s">
        <v>14</v>
      </c>
      <c r="U35" s="709">
        <f t="shared" si="13"/>
        <v>100</v>
      </c>
      <c r="V35" s="708" t="s">
        <v>14</v>
      </c>
      <c r="W35" s="709">
        <f t="shared" si="14"/>
        <v>100</v>
      </c>
      <c r="X35" s="710"/>
      <c r="Y35" s="3706"/>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6"/>
      <c r="Q36" s="1352">
        <f t="shared" si="11"/>
        <v>111</v>
      </c>
      <c r="R36" s="705" t="s">
        <v>14</v>
      </c>
      <c r="S36" s="706">
        <f t="shared" si="12"/>
        <v>100</v>
      </c>
      <c r="T36" s="705" t="s">
        <v>14</v>
      </c>
      <c r="U36" s="706">
        <f t="shared" si="13"/>
        <v>100</v>
      </c>
      <c r="V36" s="705" t="s">
        <v>14</v>
      </c>
      <c r="W36" s="706">
        <f t="shared" si="14"/>
        <v>100</v>
      </c>
      <c r="X36" s="1355"/>
      <c r="Y36" s="3706"/>
      <c r="Z36" s="1356">
        <f t="shared" si="15"/>
        <v>111</v>
      </c>
      <c r="AA36" s="1353">
        <f t="shared" si="3"/>
        <v>1</v>
      </c>
      <c r="AB36" s="1353">
        <f t="shared" si="4"/>
        <v>1</v>
      </c>
      <c r="AC36" s="1353">
        <f t="shared" si="5"/>
        <v>1</v>
      </c>
    </row>
    <row r="37" spans="1:29" ht="14.4">
      <c r="A37" s="430" t="s">
        <v>1844</v>
      </c>
      <c r="B37" s="1973" t="s">
        <v>3354</v>
      </c>
      <c r="C37" s="1154" t="s">
        <v>0</v>
      </c>
      <c r="D37" s="1155"/>
      <c r="E37" s="1156"/>
      <c r="F37" s="1157"/>
      <c r="G37" s="1158"/>
      <c r="H37" s="1159"/>
      <c r="I37" s="1156"/>
      <c r="J37" s="1159"/>
      <c r="K37" s="568"/>
      <c r="L37" s="2724"/>
      <c r="M37" s="2725"/>
      <c r="N37" s="2716"/>
      <c r="O37" s="2725"/>
      <c r="P37" s="3699" t="str">
        <f>A37</f>
        <v>成交单价</v>
      </c>
      <c r="Q37" s="3699"/>
      <c r="R37" s="3700">
        <f>E37</f>
        <v>0</v>
      </c>
      <c r="S37" s="3700"/>
      <c r="T37" s="3700">
        <f>G37</f>
        <v>0</v>
      </c>
      <c r="U37" s="3700"/>
      <c r="V37" s="3700">
        <f>I37</f>
        <v>0</v>
      </c>
      <c r="W37" s="3700"/>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9" t="str">
        <f>A38</f>
        <v>比较价值（元/平方米）</v>
      </c>
      <c r="Q38" s="3699"/>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696" t="str">
        <f>A39</f>
        <v>估价对象XX用房的比较价值（楼面单价，元/平方米）</v>
      </c>
      <c r="Q39" s="3697"/>
      <c r="R39" s="3761" t="e">
        <f>IF(F1="售价",ROUND(IF(D38="简单平均",AVERAGE(R38:W38),R38*F38+T38*H38+V38*J38),0),ROUND(IF(D38="简单平均",AVERAGE(R38:V38),R38*F38+T38*H38+V38*J38),1))</f>
        <v>#DIV/0!</v>
      </c>
      <c r="S39" s="3761"/>
      <c r="T39" s="3761"/>
      <c r="U39" s="3761"/>
      <c r="V39" s="3761"/>
      <c r="W39" s="3761"/>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2025-6</v>
      </c>
      <c r="D48" s="1185">
        <f>EDATE(C48,-1)</f>
        <v>45778</v>
      </c>
      <c r="E48" s="1185">
        <f t="shared" ref="E48:O48" si="16">EDATE(D48,-1)</f>
        <v>45748</v>
      </c>
      <c r="F48" s="1185">
        <f t="shared" si="16"/>
        <v>45717</v>
      </c>
      <c r="G48" s="1185">
        <f t="shared" si="16"/>
        <v>45689</v>
      </c>
      <c r="H48" s="1185">
        <f t="shared" si="16"/>
        <v>45658</v>
      </c>
      <c r="I48" s="1185">
        <f t="shared" si="16"/>
        <v>45627</v>
      </c>
      <c r="J48" s="1185">
        <f t="shared" si="16"/>
        <v>45597</v>
      </c>
      <c r="K48" s="1185">
        <f t="shared" si="16"/>
        <v>45566</v>
      </c>
      <c r="L48" s="1185">
        <f t="shared" si="16"/>
        <v>45536</v>
      </c>
      <c r="M48" s="1185">
        <f t="shared" si="16"/>
        <v>45505</v>
      </c>
      <c r="N48" s="1185">
        <f t="shared" si="16"/>
        <v>45474</v>
      </c>
      <c r="O48" s="1185">
        <f t="shared" si="16"/>
        <v>45444</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14" t="s">
        <v>1770</v>
      </c>
      <c r="D4" s="3715"/>
      <c r="E4" s="3716" t="s">
        <v>1771</v>
      </c>
      <c r="F4" s="3717"/>
      <c r="G4" s="3714" t="s">
        <v>1772</v>
      </c>
      <c r="H4" s="3715"/>
      <c r="I4" s="3714" t="s">
        <v>1773</v>
      </c>
      <c r="J4" s="3715"/>
      <c r="K4" s="559" t="s">
        <v>1774</v>
      </c>
      <c r="L4" s="2715"/>
      <c r="M4" s="2716"/>
      <c r="N4" s="2716"/>
      <c r="O4" s="2716"/>
      <c r="P4" s="3718" t="s">
        <v>1775</v>
      </c>
      <c r="Q4" s="3719"/>
      <c r="R4" s="3724" t="s">
        <v>1771</v>
      </c>
      <c r="S4" s="3725"/>
      <c r="T4" s="3724" t="s">
        <v>1772</v>
      </c>
      <c r="U4" s="3725"/>
      <c r="V4" s="3730" t="s">
        <v>1773</v>
      </c>
      <c r="W4" s="3730"/>
      <c r="X4" s="1355"/>
      <c r="Y4" s="3724" t="s">
        <v>1775</v>
      </c>
      <c r="Z4" s="3725"/>
      <c r="AA4" s="3711" t="s">
        <v>1771</v>
      </c>
      <c r="AB4" s="3712" t="s">
        <v>1772</v>
      </c>
      <c r="AC4" s="3711" t="s">
        <v>1773</v>
      </c>
    </row>
    <row r="5" spans="1:29">
      <c r="A5" s="358"/>
      <c r="B5" s="359"/>
      <c r="C5" s="3733" t="s">
        <v>1673</v>
      </c>
      <c r="D5" s="3734"/>
      <c r="E5" s="3744" t="s">
        <v>1674</v>
      </c>
      <c r="F5" s="3741"/>
      <c r="G5" s="3733" t="s">
        <v>1675</v>
      </c>
      <c r="H5" s="3734"/>
      <c r="I5" s="3733" t="s">
        <v>1676</v>
      </c>
      <c r="J5" s="3734"/>
      <c r="K5" s="559"/>
      <c r="L5" s="2715"/>
      <c r="M5" s="2716"/>
      <c r="N5" s="2716"/>
      <c r="O5" s="2716"/>
      <c r="P5" s="3720"/>
      <c r="Q5" s="3721"/>
      <c r="R5" s="3726"/>
      <c r="S5" s="3727"/>
      <c r="T5" s="3726"/>
      <c r="U5" s="3727"/>
      <c r="V5" s="3730"/>
      <c r="W5" s="3730"/>
      <c r="X5" s="1355"/>
      <c r="Y5" s="3726"/>
      <c r="Z5" s="3727"/>
      <c r="AA5" s="3712"/>
      <c r="AB5" s="3712"/>
      <c r="AC5" s="3712"/>
    </row>
    <row r="6" spans="1:29" ht="15" thickBot="1">
      <c r="A6" s="360"/>
      <c r="B6" s="361"/>
      <c r="C6" s="3731" t="s">
        <v>1677</v>
      </c>
      <c r="D6" s="3732"/>
      <c r="E6" s="3743" t="s">
        <v>1677</v>
      </c>
      <c r="F6" s="3739"/>
      <c r="G6" s="3731" t="s">
        <v>1677</v>
      </c>
      <c r="H6" s="3732"/>
      <c r="I6" s="3731" t="s">
        <v>1677</v>
      </c>
      <c r="J6" s="3732"/>
      <c r="K6" s="559" t="s">
        <v>1678</v>
      </c>
      <c r="L6" s="2715"/>
      <c r="M6" s="2716"/>
      <c r="N6" s="2716"/>
      <c r="O6" s="2716"/>
      <c r="P6" s="3722"/>
      <c r="Q6" s="3723"/>
      <c r="R6" s="3726"/>
      <c r="S6" s="3727"/>
      <c r="T6" s="3728"/>
      <c r="U6" s="3729"/>
      <c r="V6" s="3730"/>
      <c r="W6" s="3730"/>
      <c r="X6" s="1355"/>
      <c r="Y6" s="3728"/>
      <c r="Z6" s="3729"/>
      <c r="AA6" s="3713"/>
      <c r="AB6" s="3713"/>
      <c r="AC6" s="3713"/>
    </row>
    <row r="7" spans="1:29" s="108" customFormat="1" ht="15" thickBot="1">
      <c r="A7" s="362" t="s">
        <v>1679</v>
      </c>
      <c r="B7" s="363"/>
      <c r="C7" s="364">
        <f>'数据-取费表'!B2</f>
        <v>45828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5" t="s">
        <v>1680</v>
      </c>
      <c r="Q7" s="3737"/>
      <c r="R7" s="701" t="s">
        <v>14</v>
      </c>
      <c r="S7" s="702">
        <f t="shared" ref="S7:S14" si="0">F7</f>
        <v>0</v>
      </c>
      <c r="T7" s="701" t="s">
        <v>14</v>
      </c>
      <c r="U7" s="702">
        <f t="shared" ref="U7:U14" si="1">H7</f>
        <v>0</v>
      </c>
      <c r="V7" s="701" t="s">
        <v>14</v>
      </c>
      <c r="W7" s="702">
        <f t="shared" ref="W7:W14" si="2">J7</f>
        <v>0</v>
      </c>
      <c r="X7" s="703"/>
      <c r="Y7" s="3735" t="s">
        <v>1680</v>
      </c>
      <c r="Z7" s="3736"/>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5" t="s">
        <v>1683</v>
      </c>
      <c r="Q8" s="3736"/>
      <c r="R8" s="701" t="s">
        <v>14</v>
      </c>
      <c r="S8" s="702">
        <f t="shared" si="0"/>
        <v>100</v>
      </c>
      <c r="T8" s="701" t="s">
        <v>14</v>
      </c>
      <c r="U8" s="702">
        <f t="shared" si="1"/>
        <v>100</v>
      </c>
      <c r="V8" s="701" t="s">
        <v>14</v>
      </c>
      <c r="W8" s="702">
        <f t="shared" si="2"/>
        <v>100</v>
      </c>
      <c r="X8" s="703"/>
      <c r="Y8" s="3735" t="s">
        <v>1683</v>
      </c>
      <c r="Z8" s="3736"/>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9" t="s">
        <v>1686</v>
      </c>
      <c r="Q9" s="1343" t="str">
        <f t="shared" ref="Q9:Q14" si="6">B9</f>
        <v>用途</v>
      </c>
      <c r="R9" s="701" t="s">
        <v>14</v>
      </c>
      <c r="S9" s="702">
        <f t="shared" si="0"/>
        <v>100</v>
      </c>
      <c r="T9" s="701" t="s">
        <v>14</v>
      </c>
      <c r="U9" s="702">
        <f t="shared" si="1"/>
        <v>100</v>
      </c>
      <c r="V9" s="701" t="s">
        <v>14</v>
      </c>
      <c r="W9" s="702">
        <f t="shared" si="2"/>
        <v>100</v>
      </c>
      <c r="X9" s="703"/>
      <c r="Y9" s="3574"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9"/>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9"/>
      <c r="Q11" s="1343">
        <f t="shared" si="6"/>
        <v>111</v>
      </c>
      <c r="R11" s="701" t="s">
        <v>14</v>
      </c>
      <c r="S11" s="702">
        <f t="shared" si="0"/>
        <v>100</v>
      </c>
      <c r="T11" s="701" t="s">
        <v>14</v>
      </c>
      <c r="U11" s="702">
        <f t="shared" si="1"/>
        <v>100</v>
      </c>
      <c r="V11" s="701" t="s">
        <v>14</v>
      </c>
      <c r="W11" s="702">
        <f t="shared" si="2"/>
        <v>100</v>
      </c>
      <c r="X11" s="703"/>
      <c r="Y11" s="357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9"/>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9"/>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1" t="s">
        <v>1691</v>
      </c>
      <c r="Q14" s="1352" t="str">
        <f t="shared" si="6"/>
        <v>交通便捷度</v>
      </c>
      <c r="R14" s="705" t="s">
        <v>14</v>
      </c>
      <c r="S14" s="706">
        <f t="shared" si="0"/>
        <v>100</v>
      </c>
      <c r="T14" s="705" t="s">
        <v>14</v>
      </c>
      <c r="U14" s="706">
        <f t="shared" si="1"/>
        <v>100</v>
      </c>
      <c r="V14" s="705" t="s">
        <v>14</v>
      </c>
      <c r="W14" s="706">
        <f t="shared" si="2"/>
        <v>100</v>
      </c>
      <c r="X14" s="1355"/>
      <c r="Y14" s="370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2"/>
      <c r="Q15" s="1352"/>
      <c r="R15" s="705"/>
      <c r="S15" s="706"/>
      <c r="T15" s="705"/>
      <c r="U15" s="706"/>
      <c r="V15" s="705"/>
      <c r="W15" s="706"/>
      <c r="X15" s="1355"/>
      <c r="Y15" s="3702"/>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2"/>
      <c r="Q16" s="1352" t="str">
        <f>B16</f>
        <v>公共配套设施</v>
      </c>
      <c r="R16" s="705" t="s">
        <v>14</v>
      </c>
      <c r="S16" s="706">
        <f>F16</f>
        <v>100</v>
      </c>
      <c r="T16" s="705" t="s">
        <v>14</v>
      </c>
      <c r="U16" s="706">
        <f>H16</f>
        <v>100</v>
      </c>
      <c r="V16" s="705" t="s">
        <v>14</v>
      </c>
      <c r="W16" s="706">
        <f>J16</f>
        <v>100</v>
      </c>
      <c r="X16" s="1355"/>
      <c r="Y16" s="370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2"/>
      <c r="Q17" s="1352"/>
      <c r="R17" s="705"/>
      <c r="S17" s="706"/>
      <c r="T17" s="705"/>
      <c r="U17" s="706"/>
      <c r="V17" s="705"/>
      <c r="W17" s="706"/>
      <c r="X17" s="1355"/>
      <c r="Y17" s="3702"/>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2"/>
      <c r="Q18" s="1352" t="str">
        <f>B18</f>
        <v>基础设施水平</v>
      </c>
      <c r="R18" s="705" t="s">
        <v>14</v>
      </c>
      <c r="S18" s="706">
        <f>F18</f>
        <v>100</v>
      </c>
      <c r="T18" s="705" t="s">
        <v>14</v>
      </c>
      <c r="U18" s="706">
        <f>H18</f>
        <v>100</v>
      </c>
      <c r="V18" s="705" t="s">
        <v>14</v>
      </c>
      <c r="W18" s="706">
        <f>J18</f>
        <v>100</v>
      </c>
      <c r="X18" s="1355"/>
      <c r="Y18" s="370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2"/>
      <c r="Q19" s="1352"/>
      <c r="R19" s="705"/>
      <c r="S19" s="706"/>
      <c r="T19" s="705"/>
      <c r="U19" s="706"/>
      <c r="V19" s="705"/>
      <c r="W19" s="706"/>
      <c r="X19" s="1355"/>
      <c r="Y19" s="3702"/>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2"/>
      <c r="Q20" s="1352" t="str">
        <f>B20</f>
        <v>自然及人文环境</v>
      </c>
      <c r="R20" s="705" t="s">
        <v>14</v>
      </c>
      <c r="S20" s="706">
        <f>F20</f>
        <v>100</v>
      </c>
      <c r="T20" s="705" t="s">
        <v>14</v>
      </c>
      <c r="U20" s="706">
        <f>H20</f>
        <v>100</v>
      </c>
      <c r="V20" s="705" t="s">
        <v>14</v>
      </c>
      <c r="W20" s="706">
        <f>J20</f>
        <v>100</v>
      </c>
      <c r="X20" s="1355"/>
      <c r="Y20" s="370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2"/>
      <c r="Q21" s="1352"/>
      <c r="R21" s="705"/>
      <c r="S21" s="706"/>
      <c r="T21" s="705"/>
      <c r="U21" s="706"/>
      <c r="V21" s="705"/>
      <c r="W21" s="706"/>
      <c r="X21" s="1355"/>
      <c r="Y21" s="370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2"/>
      <c r="Q22" s="1352" t="str">
        <f>B22</f>
        <v>楼层</v>
      </c>
      <c r="R22" s="705" t="s">
        <v>14</v>
      </c>
      <c r="S22" s="706">
        <f>F22</f>
        <v>100</v>
      </c>
      <c r="T22" s="705" t="s">
        <v>14</v>
      </c>
      <c r="U22" s="706">
        <f>H22</f>
        <v>100</v>
      </c>
      <c r="V22" s="705" t="s">
        <v>14</v>
      </c>
      <c r="W22" s="706">
        <f>J22</f>
        <v>100</v>
      </c>
      <c r="X22" s="1355"/>
      <c r="Y22" s="370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2"/>
      <c r="Q23" s="1352">
        <f>B23</f>
        <v>111</v>
      </c>
      <c r="R23" s="705" t="s">
        <v>14</v>
      </c>
      <c r="S23" s="706">
        <f>F23</f>
        <v>100</v>
      </c>
      <c r="T23" s="705" t="s">
        <v>14</v>
      </c>
      <c r="U23" s="706">
        <f>H23</f>
        <v>100</v>
      </c>
      <c r="V23" s="705" t="s">
        <v>14</v>
      </c>
      <c r="W23" s="706">
        <f>J23</f>
        <v>100</v>
      </c>
      <c r="X23" s="1355"/>
      <c r="Y23" s="370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2"/>
      <c r="Q24" s="1352">
        <f t="shared" ref="Q24:Q34" si="11">B24</f>
        <v>111</v>
      </c>
      <c r="R24" s="705" t="s">
        <v>14</v>
      </c>
      <c r="S24" s="706">
        <f>F24</f>
        <v>100</v>
      </c>
      <c r="T24" s="705" t="s">
        <v>14</v>
      </c>
      <c r="U24" s="706">
        <f>H24</f>
        <v>100</v>
      </c>
      <c r="V24" s="705" t="s">
        <v>14</v>
      </c>
      <c r="W24" s="706">
        <f>J24</f>
        <v>100</v>
      </c>
      <c r="X24" s="1355"/>
      <c r="Y24" s="3702"/>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2"/>
      <c r="Q25" s="1343">
        <f t="shared" si="11"/>
        <v>111</v>
      </c>
      <c r="R25" s="701" t="s">
        <v>14</v>
      </c>
      <c r="S25" s="702">
        <f>F25</f>
        <v>100</v>
      </c>
      <c r="T25" s="701" t="s">
        <v>14</v>
      </c>
      <c r="U25" s="702">
        <f>H25</f>
        <v>100</v>
      </c>
      <c r="V25" s="701" t="s">
        <v>14</v>
      </c>
      <c r="W25" s="702">
        <f>J25</f>
        <v>100</v>
      </c>
      <c r="X25" s="703"/>
      <c r="Y25" s="3702"/>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6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6"/>
      <c r="Q27" s="707" t="str">
        <f t="shared" si="11"/>
        <v>成新率</v>
      </c>
      <c r="R27" s="708" t="s">
        <v>14</v>
      </c>
      <c r="S27" s="709" t="e">
        <f t="shared" si="12"/>
        <v>#N/A</v>
      </c>
      <c r="T27" s="708" t="s">
        <v>14</v>
      </c>
      <c r="U27" s="709" t="e">
        <f t="shared" si="13"/>
        <v>#N/A</v>
      </c>
      <c r="V27" s="708" t="s">
        <v>14</v>
      </c>
      <c r="W27" s="709" t="e">
        <f t="shared" si="14"/>
        <v>#N/A</v>
      </c>
      <c r="X27" s="710"/>
      <c r="Y27" s="370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6"/>
      <c r="Q28" s="1352" t="str">
        <f t="shared" si="11"/>
        <v>物业等级</v>
      </c>
      <c r="R28" s="705" t="s">
        <v>14</v>
      </c>
      <c r="S28" s="706">
        <f t="shared" si="12"/>
        <v>100</v>
      </c>
      <c r="T28" s="705" t="s">
        <v>14</v>
      </c>
      <c r="U28" s="706">
        <f t="shared" si="13"/>
        <v>100</v>
      </c>
      <c r="V28" s="705" t="s">
        <v>14</v>
      </c>
      <c r="W28" s="706">
        <f t="shared" si="14"/>
        <v>100</v>
      </c>
      <c r="X28" s="1355"/>
      <c r="Y28" s="370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6"/>
      <c r="Q29" s="1352" t="str">
        <f t="shared" si="11"/>
        <v>有无电梯</v>
      </c>
      <c r="R29" s="705" t="s">
        <v>14</v>
      </c>
      <c r="S29" s="706">
        <f t="shared" si="12"/>
        <v>100</v>
      </c>
      <c r="T29" s="705" t="s">
        <v>14</v>
      </c>
      <c r="U29" s="706">
        <f t="shared" si="13"/>
        <v>100</v>
      </c>
      <c r="V29" s="705" t="s">
        <v>14</v>
      </c>
      <c r="W29" s="706">
        <f t="shared" si="14"/>
        <v>100</v>
      </c>
      <c r="X29" s="1355"/>
      <c r="Y29" s="370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6"/>
      <c r="Q30" s="1352" t="str">
        <f t="shared" si="11"/>
        <v>建筑面积</v>
      </c>
      <c r="R30" s="705" t="s">
        <v>14</v>
      </c>
      <c r="S30" s="706" t="e">
        <f t="shared" si="12"/>
        <v>#N/A</v>
      </c>
      <c r="T30" s="705" t="s">
        <v>14</v>
      </c>
      <c r="U30" s="706" t="e">
        <f t="shared" si="13"/>
        <v>#N/A</v>
      </c>
      <c r="V30" s="705" t="s">
        <v>14</v>
      </c>
      <c r="W30" s="706" t="e">
        <f t="shared" si="14"/>
        <v>#N/A</v>
      </c>
      <c r="X30" s="1355"/>
      <c r="Y30" s="370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6"/>
      <c r="Q31" s="1343" t="str">
        <f t="shared" si="11"/>
        <v>是否封闭</v>
      </c>
      <c r="R31" s="701" t="s">
        <v>14</v>
      </c>
      <c r="S31" s="702">
        <f t="shared" si="12"/>
        <v>100</v>
      </c>
      <c r="T31" s="701" t="s">
        <v>14</v>
      </c>
      <c r="U31" s="702">
        <f t="shared" si="13"/>
        <v>100</v>
      </c>
      <c r="V31" s="701" t="s">
        <v>14</v>
      </c>
      <c r="W31" s="702">
        <f t="shared" si="14"/>
        <v>100</v>
      </c>
      <c r="X31" s="703"/>
      <c r="Y31" s="370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6" t="s">
        <v>1696</v>
      </c>
      <c r="Q32" s="1352">
        <f t="shared" si="11"/>
        <v>111</v>
      </c>
      <c r="R32" s="705" t="s">
        <v>14</v>
      </c>
      <c r="S32" s="706">
        <f t="shared" si="12"/>
        <v>100</v>
      </c>
      <c r="T32" s="705" t="s">
        <v>14</v>
      </c>
      <c r="U32" s="706">
        <f t="shared" si="13"/>
        <v>100</v>
      </c>
      <c r="V32" s="705" t="s">
        <v>14</v>
      </c>
      <c r="W32" s="706">
        <f t="shared" si="14"/>
        <v>100</v>
      </c>
      <c r="X32" s="1355"/>
      <c r="Y32" s="370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6"/>
      <c r="Q33" s="1352">
        <f t="shared" si="11"/>
        <v>111</v>
      </c>
      <c r="R33" s="705" t="s">
        <v>14</v>
      </c>
      <c r="S33" s="706">
        <f t="shared" si="12"/>
        <v>100</v>
      </c>
      <c r="T33" s="705" t="s">
        <v>14</v>
      </c>
      <c r="U33" s="706">
        <f t="shared" si="13"/>
        <v>100</v>
      </c>
      <c r="V33" s="705" t="s">
        <v>14</v>
      </c>
      <c r="W33" s="706">
        <f t="shared" si="14"/>
        <v>100</v>
      </c>
      <c r="X33" s="1355"/>
      <c r="Y33" s="3706"/>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6"/>
      <c r="Q34" s="1352">
        <f t="shared" si="11"/>
        <v>111</v>
      </c>
      <c r="R34" s="705" t="s">
        <v>14</v>
      </c>
      <c r="S34" s="706">
        <f t="shared" si="12"/>
        <v>100</v>
      </c>
      <c r="T34" s="705" t="s">
        <v>14</v>
      </c>
      <c r="U34" s="706">
        <f t="shared" si="13"/>
        <v>100</v>
      </c>
      <c r="V34" s="705" t="s">
        <v>14</v>
      </c>
      <c r="W34" s="706">
        <f t="shared" si="14"/>
        <v>100</v>
      </c>
      <c r="X34" s="1355"/>
      <c r="Y34" s="3706"/>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699" t="str">
        <f>A35</f>
        <v>成交单价（元/平方米）</v>
      </c>
      <c r="Q35" s="3699"/>
      <c r="R35" s="3700">
        <f>E35</f>
        <v>0</v>
      </c>
      <c r="S35" s="3700"/>
      <c r="T35" s="3700">
        <f>G35</f>
        <v>0</v>
      </c>
      <c r="U35" s="3700"/>
      <c r="V35" s="3700">
        <f>I35</f>
        <v>0</v>
      </c>
      <c r="W35" s="3700"/>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9" t="str">
        <f>A36</f>
        <v>比较价值（元/平方米）</v>
      </c>
      <c r="Q36" s="3699"/>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696" t="str">
        <f>A37</f>
        <v>估价对象XX用房的比较价值（楼面单价，元/平方米）</v>
      </c>
      <c r="Q37" s="3697"/>
      <c r="R37" s="3761" t="e">
        <f>IF(F1="售价",ROUND(IF(D36="简单平均",AVERAGE(R36:W36),R36*F36+T36*H36+V36*J36),0),ROUND(IF(D36="简单平均",AVERAGE(R36:V36),R36*F36+T36*H36+V36*J36),1))</f>
        <v>#DIV/0!</v>
      </c>
      <c r="S37" s="3761"/>
      <c r="T37" s="3761"/>
      <c r="U37" s="3761"/>
      <c r="V37" s="3761"/>
      <c r="W37" s="3761"/>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2025-6</v>
      </c>
      <c r="D46" s="1185">
        <f>EDATE(C46,-1)</f>
        <v>45778</v>
      </c>
      <c r="E46" s="1185">
        <f t="shared" ref="E46:O46" si="16">EDATE(D46,-1)</f>
        <v>45748</v>
      </c>
      <c r="F46" s="1185">
        <f t="shared" si="16"/>
        <v>45717</v>
      </c>
      <c r="G46" s="1185">
        <f t="shared" si="16"/>
        <v>45689</v>
      </c>
      <c r="H46" s="1185">
        <f t="shared" si="16"/>
        <v>45658</v>
      </c>
      <c r="I46" s="1185">
        <f t="shared" si="16"/>
        <v>45627</v>
      </c>
      <c r="J46" s="1185">
        <f t="shared" si="16"/>
        <v>45597</v>
      </c>
      <c r="K46" s="1185">
        <f t="shared" si="16"/>
        <v>45566</v>
      </c>
      <c r="L46" s="1185">
        <f t="shared" si="16"/>
        <v>45536</v>
      </c>
      <c r="M46" s="1185">
        <f t="shared" si="16"/>
        <v>45505</v>
      </c>
      <c r="N46" s="1185">
        <f t="shared" si="16"/>
        <v>45474</v>
      </c>
      <c r="O46" s="1185">
        <f t="shared" si="16"/>
        <v>45444</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14" t="s">
        <v>1770</v>
      </c>
      <c r="D4" s="3715"/>
      <c r="E4" s="3716" t="s">
        <v>1771</v>
      </c>
      <c r="F4" s="3717"/>
      <c r="G4" s="3714" t="s">
        <v>1772</v>
      </c>
      <c r="H4" s="3715"/>
      <c r="I4" s="3714" t="s">
        <v>1773</v>
      </c>
      <c r="J4" s="3715"/>
      <c r="K4" s="559" t="s">
        <v>1774</v>
      </c>
      <c r="L4" s="2715"/>
      <c r="M4" s="2716"/>
      <c r="N4" s="2716"/>
      <c r="O4" s="2716"/>
      <c r="P4" s="3718" t="s">
        <v>1775</v>
      </c>
      <c r="Q4" s="3719"/>
      <c r="R4" s="3724" t="s">
        <v>1771</v>
      </c>
      <c r="S4" s="3725"/>
      <c r="T4" s="3724" t="s">
        <v>1772</v>
      </c>
      <c r="U4" s="3725"/>
      <c r="V4" s="3730" t="s">
        <v>1773</v>
      </c>
      <c r="W4" s="3730"/>
      <c r="X4" s="1355"/>
      <c r="Y4" s="3724" t="s">
        <v>1775</v>
      </c>
      <c r="Z4" s="3725"/>
      <c r="AA4" s="3711" t="s">
        <v>1771</v>
      </c>
      <c r="AB4" s="3712" t="s">
        <v>1772</v>
      </c>
      <c r="AC4" s="3711" t="s">
        <v>1773</v>
      </c>
    </row>
    <row r="5" spans="1:30">
      <c r="A5" s="358"/>
      <c r="B5" s="359"/>
      <c r="C5" s="3733" t="s">
        <v>1673</v>
      </c>
      <c r="D5" s="3734"/>
      <c r="E5" s="3744" t="s">
        <v>1674</v>
      </c>
      <c r="F5" s="3741"/>
      <c r="G5" s="3733" t="s">
        <v>1675</v>
      </c>
      <c r="H5" s="3734"/>
      <c r="I5" s="3733" t="s">
        <v>1676</v>
      </c>
      <c r="J5" s="3734"/>
      <c r="K5" s="559"/>
      <c r="L5" s="2715"/>
      <c r="M5" s="2716"/>
      <c r="N5" s="2716"/>
      <c r="O5" s="2716"/>
      <c r="P5" s="3720"/>
      <c r="Q5" s="3721"/>
      <c r="R5" s="3726"/>
      <c r="S5" s="3727"/>
      <c r="T5" s="3726"/>
      <c r="U5" s="3727"/>
      <c r="V5" s="3730"/>
      <c r="W5" s="3730"/>
      <c r="X5" s="1355"/>
      <c r="Y5" s="3726"/>
      <c r="Z5" s="3727"/>
      <c r="AA5" s="3712"/>
      <c r="AB5" s="3712"/>
      <c r="AC5" s="3712"/>
    </row>
    <row r="6" spans="1:30" ht="15" thickBot="1">
      <c r="A6" s="360"/>
      <c r="B6" s="361"/>
      <c r="C6" s="3731" t="s">
        <v>1677</v>
      </c>
      <c r="D6" s="3732"/>
      <c r="E6" s="3743" t="s">
        <v>1677</v>
      </c>
      <c r="F6" s="3739"/>
      <c r="G6" s="3731" t="s">
        <v>1677</v>
      </c>
      <c r="H6" s="3732"/>
      <c r="I6" s="3731" t="s">
        <v>1677</v>
      </c>
      <c r="J6" s="3732"/>
      <c r="K6" s="559" t="s">
        <v>1678</v>
      </c>
      <c r="L6" s="2715"/>
      <c r="M6" s="2716"/>
      <c r="N6" s="2716"/>
      <c r="O6" s="2716"/>
      <c r="P6" s="3722"/>
      <c r="Q6" s="3723"/>
      <c r="R6" s="3726"/>
      <c r="S6" s="3727"/>
      <c r="T6" s="3728"/>
      <c r="U6" s="3729"/>
      <c r="V6" s="3730"/>
      <c r="W6" s="3730"/>
      <c r="X6" s="1355"/>
      <c r="Y6" s="3728"/>
      <c r="Z6" s="3729"/>
      <c r="AA6" s="3713"/>
      <c r="AB6" s="3713"/>
      <c r="AC6" s="3713"/>
    </row>
    <row r="7" spans="1:30" s="108" customFormat="1" ht="15" thickBot="1">
      <c r="A7" s="362" t="s">
        <v>1679</v>
      </c>
      <c r="B7" s="363"/>
      <c r="C7" s="364">
        <f>'数据-取费表'!B2</f>
        <v>45828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5" t="s">
        <v>1680</v>
      </c>
      <c r="Q7" s="3737"/>
      <c r="R7" s="701" t="s">
        <v>14</v>
      </c>
      <c r="S7" s="702">
        <f t="shared" ref="S7:S15" si="0">F7</f>
        <v>0</v>
      </c>
      <c r="T7" s="701" t="s">
        <v>14</v>
      </c>
      <c r="U7" s="702">
        <f t="shared" ref="U7:U15" si="1">H7</f>
        <v>0</v>
      </c>
      <c r="V7" s="701" t="s">
        <v>14</v>
      </c>
      <c r="W7" s="702">
        <f t="shared" ref="W7:W15" si="2">J7</f>
        <v>0</v>
      </c>
      <c r="X7" s="703"/>
      <c r="Y7" s="3735" t="s">
        <v>1680</v>
      </c>
      <c r="Z7" s="3736"/>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5" t="s">
        <v>1683</v>
      </c>
      <c r="Q8" s="3736"/>
      <c r="R8" s="701" t="s">
        <v>14</v>
      </c>
      <c r="S8" s="702">
        <f t="shared" si="0"/>
        <v>0</v>
      </c>
      <c r="T8" s="701" t="s">
        <v>14</v>
      </c>
      <c r="U8" s="702">
        <f t="shared" si="1"/>
        <v>0</v>
      </c>
      <c r="V8" s="701" t="s">
        <v>14</v>
      </c>
      <c r="W8" s="702">
        <f t="shared" si="2"/>
        <v>0</v>
      </c>
      <c r="X8" s="703"/>
      <c r="Y8" s="3735" t="s">
        <v>1683</v>
      </c>
      <c r="Z8" s="3736"/>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9"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99"/>
      <c r="Q10" s="1343" t="str">
        <f t="shared" si="6"/>
        <v>土地使用年限（年）</v>
      </c>
      <c r="R10" s="701" t="s">
        <v>14</v>
      </c>
      <c r="S10" s="702" t="e">
        <f t="shared" si="0"/>
        <v>#DIV/0!</v>
      </c>
      <c r="T10" s="701" t="s">
        <v>14</v>
      </c>
      <c r="U10" s="702" t="e">
        <f t="shared" si="1"/>
        <v>#DIV/0!</v>
      </c>
      <c r="V10" s="701" t="s">
        <v>14</v>
      </c>
      <c r="W10" s="702" t="e">
        <f t="shared" si="2"/>
        <v>#DIV/0!</v>
      </c>
      <c r="X10" s="703"/>
      <c r="Y10" s="3574"/>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9"/>
      <c r="Q11" s="1343" t="str">
        <f t="shared" si="6"/>
        <v>容积率</v>
      </c>
      <c r="R11" s="701" t="s">
        <v>14</v>
      </c>
      <c r="S11" s="702" t="e">
        <f t="shared" si="0"/>
        <v>#N/A</v>
      </c>
      <c r="T11" s="701" t="s">
        <v>14</v>
      </c>
      <c r="U11" s="702" t="e">
        <f t="shared" si="1"/>
        <v>#N/A</v>
      </c>
      <c r="V11" s="701" t="s">
        <v>14</v>
      </c>
      <c r="W11" s="702" t="e">
        <f t="shared" si="2"/>
        <v>#N/A</v>
      </c>
      <c r="X11" s="703"/>
      <c r="Y11" s="357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9"/>
      <c r="Q12" s="1343" t="str">
        <f t="shared" si="6"/>
        <v>配建</v>
      </c>
      <c r="R12" s="701" t="s">
        <v>14</v>
      </c>
      <c r="S12" s="702">
        <f t="shared" si="0"/>
        <v>100</v>
      </c>
      <c r="T12" s="701" t="s">
        <v>14</v>
      </c>
      <c r="U12" s="702">
        <f t="shared" si="1"/>
        <v>100</v>
      </c>
      <c r="V12" s="701" t="s">
        <v>14</v>
      </c>
      <c r="W12" s="702">
        <f t="shared" si="2"/>
        <v>100</v>
      </c>
      <c r="X12" s="703"/>
      <c r="Y12" s="357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9"/>
      <c r="Q13" s="1343">
        <f t="shared" si="6"/>
        <v>111</v>
      </c>
      <c r="R13" s="701" t="s">
        <v>14</v>
      </c>
      <c r="S13" s="702">
        <f t="shared" si="0"/>
        <v>100</v>
      </c>
      <c r="T13" s="701" t="s">
        <v>14</v>
      </c>
      <c r="U13" s="702">
        <f t="shared" si="1"/>
        <v>100</v>
      </c>
      <c r="V13" s="701" t="s">
        <v>14</v>
      </c>
      <c r="W13" s="702">
        <f t="shared" si="2"/>
        <v>100</v>
      </c>
      <c r="X13" s="703"/>
      <c r="Y13" s="3574"/>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9"/>
      <c r="Q14" s="1343">
        <f t="shared" si="6"/>
        <v>111</v>
      </c>
      <c r="R14" s="701" t="s">
        <v>14</v>
      </c>
      <c r="S14" s="702">
        <f t="shared" si="0"/>
        <v>100</v>
      </c>
      <c r="T14" s="701" t="s">
        <v>14</v>
      </c>
      <c r="U14" s="702">
        <f t="shared" si="1"/>
        <v>100</v>
      </c>
      <c r="V14" s="701" t="s">
        <v>14</v>
      </c>
      <c r="W14" s="702">
        <f t="shared" si="2"/>
        <v>100</v>
      </c>
      <c r="X14" s="703"/>
      <c r="Y14" s="3574"/>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1" t="s">
        <v>1691</v>
      </c>
      <c r="Q15" s="1352" t="str">
        <f t="shared" si="6"/>
        <v>居住社区成熟度</v>
      </c>
      <c r="R15" s="705" t="s">
        <v>14</v>
      </c>
      <c r="S15" s="706">
        <f t="shared" si="0"/>
        <v>100</v>
      </c>
      <c r="T15" s="705" t="s">
        <v>14</v>
      </c>
      <c r="U15" s="706">
        <f t="shared" si="1"/>
        <v>100</v>
      </c>
      <c r="V15" s="705" t="s">
        <v>14</v>
      </c>
      <c r="W15" s="706">
        <f t="shared" si="2"/>
        <v>100</v>
      </c>
      <c r="X15" s="1355"/>
      <c r="Y15" s="370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2"/>
      <c r="Q16" s="1352"/>
      <c r="R16" s="705"/>
      <c r="S16" s="706"/>
      <c r="T16" s="705"/>
      <c r="U16" s="706"/>
      <c r="V16" s="705"/>
      <c r="W16" s="706"/>
      <c r="X16" s="1355"/>
      <c r="Y16" s="3702"/>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2"/>
      <c r="Q17" s="1352" t="str">
        <f>B17</f>
        <v>商业繁华度</v>
      </c>
      <c r="R17" s="705" t="s">
        <v>14</v>
      </c>
      <c r="S17" s="706">
        <f>F17</f>
        <v>100</v>
      </c>
      <c r="T17" s="705" t="s">
        <v>14</v>
      </c>
      <c r="U17" s="706">
        <f>H17</f>
        <v>100</v>
      </c>
      <c r="V17" s="705" t="s">
        <v>14</v>
      </c>
      <c r="W17" s="706">
        <f>J17</f>
        <v>100</v>
      </c>
      <c r="X17" s="1355"/>
      <c r="Y17" s="370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2"/>
      <c r="Q18" s="1352"/>
      <c r="R18" s="705"/>
      <c r="S18" s="706"/>
      <c r="T18" s="705"/>
      <c r="U18" s="706"/>
      <c r="V18" s="705"/>
      <c r="W18" s="706"/>
      <c r="X18" s="1355"/>
      <c r="Y18" s="3702"/>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2"/>
      <c r="Q19" s="1352" t="str">
        <f>B19</f>
        <v>办公集聚程度</v>
      </c>
      <c r="R19" s="705" t="s">
        <v>14</v>
      </c>
      <c r="S19" s="706">
        <f>F19</f>
        <v>100</v>
      </c>
      <c r="T19" s="705" t="s">
        <v>14</v>
      </c>
      <c r="U19" s="706">
        <f>H19</f>
        <v>100</v>
      </c>
      <c r="V19" s="705" t="s">
        <v>14</v>
      </c>
      <c r="W19" s="706">
        <f>J19</f>
        <v>100</v>
      </c>
      <c r="X19" s="1355"/>
      <c r="Y19" s="370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2"/>
      <c r="Q20" s="1352"/>
      <c r="R20" s="705"/>
      <c r="S20" s="706"/>
      <c r="T20" s="705"/>
      <c r="U20" s="706"/>
      <c r="V20" s="705"/>
      <c r="W20" s="706"/>
      <c r="X20" s="1355"/>
      <c r="Y20" s="3702"/>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2"/>
      <c r="Q21" s="1352" t="str">
        <f>B21</f>
        <v>交通便捷度</v>
      </c>
      <c r="R21" s="705" t="s">
        <v>14</v>
      </c>
      <c r="S21" s="706">
        <f>F21</f>
        <v>100</v>
      </c>
      <c r="T21" s="705" t="s">
        <v>14</v>
      </c>
      <c r="U21" s="706">
        <f>H21</f>
        <v>100</v>
      </c>
      <c r="V21" s="705" t="s">
        <v>14</v>
      </c>
      <c r="W21" s="706">
        <f>J21</f>
        <v>100</v>
      </c>
      <c r="X21" s="1355"/>
      <c r="Y21" s="370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2"/>
      <c r="Q22" s="1352"/>
      <c r="R22" s="705"/>
      <c r="S22" s="706"/>
      <c r="T22" s="705"/>
      <c r="U22" s="706"/>
      <c r="V22" s="705"/>
      <c r="W22" s="706"/>
      <c r="X22" s="1355"/>
      <c r="Y22" s="3702"/>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2"/>
      <c r="Q23" s="1352" t="str">
        <f t="shared" ref="Q23:Q37" si="8">B23</f>
        <v>区域土地利用方向</v>
      </c>
      <c r="R23" s="705" t="s">
        <v>14</v>
      </c>
      <c r="S23" s="706">
        <f>F23</f>
        <v>100</v>
      </c>
      <c r="T23" s="705" t="s">
        <v>14</v>
      </c>
      <c r="U23" s="706">
        <f>H23</f>
        <v>100</v>
      </c>
      <c r="V23" s="705" t="s">
        <v>14</v>
      </c>
      <c r="W23" s="706">
        <f>J23</f>
        <v>100</v>
      </c>
      <c r="X23" s="1355"/>
      <c r="Y23" s="370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2"/>
      <c r="Q24" s="1352"/>
      <c r="R24" s="705"/>
      <c r="S24" s="706"/>
      <c r="T24" s="705"/>
      <c r="U24" s="706"/>
      <c r="V24" s="705"/>
      <c r="W24" s="706"/>
      <c r="X24" s="1355"/>
      <c r="Y24" s="3702"/>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2"/>
      <c r="Q25" s="1352" t="str">
        <f t="shared" si="8"/>
        <v>自然及人文环境状况</v>
      </c>
      <c r="R25" s="705" t="s">
        <v>14</v>
      </c>
      <c r="S25" s="706">
        <f>F25</f>
        <v>100</v>
      </c>
      <c r="T25" s="705" t="s">
        <v>14</v>
      </c>
      <c r="U25" s="706">
        <f>H25</f>
        <v>100</v>
      </c>
      <c r="V25" s="705" t="s">
        <v>14</v>
      </c>
      <c r="W25" s="706">
        <f>J25</f>
        <v>100</v>
      </c>
      <c r="X25" s="1355"/>
      <c r="Y25" s="370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2"/>
      <c r="Q26" s="1352"/>
      <c r="R26" s="705"/>
      <c r="S26" s="706"/>
      <c r="T26" s="705"/>
      <c r="U26" s="706"/>
      <c r="V26" s="705"/>
      <c r="W26" s="706"/>
      <c r="X26" s="1355"/>
      <c r="Y26" s="3702"/>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2"/>
      <c r="Q27" s="1343" t="str">
        <f t="shared" si="8"/>
        <v>公共配套设施</v>
      </c>
      <c r="R27" s="701" t="s">
        <v>14</v>
      </c>
      <c r="S27" s="702">
        <f>F27</f>
        <v>100</v>
      </c>
      <c r="T27" s="701" t="s">
        <v>14</v>
      </c>
      <c r="U27" s="702">
        <f>H27</f>
        <v>100</v>
      </c>
      <c r="V27" s="701" t="s">
        <v>14</v>
      </c>
      <c r="W27" s="702">
        <f>J27</f>
        <v>100</v>
      </c>
      <c r="X27" s="703"/>
      <c r="Y27" s="370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2"/>
      <c r="Q28" s="1343"/>
      <c r="R28" s="701"/>
      <c r="S28" s="702"/>
      <c r="T28" s="701"/>
      <c r="U28" s="702"/>
      <c r="V28" s="701"/>
      <c r="W28" s="702"/>
      <c r="X28" s="703"/>
      <c r="Y28" s="3702"/>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2"/>
      <c r="Q29" s="1343" t="str">
        <f t="shared" ref="Q29" si="9">B29</f>
        <v>基础设施水平</v>
      </c>
      <c r="R29" s="701" t="s">
        <v>14</v>
      </c>
      <c r="S29" s="702">
        <f>F29</f>
        <v>100</v>
      </c>
      <c r="T29" s="701" t="s">
        <v>14</v>
      </c>
      <c r="U29" s="702">
        <f>H29</f>
        <v>100</v>
      </c>
      <c r="V29" s="701" t="s">
        <v>14</v>
      </c>
      <c r="W29" s="702">
        <f>J29</f>
        <v>100</v>
      </c>
      <c r="X29" s="703"/>
      <c r="Y29" s="370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2"/>
      <c r="Q30" s="1343"/>
      <c r="R30" s="701"/>
      <c r="S30" s="702"/>
      <c r="T30" s="701"/>
      <c r="U30" s="702"/>
      <c r="V30" s="701"/>
      <c r="W30" s="702"/>
      <c r="X30" s="703"/>
      <c r="Y30" s="370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2"/>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2"/>
      <c r="Q32" s="1352" t="str">
        <f t="shared" si="8"/>
        <v>毗邻道路的类型与等级</v>
      </c>
      <c r="R32" s="705" t="s">
        <v>14</v>
      </c>
      <c r="S32" s="706">
        <f t="shared" si="10"/>
        <v>100</v>
      </c>
      <c r="T32" s="705" t="s">
        <v>14</v>
      </c>
      <c r="U32" s="706">
        <f t="shared" si="11"/>
        <v>100</v>
      </c>
      <c r="V32" s="705" t="s">
        <v>14</v>
      </c>
      <c r="W32" s="706">
        <f t="shared" si="12"/>
        <v>100</v>
      </c>
      <c r="X32" s="1355"/>
      <c r="Y32" s="370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2"/>
      <c r="Q33" s="1352"/>
      <c r="R33" s="705"/>
      <c r="S33" s="706"/>
      <c r="T33" s="705"/>
      <c r="U33" s="706"/>
      <c r="V33" s="705"/>
      <c r="W33" s="706"/>
      <c r="X33" s="1355"/>
      <c r="Y33" s="370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2"/>
      <c r="Q34" s="1352" t="str">
        <f t="shared" si="8"/>
        <v>土地级别</v>
      </c>
      <c r="R34" s="705" t="s">
        <v>14</v>
      </c>
      <c r="S34" s="706">
        <f t="shared" si="10"/>
        <v>100</v>
      </c>
      <c r="T34" s="705" t="s">
        <v>14</v>
      </c>
      <c r="U34" s="706">
        <f t="shared" si="11"/>
        <v>100</v>
      </c>
      <c r="V34" s="705" t="s">
        <v>14</v>
      </c>
      <c r="W34" s="706">
        <f t="shared" si="12"/>
        <v>100</v>
      </c>
      <c r="X34" s="1355"/>
      <c r="Y34" s="370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2"/>
      <c r="Q35" s="1352">
        <f t="shared" si="8"/>
        <v>111</v>
      </c>
      <c r="R35" s="705" t="s">
        <v>14</v>
      </c>
      <c r="S35" s="706">
        <f t="shared" si="10"/>
        <v>100</v>
      </c>
      <c r="T35" s="705" t="s">
        <v>14</v>
      </c>
      <c r="U35" s="706">
        <f t="shared" si="11"/>
        <v>100</v>
      </c>
      <c r="V35" s="705" t="s">
        <v>14</v>
      </c>
      <c r="W35" s="706">
        <f t="shared" si="12"/>
        <v>100</v>
      </c>
      <c r="X35" s="1355"/>
      <c r="Y35" s="370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60" t="s">
        <v>1696</v>
      </c>
      <c r="Q36" s="1352">
        <f t="shared" si="8"/>
        <v>111</v>
      </c>
      <c r="R36" s="705" t="s">
        <v>14</v>
      </c>
      <c r="S36" s="706">
        <f t="shared" si="10"/>
        <v>100</v>
      </c>
      <c r="T36" s="705" t="s">
        <v>14</v>
      </c>
      <c r="U36" s="706">
        <f t="shared" si="11"/>
        <v>100</v>
      </c>
      <c r="V36" s="705" t="s">
        <v>14</v>
      </c>
      <c r="W36" s="706">
        <f t="shared" si="12"/>
        <v>100</v>
      </c>
      <c r="X36" s="1355"/>
      <c r="Y36" s="3706"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6"/>
      <c r="Q37" s="1352">
        <f t="shared" si="8"/>
        <v>111</v>
      </c>
      <c r="R37" s="708" t="s">
        <v>14</v>
      </c>
      <c r="S37" s="709">
        <f t="shared" si="10"/>
        <v>100</v>
      </c>
      <c r="T37" s="708" t="s">
        <v>14</v>
      </c>
      <c r="U37" s="709">
        <f t="shared" si="11"/>
        <v>100</v>
      </c>
      <c r="V37" s="708" t="s">
        <v>14</v>
      </c>
      <c r="W37" s="709">
        <f t="shared" si="12"/>
        <v>100</v>
      </c>
      <c r="X37" s="710"/>
      <c r="Y37" s="3706"/>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6"/>
      <c r="Q38" s="1352" t="str">
        <f>B38</f>
        <v>宗地面积</v>
      </c>
      <c r="R38" s="705" t="s">
        <v>14</v>
      </c>
      <c r="S38" s="706" t="e">
        <f t="shared" si="10"/>
        <v>#N/A</v>
      </c>
      <c r="T38" s="705" t="s">
        <v>14</v>
      </c>
      <c r="U38" s="706" t="e">
        <f t="shared" si="11"/>
        <v>#N/A</v>
      </c>
      <c r="V38" s="705" t="s">
        <v>14</v>
      </c>
      <c r="W38" s="706" t="e">
        <f t="shared" si="12"/>
        <v>#N/A</v>
      </c>
      <c r="X38" s="1355"/>
      <c r="Y38" s="370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6"/>
      <c r="Q39" s="1352" t="str">
        <f t="shared" ref="Q39:Q45" si="14">B39</f>
        <v>宗地形状</v>
      </c>
      <c r="R39" s="705" t="s">
        <v>14</v>
      </c>
      <c r="S39" s="706">
        <f t="shared" si="10"/>
        <v>100</v>
      </c>
      <c r="T39" s="705" t="s">
        <v>14</v>
      </c>
      <c r="U39" s="706">
        <f t="shared" si="11"/>
        <v>100</v>
      </c>
      <c r="V39" s="705" t="s">
        <v>14</v>
      </c>
      <c r="W39" s="706">
        <f t="shared" si="12"/>
        <v>100</v>
      </c>
      <c r="X39" s="1355"/>
      <c r="Y39" s="370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6"/>
      <c r="Q40" s="1352" t="str">
        <f t="shared" si="14"/>
        <v>临街宽度及深度</v>
      </c>
      <c r="R40" s="705" t="s">
        <v>14</v>
      </c>
      <c r="S40" s="706">
        <f t="shared" si="10"/>
        <v>100</v>
      </c>
      <c r="T40" s="705" t="s">
        <v>14</v>
      </c>
      <c r="U40" s="706">
        <f t="shared" si="11"/>
        <v>100</v>
      </c>
      <c r="V40" s="705" t="s">
        <v>14</v>
      </c>
      <c r="W40" s="706">
        <f t="shared" si="12"/>
        <v>100</v>
      </c>
      <c r="X40" s="1355"/>
      <c r="Y40" s="370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6"/>
      <c r="Q41" s="1352" t="str">
        <f t="shared" si="14"/>
        <v>宗地开发程度</v>
      </c>
      <c r="R41" s="701" t="s">
        <v>14</v>
      </c>
      <c r="S41" s="702">
        <f t="shared" si="10"/>
        <v>100</v>
      </c>
      <c r="T41" s="701" t="s">
        <v>14</v>
      </c>
      <c r="U41" s="702">
        <f t="shared" si="11"/>
        <v>100</v>
      </c>
      <c r="V41" s="701" t="s">
        <v>14</v>
      </c>
      <c r="W41" s="702">
        <f t="shared" si="12"/>
        <v>100</v>
      </c>
      <c r="X41" s="703"/>
      <c r="Y41" s="370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6" t="s">
        <v>1696</v>
      </c>
      <c r="Q42" s="1352" t="str">
        <f t="shared" si="14"/>
        <v>工程地质条件</v>
      </c>
      <c r="R42" s="705" t="s">
        <v>14</v>
      </c>
      <c r="S42" s="706">
        <f t="shared" si="10"/>
        <v>100</v>
      </c>
      <c r="T42" s="705" t="s">
        <v>14</v>
      </c>
      <c r="U42" s="706">
        <f t="shared" si="11"/>
        <v>100</v>
      </c>
      <c r="V42" s="705" t="s">
        <v>14</v>
      </c>
      <c r="W42" s="706">
        <f t="shared" si="12"/>
        <v>100</v>
      </c>
      <c r="X42" s="1355"/>
      <c r="Y42" s="370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6"/>
      <c r="Q43" s="1352">
        <f t="shared" si="14"/>
        <v>111</v>
      </c>
      <c r="R43" s="705" t="s">
        <v>14</v>
      </c>
      <c r="S43" s="706">
        <f t="shared" si="10"/>
        <v>100</v>
      </c>
      <c r="T43" s="705" t="s">
        <v>14</v>
      </c>
      <c r="U43" s="706">
        <f t="shared" si="11"/>
        <v>100</v>
      </c>
      <c r="V43" s="705" t="s">
        <v>14</v>
      </c>
      <c r="W43" s="706">
        <f t="shared" si="12"/>
        <v>100</v>
      </c>
      <c r="X43" s="1355"/>
      <c r="Y43" s="370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6"/>
      <c r="Q44" s="1352">
        <f t="shared" si="14"/>
        <v>111</v>
      </c>
      <c r="R44" s="705" t="s">
        <v>14</v>
      </c>
      <c r="S44" s="706">
        <f t="shared" si="10"/>
        <v>100</v>
      </c>
      <c r="T44" s="705" t="s">
        <v>14</v>
      </c>
      <c r="U44" s="706">
        <f t="shared" si="11"/>
        <v>100</v>
      </c>
      <c r="V44" s="705" t="s">
        <v>14</v>
      </c>
      <c r="W44" s="706">
        <f t="shared" si="12"/>
        <v>100</v>
      </c>
      <c r="X44" s="1355"/>
      <c r="Y44" s="3706"/>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6"/>
      <c r="Q45" s="1352">
        <f t="shared" si="14"/>
        <v>111</v>
      </c>
      <c r="R45" s="708" t="s">
        <v>14</v>
      </c>
      <c r="S45" s="709">
        <f t="shared" si="10"/>
        <v>100</v>
      </c>
      <c r="T45" s="708" t="s">
        <v>14</v>
      </c>
      <c r="U45" s="709">
        <f t="shared" si="11"/>
        <v>100</v>
      </c>
      <c r="V45" s="708" t="s">
        <v>14</v>
      </c>
      <c r="W45" s="709">
        <f t="shared" si="12"/>
        <v>100</v>
      </c>
      <c r="X45" s="710"/>
      <c r="Y45" s="3706"/>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699" t="str">
        <f>A46</f>
        <v>成交单价</v>
      </c>
      <c r="Q46" s="3699"/>
      <c r="R46" s="3730">
        <f>E46</f>
        <v>0</v>
      </c>
      <c r="S46" s="3730"/>
      <c r="T46" s="3730">
        <f>G46</f>
        <v>0</v>
      </c>
      <c r="U46" s="3730"/>
      <c r="V46" s="3730">
        <f>I46</f>
        <v>0</v>
      </c>
      <c r="W46" s="3730"/>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9" t="str">
        <f>A47</f>
        <v>比较价值（元/平方米）</v>
      </c>
      <c r="Q47" s="3699"/>
      <c r="R47" s="3762" t="e">
        <f>ROUND(PRODUCT(R46,AA7:AA45),0)</f>
        <v>#DIV/0!</v>
      </c>
      <c r="S47" s="3762"/>
      <c r="T47" s="3762" t="e">
        <f>ROUND(PRODUCT(T46,AB7:AB45),0)</f>
        <v>#DIV/0!</v>
      </c>
      <c r="U47" s="3762"/>
      <c r="V47" s="3762" t="e">
        <f>ROUND(PRODUCT(V46,AC7:AC45),0)</f>
        <v>#DIV/0!</v>
      </c>
      <c r="W47" s="3762"/>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696" t="str">
        <f>A48</f>
        <v>估价对象XX用房的比较价值（楼面单价，元/平方米）</v>
      </c>
      <c r="Q48" s="3697"/>
      <c r="R48" s="3763" t="e">
        <f>ROUND(IF(D47="简单平均",AVERAGE(R47:W47),R47*F47+T47*H47+V47*J47),0)</f>
        <v>#DIV/0!</v>
      </c>
      <c r="S48" s="3763"/>
      <c r="T48" s="3763"/>
      <c r="U48" s="3763"/>
      <c r="V48" s="3763"/>
      <c r="W48" s="376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4" t="s">
        <v>1887</v>
      </c>
      <c r="H55" s="3764"/>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164.94</v>
      </c>
      <c r="F56" s="886" t="e">
        <f t="shared" ref="F56:F64" si="15">ROUND(B56*E56/10000,0)</f>
        <v>#DIV/0!</v>
      </c>
      <c r="G56" s="3710"/>
      <c r="H56" s="369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164.94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2025-6-1</v>
      </c>
      <c r="D67" s="692">
        <f>EDATE(C67,-3)</f>
        <v>45717</v>
      </c>
      <c r="E67" s="692">
        <f>EDATE(D67,-3)</f>
        <v>45627</v>
      </c>
      <c r="F67" s="692">
        <f t="shared" ref="F67:O67" si="18">EDATE(E67,-3)</f>
        <v>45536</v>
      </c>
      <c r="G67" s="692">
        <f t="shared" si="18"/>
        <v>45444</v>
      </c>
      <c r="H67" s="692">
        <f t="shared" si="18"/>
        <v>45352</v>
      </c>
      <c r="I67" s="692">
        <f t="shared" si="18"/>
        <v>45261</v>
      </c>
      <c r="J67" s="692">
        <f t="shared" si="18"/>
        <v>45170</v>
      </c>
      <c r="K67" s="692">
        <f t="shared" si="18"/>
        <v>45078</v>
      </c>
      <c r="L67" s="692">
        <f t="shared" si="18"/>
        <v>44986</v>
      </c>
      <c r="M67" s="692">
        <f t="shared" si="18"/>
        <v>44896</v>
      </c>
      <c r="N67" s="692">
        <f t="shared" si="18"/>
        <v>44805</v>
      </c>
      <c r="O67" s="692">
        <f t="shared" si="18"/>
        <v>44713</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14" t="s">
        <v>1770</v>
      </c>
      <c r="D4" s="3715"/>
      <c r="E4" s="3716" t="s">
        <v>1771</v>
      </c>
      <c r="F4" s="3717"/>
      <c r="G4" s="3714" t="s">
        <v>1772</v>
      </c>
      <c r="H4" s="3715"/>
      <c r="I4" s="3714" t="s">
        <v>1773</v>
      </c>
      <c r="J4" s="3715"/>
      <c r="K4" s="559" t="s">
        <v>1774</v>
      </c>
      <c r="L4" s="2715"/>
      <c r="M4" s="2716"/>
      <c r="N4" s="2716"/>
      <c r="O4" s="2716"/>
      <c r="P4" s="3718" t="s">
        <v>1775</v>
      </c>
      <c r="Q4" s="3719"/>
      <c r="R4" s="3724" t="s">
        <v>1771</v>
      </c>
      <c r="S4" s="3725"/>
      <c r="T4" s="3724" t="s">
        <v>1772</v>
      </c>
      <c r="U4" s="3725"/>
      <c r="V4" s="3730" t="s">
        <v>1773</v>
      </c>
      <c r="W4" s="3730"/>
      <c r="X4" s="1355"/>
      <c r="Y4" s="3724" t="s">
        <v>1775</v>
      </c>
      <c r="Z4" s="3725"/>
      <c r="AA4" s="3711" t="s">
        <v>1771</v>
      </c>
      <c r="AB4" s="3712" t="s">
        <v>1772</v>
      </c>
      <c r="AC4" s="3711" t="s">
        <v>1773</v>
      </c>
    </row>
    <row r="5" spans="1:29">
      <c r="A5" s="358"/>
      <c r="B5" s="359"/>
      <c r="C5" s="3733" t="s">
        <v>1673</v>
      </c>
      <c r="D5" s="3734"/>
      <c r="E5" s="3744" t="s">
        <v>1674</v>
      </c>
      <c r="F5" s="3741"/>
      <c r="G5" s="3733" t="s">
        <v>1675</v>
      </c>
      <c r="H5" s="3734"/>
      <c r="I5" s="3733" t="s">
        <v>1676</v>
      </c>
      <c r="J5" s="3734"/>
      <c r="K5" s="559"/>
      <c r="L5" s="2715"/>
      <c r="M5" s="2716"/>
      <c r="N5" s="2716"/>
      <c r="O5" s="2716"/>
      <c r="P5" s="3720"/>
      <c r="Q5" s="3721"/>
      <c r="R5" s="3726"/>
      <c r="S5" s="3727"/>
      <c r="T5" s="3726"/>
      <c r="U5" s="3727"/>
      <c r="V5" s="3730"/>
      <c r="W5" s="3730"/>
      <c r="X5" s="1355"/>
      <c r="Y5" s="3726"/>
      <c r="Z5" s="3727"/>
      <c r="AA5" s="3712"/>
      <c r="AB5" s="3712"/>
      <c r="AC5" s="3712"/>
    </row>
    <row r="6" spans="1:29" ht="15" thickBot="1">
      <c r="A6" s="360"/>
      <c r="B6" s="361"/>
      <c r="C6" s="3765" t="s">
        <v>1919</v>
      </c>
      <c r="D6" s="3766"/>
      <c r="E6" s="3767" t="s">
        <v>1919</v>
      </c>
      <c r="F6" s="3768"/>
      <c r="G6" s="3765" t="s">
        <v>1919</v>
      </c>
      <c r="H6" s="3766"/>
      <c r="I6" s="3765" t="s">
        <v>1919</v>
      </c>
      <c r="J6" s="3766"/>
      <c r="K6" s="559" t="s">
        <v>1678</v>
      </c>
      <c r="L6" s="2715"/>
      <c r="M6" s="2716"/>
      <c r="N6" s="2716"/>
      <c r="O6" s="2716"/>
      <c r="P6" s="3722"/>
      <c r="Q6" s="3723"/>
      <c r="R6" s="3726"/>
      <c r="S6" s="3727"/>
      <c r="T6" s="3728"/>
      <c r="U6" s="3729"/>
      <c r="V6" s="3730"/>
      <c r="W6" s="3730"/>
      <c r="X6" s="1355"/>
      <c r="Y6" s="3728"/>
      <c r="Z6" s="3729"/>
      <c r="AA6" s="3713"/>
      <c r="AB6" s="3713"/>
      <c r="AC6" s="3713"/>
    </row>
    <row r="7" spans="1:29" s="108" customFormat="1" ht="15" thickBot="1">
      <c r="A7" s="362" t="s">
        <v>1679</v>
      </c>
      <c r="B7" s="363"/>
      <c r="C7" s="364">
        <f>'数据-取费表'!B2</f>
        <v>45828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5" t="s">
        <v>1680</v>
      </c>
      <c r="Q7" s="3737"/>
      <c r="R7" s="701" t="s">
        <v>14</v>
      </c>
      <c r="S7" s="702">
        <f t="shared" ref="S7:S15" si="0">F7</f>
        <v>0</v>
      </c>
      <c r="T7" s="701" t="s">
        <v>14</v>
      </c>
      <c r="U7" s="702">
        <f t="shared" ref="U7:U15" si="1">H7</f>
        <v>0</v>
      </c>
      <c r="V7" s="701" t="s">
        <v>14</v>
      </c>
      <c r="W7" s="702">
        <f t="shared" ref="W7:W15" si="2">J7</f>
        <v>0</v>
      </c>
      <c r="X7" s="703"/>
      <c r="Y7" s="3735" t="s">
        <v>1680</v>
      </c>
      <c r="Z7" s="3736"/>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5" t="s">
        <v>1683</v>
      </c>
      <c r="Q8" s="3736"/>
      <c r="R8" s="701" t="s">
        <v>14</v>
      </c>
      <c r="S8" s="702">
        <f t="shared" si="0"/>
        <v>0</v>
      </c>
      <c r="T8" s="701" t="s">
        <v>14</v>
      </c>
      <c r="U8" s="702">
        <f t="shared" si="1"/>
        <v>0</v>
      </c>
      <c r="V8" s="701" t="s">
        <v>14</v>
      </c>
      <c r="W8" s="702">
        <f t="shared" si="2"/>
        <v>0</v>
      </c>
      <c r="X8" s="703"/>
      <c r="Y8" s="3735" t="s">
        <v>1683</v>
      </c>
      <c r="Z8" s="3736"/>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9"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99"/>
      <c r="Q10" s="1343" t="str">
        <f t="shared" si="6"/>
        <v>土地使用年限（年）</v>
      </c>
      <c r="R10" s="701" t="s">
        <v>14</v>
      </c>
      <c r="S10" s="702" t="e">
        <f t="shared" si="0"/>
        <v>#DIV/0!</v>
      </c>
      <c r="T10" s="701" t="s">
        <v>14</v>
      </c>
      <c r="U10" s="702" t="e">
        <f t="shared" si="1"/>
        <v>#DIV/0!</v>
      </c>
      <c r="V10" s="701" t="s">
        <v>14</v>
      </c>
      <c r="W10" s="702" t="e">
        <f t="shared" si="2"/>
        <v>#DIV/0!</v>
      </c>
      <c r="X10" s="703"/>
      <c r="Y10" s="3574"/>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9"/>
      <c r="Q11" s="1343" t="str">
        <f t="shared" si="6"/>
        <v>容积率</v>
      </c>
      <c r="R11" s="701" t="s">
        <v>14</v>
      </c>
      <c r="S11" s="702" t="e">
        <f t="shared" si="0"/>
        <v>#N/A</v>
      </c>
      <c r="T11" s="701" t="s">
        <v>14</v>
      </c>
      <c r="U11" s="702" t="e">
        <f t="shared" si="1"/>
        <v>#N/A</v>
      </c>
      <c r="V11" s="701" t="s">
        <v>14</v>
      </c>
      <c r="W11" s="702" t="e">
        <f t="shared" si="2"/>
        <v>#N/A</v>
      </c>
      <c r="X11" s="703"/>
      <c r="Y11" s="357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9"/>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9"/>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9"/>
      <c r="Q14" s="1343">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1" t="s">
        <v>1691</v>
      </c>
      <c r="Q15" s="1352" t="str">
        <f t="shared" si="6"/>
        <v>产业集聚程度</v>
      </c>
      <c r="R15" s="705" t="s">
        <v>14</v>
      </c>
      <c r="S15" s="706">
        <f t="shared" si="0"/>
        <v>100</v>
      </c>
      <c r="T15" s="705" t="s">
        <v>14</v>
      </c>
      <c r="U15" s="706">
        <f t="shared" si="1"/>
        <v>100</v>
      </c>
      <c r="V15" s="705" t="s">
        <v>14</v>
      </c>
      <c r="W15" s="706">
        <f t="shared" si="2"/>
        <v>100</v>
      </c>
      <c r="X15" s="1355"/>
      <c r="Y15" s="370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2"/>
      <c r="Q16" s="1352"/>
      <c r="R16" s="705"/>
      <c r="S16" s="706"/>
      <c r="T16" s="705"/>
      <c r="U16" s="706"/>
      <c r="V16" s="705"/>
      <c r="W16" s="706"/>
      <c r="X16" s="1355"/>
      <c r="Y16" s="3702"/>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2"/>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2"/>
      <c r="Q18" s="1352"/>
      <c r="R18" s="705"/>
      <c r="S18" s="706"/>
      <c r="T18" s="705"/>
      <c r="U18" s="706"/>
      <c r="V18" s="705"/>
      <c r="W18" s="706"/>
      <c r="X18" s="1355"/>
      <c r="Y18" s="3702"/>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2"/>
      <c r="Q19" s="1352" t="str">
        <f t="shared" ref="Q19:Q33" si="8">B19</f>
        <v>区域土地利用方向</v>
      </c>
      <c r="R19" s="705" t="s">
        <v>14</v>
      </c>
      <c r="S19" s="706">
        <f>F19</f>
        <v>100</v>
      </c>
      <c r="T19" s="705" t="s">
        <v>14</v>
      </c>
      <c r="U19" s="706">
        <f>H19</f>
        <v>100</v>
      </c>
      <c r="V19" s="705" t="s">
        <v>14</v>
      </c>
      <c r="W19" s="706">
        <f>J19</f>
        <v>100</v>
      </c>
      <c r="X19" s="1355"/>
      <c r="Y19" s="370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2"/>
      <c r="Q20" s="1352"/>
      <c r="R20" s="705"/>
      <c r="S20" s="706"/>
      <c r="T20" s="705"/>
      <c r="U20" s="706"/>
      <c r="V20" s="705"/>
      <c r="W20" s="706"/>
      <c r="X20" s="1355"/>
      <c r="Y20" s="3702"/>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2"/>
      <c r="Q21" s="1352" t="str">
        <f t="shared" si="8"/>
        <v>环境状况</v>
      </c>
      <c r="R21" s="705" t="s">
        <v>14</v>
      </c>
      <c r="S21" s="706">
        <f>F21</f>
        <v>100</v>
      </c>
      <c r="T21" s="705" t="s">
        <v>14</v>
      </c>
      <c r="U21" s="706">
        <f>H21</f>
        <v>100</v>
      </c>
      <c r="V21" s="705" t="s">
        <v>14</v>
      </c>
      <c r="W21" s="706">
        <f>J21</f>
        <v>100</v>
      </c>
      <c r="X21" s="1355"/>
      <c r="Y21" s="370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2"/>
      <c r="Q22" s="1352"/>
      <c r="R22" s="705"/>
      <c r="S22" s="706"/>
      <c r="T22" s="705"/>
      <c r="U22" s="706"/>
      <c r="V22" s="705"/>
      <c r="W22" s="706"/>
      <c r="X22" s="1355"/>
      <c r="Y22" s="3702"/>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2"/>
      <c r="Q23" s="1343" t="str">
        <f t="shared" si="8"/>
        <v>公共配套设施</v>
      </c>
      <c r="R23" s="701" t="s">
        <v>14</v>
      </c>
      <c r="S23" s="702">
        <f>F23</f>
        <v>100</v>
      </c>
      <c r="T23" s="701" t="s">
        <v>14</v>
      </c>
      <c r="U23" s="702">
        <f>H23</f>
        <v>100</v>
      </c>
      <c r="V23" s="701" t="s">
        <v>14</v>
      </c>
      <c r="W23" s="702">
        <f>J23</f>
        <v>100</v>
      </c>
      <c r="X23" s="703"/>
      <c r="Y23" s="370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2"/>
      <c r="Q24" s="1343"/>
      <c r="R24" s="701"/>
      <c r="S24" s="702"/>
      <c r="T24" s="701"/>
      <c r="U24" s="702"/>
      <c r="V24" s="701"/>
      <c r="W24" s="702"/>
      <c r="X24" s="703"/>
      <c r="Y24" s="3702"/>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2"/>
      <c r="Q25" s="1343" t="str">
        <f t="shared" ref="Q25" si="9">B25</f>
        <v>基础设施水平</v>
      </c>
      <c r="R25" s="701" t="s">
        <v>14</v>
      </c>
      <c r="S25" s="702">
        <f>F25</f>
        <v>100</v>
      </c>
      <c r="T25" s="701" t="s">
        <v>14</v>
      </c>
      <c r="U25" s="702">
        <f>H25</f>
        <v>100</v>
      </c>
      <c r="V25" s="701" t="s">
        <v>14</v>
      </c>
      <c r="W25" s="702">
        <f>J25</f>
        <v>100</v>
      </c>
      <c r="X25" s="703"/>
      <c r="Y25" s="370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2"/>
      <c r="Q26" s="1343"/>
      <c r="R26" s="701"/>
      <c r="S26" s="702"/>
      <c r="T26" s="701"/>
      <c r="U26" s="702"/>
      <c r="V26" s="701"/>
      <c r="W26" s="702"/>
      <c r="X26" s="703"/>
      <c r="Y26" s="370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2"/>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2"/>
      <c r="Q28" s="1352" t="str">
        <f t="shared" si="8"/>
        <v>毗邻道路的类型与等级</v>
      </c>
      <c r="R28" s="705" t="s">
        <v>14</v>
      </c>
      <c r="S28" s="706">
        <f t="shared" si="10"/>
        <v>100</v>
      </c>
      <c r="T28" s="705" t="s">
        <v>14</v>
      </c>
      <c r="U28" s="706">
        <f t="shared" si="11"/>
        <v>100</v>
      </c>
      <c r="V28" s="705" t="s">
        <v>14</v>
      </c>
      <c r="W28" s="706">
        <f t="shared" si="12"/>
        <v>100</v>
      </c>
      <c r="X28" s="1355"/>
      <c r="Y28" s="370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2"/>
      <c r="Q29" s="1352"/>
      <c r="R29" s="705"/>
      <c r="S29" s="706"/>
      <c r="T29" s="705"/>
      <c r="U29" s="706"/>
      <c r="V29" s="705"/>
      <c r="W29" s="706"/>
      <c r="X29" s="1355"/>
      <c r="Y29" s="370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2"/>
      <c r="Q30" s="1352" t="str">
        <f t="shared" si="8"/>
        <v>土地级别</v>
      </c>
      <c r="R30" s="705" t="s">
        <v>14</v>
      </c>
      <c r="S30" s="706">
        <f t="shared" si="10"/>
        <v>100</v>
      </c>
      <c r="T30" s="705" t="s">
        <v>14</v>
      </c>
      <c r="U30" s="706">
        <f t="shared" si="11"/>
        <v>100</v>
      </c>
      <c r="V30" s="705" t="s">
        <v>14</v>
      </c>
      <c r="W30" s="706">
        <f t="shared" si="12"/>
        <v>100</v>
      </c>
      <c r="X30" s="1355"/>
      <c r="Y30" s="370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2"/>
      <c r="Q31" s="1352">
        <f t="shared" si="8"/>
        <v>111</v>
      </c>
      <c r="R31" s="705" t="s">
        <v>14</v>
      </c>
      <c r="S31" s="706">
        <f t="shared" si="10"/>
        <v>100</v>
      </c>
      <c r="T31" s="705" t="s">
        <v>14</v>
      </c>
      <c r="U31" s="706">
        <f t="shared" si="11"/>
        <v>100</v>
      </c>
      <c r="V31" s="705" t="s">
        <v>14</v>
      </c>
      <c r="W31" s="706">
        <f t="shared" si="12"/>
        <v>100</v>
      </c>
      <c r="X31" s="1355"/>
      <c r="Y31" s="370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60" t="s">
        <v>1696</v>
      </c>
      <c r="Q32" s="1352">
        <f t="shared" si="8"/>
        <v>111</v>
      </c>
      <c r="R32" s="705" t="s">
        <v>14</v>
      </c>
      <c r="S32" s="706">
        <f t="shared" si="10"/>
        <v>100</v>
      </c>
      <c r="T32" s="705" t="s">
        <v>14</v>
      </c>
      <c r="U32" s="706">
        <f t="shared" si="11"/>
        <v>100</v>
      </c>
      <c r="V32" s="705" t="s">
        <v>14</v>
      </c>
      <c r="W32" s="706">
        <f t="shared" si="12"/>
        <v>100</v>
      </c>
      <c r="X32" s="1355"/>
      <c r="Y32" s="3706"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6"/>
      <c r="Q33" s="1352">
        <f t="shared" si="8"/>
        <v>111</v>
      </c>
      <c r="R33" s="708" t="s">
        <v>14</v>
      </c>
      <c r="S33" s="709">
        <f t="shared" si="10"/>
        <v>100</v>
      </c>
      <c r="T33" s="708" t="s">
        <v>14</v>
      </c>
      <c r="U33" s="709">
        <f t="shared" si="11"/>
        <v>100</v>
      </c>
      <c r="V33" s="708" t="s">
        <v>14</v>
      </c>
      <c r="W33" s="709">
        <f t="shared" si="12"/>
        <v>100</v>
      </c>
      <c r="X33" s="710"/>
      <c r="Y33" s="370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6"/>
      <c r="Q34" s="1352" t="str">
        <f>B34</f>
        <v>宗地面积</v>
      </c>
      <c r="R34" s="705" t="s">
        <v>14</v>
      </c>
      <c r="S34" s="706" t="e">
        <f t="shared" si="10"/>
        <v>#N/A</v>
      </c>
      <c r="T34" s="705" t="s">
        <v>14</v>
      </c>
      <c r="U34" s="706" t="e">
        <f t="shared" si="11"/>
        <v>#N/A</v>
      </c>
      <c r="V34" s="705" t="s">
        <v>14</v>
      </c>
      <c r="W34" s="706" t="e">
        <f t="shared" si="12"/>
        <v>#N/A</v>
      </c>
      <c r="X34" s="1355"/>
      <c r="Y34" s="370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6"/>
      <c r="Q35" s="1352" t="str">
        <f t="shared" ref="Q35:Q40" si="14">B35</f>
        <v>宗地形状</v>
      </c>
      <c r="R35" s="705" t="s">
        <v>14</v>
      </c>
      <c r="S35" s="706">
        <f t="shared" si="10"/>
        <v>100</v>
      </c>
      <c r="T35" s="705" t="s">
        <v>14</v>
      </c>
      <c r="U35" s="706">
        <f t="shared" si="11"/>
        <v>100</v>
      </c>
      <c r="V35" s="705" t="s">
        <v>14</v>
      </c>
      <c r="W35" s="706">
        <f t="shared" si="12"/>
        <v>100</v>
      </c>
      <c r="X35" s="1355"/>
      <c r="Y35" s="370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6"/>
      <c r="Q36" s="1352" t="str">
        <f t="shared" si="14"/>
        <v>宗地开发程度</v>
      </c>
      <c r="R36" s="701" t="s">
        <v>14</v>
      </c>
      <c r="S36" s="702">
        <f t="shared" si="10"/>
        <v>100</v>
      </c>
      <c r="T36" s="701" t="s">
        <v>14</v>
      </c>
      <c r="U36" s="702">
        <f t="shared" si="11"/>
        <v>100</v>
      </c>
      <c r="V36" s="701" t="s">
        <v>14</v>
      </c>
      <c r="W36" s="702">
        <f t="shared" si="12"/>
        <v>100</v>
      </c>
      <c r="X36" s="703"/>
      <c r="Y36" s="370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6" t="s">
        <v>1696</v>
      </c>
      <c r="Q37" s="1352" t="str">
        <f t="shared" si="14"/>
        <v>工程地质条件</v>
      </c>
      <c r="R37" s="705" t="s">
        <v>14</v>
      </c>
      <c r="S37" s="706">
        <f t="shared" si="10"/>
        <v>100</v>
      </c>
      <c r="T37" s="705" t="s">
        <v>14</v>
      </c>
      <c r="U37" s="706">
        <f t="shared" si="11"/>
        <v>100</v>
      </c>
      <c r="V37" s="705" t="s">
        <v>14</v>
      </c>
      <c r="W37" s="706">
        <f t="shared" si="12"/>
        <v>100</v>
      </c>
      <c r="X37" s="1355"/>
      <c r="Y37" s="370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6"/>
      <c r="Q38" s="1352">
        <f t="shared" si="14"/>
        <v>111</v>
      </c>
      <c r="R38" s="705" t="s">
        <v>14</v>
      </c>
      <c r="S38" s="706">
        <f t="shared" si="10"/>
        <v>100</v>
      </c>
      <c r="T38" s="705" t="s">
        <v>14</v>
      </c>
      <c r="U38" s="706">
        <f t="shared" si="11"/>
        <v>100</v>
      </c>
      <c r="V38" s="705" t="s">
        <v>14</v>
      </c>
      <c r="W38" s="706">
        <f t="shared" si="12"/>
        <v>100</v>
      </c>
      <c r="X38" s="1355"/>
      <c r="Y38" s="370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6"/>
      <c r="Q39" s="1352">
        <f t="shared" si="14"/>
        <v>111</v>
      </c>
      <c r="R39" s="705" t="s">
        <v>14</v>
      </c>
      <c r="S39" s="706">
        <f t="shared" si="10"/>
        <v>100</v>
      </c>
      <c r="T39" s="705" t="s">
        <v>14</v>
      </c>
      <c r="U39" s="706">
        <f t="shared" si="11"/>
        <v>100</v>
      </c>
      <c r="V39" s="705" t="s">
        <v>14</v>
      </c>
      <c r="W39" s="706">
        <f t="shared" si="12"/>
        <v>100</v>
      </c>
      <c r="X39" s="1355"/>
      <c r="Y39" s="3706"/>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6"/>
      <c r="Q40" s="1352">
        <f t="shared" si="14"/>
        <v>111</v>
      </c>
      <c r="R40" s="708" t="s">
        <v>14</v>
      </c>
      <c r="S40" s="709">
        <f t="shared" si="10"/>
        <v>100</v>
      </c>
      <c r="T40" s="708" t="s">
        <v>14</v>
      </c>
      <c r="U40" s="709">
        <f t="shared" si="11"/>
        <v>100</v>
      </c>
      <c r="V40" s="708" t="s">
        <v>14</v>
      </c>
      <c r="W40" s="709">
        <f t="shared" si="12"/>
        <v>100</v>
      </c>
      <c r="X40" s="710"/>
      <c r="Y40" s="3706"/>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699" t="str">
        <f>A41</f>
        <v>成交单价</v>
      </c>
      <c r="Q41" s="3699"/>
      <c r="R41" s="3730">
        <f>E41</f>
        <v>0</v>
      </c>
      <c r="S41" s="3730"/>
      <c r="T41" s="3730">
        <f>G41</f>
        <v>0</v>
      </c>
      <c r="U41" s="3730"/>
      <c r="V41" s="3730">
        <f>I41</f>
        <v>0</v>
      </c>
      <c r="W41" s="3730"/>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9" t="str">
        <f>A42</f>
        <v>比较价值（元/平方米）</v>
      </c>
      <c r="Q42" s="3699"/>
      <c r="R42" s="3762" t="e">
        <f>ROUND(PRODUCT(R41,AA7:AA40),0)</f>
        <v>#DIV/0!</v>
      </c>
      <c r="S42" s="3762"/>
      <c r="T42" s="3762" t="e">
        <f>ROUND(PRODUCT(T41,AB7:AB40),0)</f>
        <v>#DIV/0!</v>
      </c>
      <c r="U42" s="3762"/>
      <c r="V42" s="3762" t="e">
        <f>ROUND(PRODUCT(V41,AC7:AC40),0)</f>
        <v>#DIV/0!</v>
      </c>
      <c r="W42" s="3762"/>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696" t="str">
        <f>A43</f>
        <v>估价对象XX用房的比较价值（楼面单价，元/平方米）</v>
      </c>
      <c r="Q43" s="3697"/>
      <c r="R43" s="3763" t="e">
        <f>ROUND(IF(D42="简单平均",AVERAGE(R42:W42),R42*F42+T42*H42+V42*J42),0)</f>
        <v>#DIV/0!</v>
      </c>
      <c r="S43" s="3763"/>
      <c r="T43" s="3763"/>
      <c r="U43" s="3763"/>
      <c r="V43" s="3763"/>
      <c r="W43" s="3763"/>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14" t="s">
        <v>1887</v>
      </c>
      <c r="H50" s="3764"/>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164.94</v>
      </c>
      <c r="F51" s="639" t="e">
        <f t="shared" ref="F51:F60" si="15">ROUND(B51*E51/10000,0)</f>
        <v>#DIV/0!</v>
      </c>
      <c r="G51" s="3710"/>
      <c r="H51" s="369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2025-6-1</v>
      </c>
      <c r="D63" s="692">
        <f>EDATE(C63,-3)</f>
        <v>45717</v>
      </c>
      <c r="E63" s="692">
        <f>EDATE(D63,-3)</f>
        <v>45627</v>
      </c>
      <c r="F63" s="692">
        <f t="shared" ref="F63:O63" si="18">EDATE(E63,-3)</f>
        <v>45536</v>
      </c>
      <c r="G63" s="692">
        <f t="shared" si="18"/>
        <v>45444</v>
      </c>
      <c r="H63" s="692">
        <f t="shared" si="18"/>
        <v>45352</v>
      </c>
      <c r="I63" s="692">
        <f t="shared" si="18"/>
        <v>45261</v>
      </c>
      <c r="J63" s="692">
        <f t="shared" si="18"/>
        <v>45170</v>
      </c>
      <c r="K63" s="692">
        <f t="shared" si="18"/>
        <v>45078</v>
      </c>
      <c r="L63" s="692">
        <f t="shared" si="18"/>
        <v>44986</v>
      </c>
      <c r="M63" s="692">
        <f t="shared" si="18"/>
        <v>44896</v>
      </c>
      <c r="N63" s="692">
        <f t="shared" si="18"/>
        <v>44805</v>
      </c>
      <c r="O63" s="692">
        <f t="shared" si="18"/>
        <v>44713</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2" t="s">
        <v>2084</v>
      </c>
      <c r="D1" s="3773"/>
      <c r="E1" s="3773"/>
      <c r="F1" s="3773"/>
      <c r="G1" s="3773"/>
      <c r="H1" s="3773"/>
      <c r="I1" s="3773"/>
      <c r="J1" s="3773"/>
      <c r="K1" s="3773"/>
      <c r="L1" s="3773"/>
      <c r="M1" s="3773"/>
      <c r="N1" s="3773"/>
      <c r="O1" s="3773"/>
      <c r="P1" s="3773"/>
      <c r="Q1" s="3773"/>
      <c r="R1" s="3773"/>
      <c r="S1" s="377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9" t="s">
        <v>27</v>
      </c>
      <c r="D22" s="3770"/>
      <c r="E22" s="3770"/>
      <c r="F22" s="3770"/>
      <c r="G22" s="3770"/>
      <c r="H22" s="3770"/>
      <c r="I22" s="3770"/>
      <c r="J22" s="3770"/>
      <c r="K22" s="3770"/>
      <c r="L22" s="3770"/>
      <c r="M22" s="3770"/>
      <c r="N22" s="3770"/>
      <c r="O22" s="3770"/>
      <c r="P22" s="3770"/>
      <c r="Q22" s="377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20" sqref="H20"/>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782"/>
      <c r="B4" s="3783"/>
      <c r="C4" s="3783"/>
      <c r="D4" s="3784"/>
      <c r="E4" s="3784"/>
      <c r="F4" s="3784"/>
      <c r="G4" s="3784"/>
      <c r="H4" s="3784"/>
      <c r="I4" s="3784"/>
      <c r="J4" s="378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9" t="s">
        <v>1960</v>
      </c>
      <c r="X8" s="378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81"/>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8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86" t="s">
        <v>3254</v>
      </c>
      <c r="B20" s="167" t="s">
        <v>1994</v>
      </c>
      <c r="C20" s="3325" t="e">
        <f>ROUND(IF(F21="与级别开发程度一致",0,(G21-E21)/C21),0)</f>
        <v>#DIV/0!</v>
      </c>
      <c r="D20" s="3341" t="s">
        <v>1998</v>
      </c>
      <c r="E20" s="3342"/>
      <c r="F20" s="3792" t="s">
        <v>1995</v>
      </c>
      <c r="G20" s="3793"/>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787"/>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45828</v>
      </c>
      <c r="H23" s="3343" t="s">
        <v>3256</v>
      </c>
      <c r="I23" s="3344" t="str">
        <f>IF(H23="季度增幅（自定义）",SUMIF(N25:N28,E2,O25:O28),"")</f>
        <v/>
      </c>
      <c r="J23" s="3444" t="s">
        <v>3255</v>
      </c>
      <c r="K23" s="1125"/>
      <c r="L23" s="2055" t="s">
        <v>2004</v>
      </c>
      <c r="M23" s="1328">
        <f>ROUND(SUMIF(地价!B2:G2,E2,地价!B16:G16),0)</f>
        <v>0</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3265</v>
      </c>
      <c r="L36" s="3445">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90"/>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91"/>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91"/>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8" t="s">
        <v>3294</v>
      </c>
      <c r="B103" s="3788"/>
      <c r="C103" s="3788"/>
      <c r="D103" s="3788"/>
      <c r="E103" s="3788"/>
      <c r="F103" s="3788"/>
      <c r="G103" s="3788"/>
      <c r="H103" s="3788"/>
      <c r="I103" s="3788"/>
      <c r="J103" s="3788"/>
      <c r="K103" s="3390"/>
      <c r="L103" s="3390"/>
      <c r="M103" s="3390"/>
      <c r="N103" s="3390"/>
    </row>
    <row r="104" spans="1:14">
      <c r="A104" s="3789" t="s">
        <v>3295</v>
      </c>
      <c r="B104" s="3789" t="s">
        <v>3296</v>
      </c>
      <c r="C104" s="3391" t="s">
        <v>3297</v>
      </c>
      <c r="D104" s="3392"/>
      <c r="E104" s="3392"/>
      <c r="F104" s="3392"/>
      <c r="G104" s="3392"/>
      <c r="H104" s="3392"/>
      <c r="I104" s="3392"/>
      <c r="J104" s="3393"/>
      <c r="K104" s="3394"/>
      <c r="L104" s="3394"/>
      <c r="M104" s="3394"/>
      <c r="N104" s="3394"/>
    </row>
    <row r="105" spans="1:14">
      <c r="A105" s="3789"/>
      <c r="B105" s="3789"/>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75"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6"/>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7"/>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8" t="s">
        <v>3311</v>
      </c>
      <c r="B113" s="3778"/>
      <c r="C113" s="3778"/>
      <c r="D113" s="3778"/>
      <c r="E113" s="3778"/>
      <c r="F113" s="3778"/>
      <c r="G113" s="3778"/>
      <c r="H113" s="3778"/>
      <c r="I113" s="3778"/>
      <c r="J113" s="377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03" t="s">
        <v>2607</v>
      </c>
      <c r="B20" s="3798" t="s">
        <v>2628</v>
      </c>
      <c r="C20" s="3103" t="s">
        <v>2439</v>
      </c>
      <c r="D20" s="3104"/>
      <c r="E20" s="3105">
        <v>1</v>
      </c>
      <c r="F20" s="3106" t="s">
        <v>2440</v>
      </c>
      <c r="G20" s="3106"/>
    </row>
    <row r="21" spans="1:13" ht="19.5" customHeight="1">
      <c r="A21" s="3804"/>
      <c r="B21" s="3797"/>
      <c r="C21" s="3107" t="s">
        <v>2441</v>
      </c>
      <c r="D21" s="3108"/>
      <c r="E21" s="3109">
        <v>1</v>
      </c>
      <c r="F21" s="3106" t="s">
        <v>2442</v>
      </c>
      <c r="G21" s="3106"/>
    </row>
    <row r="22" spans="1:13" ht="19.5" customHeight="1">
      <c r="A22" s="3804"/>
      <c r="B22" s="3797"/>
      <c r="C22" s="3107" t="s">
        <v>2443</v>
      </c>
      <c r="D22" s="3108"/>
      <c r="E22" s="3109">
        <v>0.9</v>
      </c>
      <c r="F22" s="3106" t="s">
        <v>2444</v>
      </c>
      <c r="G22" s="3106"/>
    </row>
    <row r="23" spans="1:13" ht="19.5" customHeight="1">
      <c r="A23" s="3804"/>
      <c r="B23" s="3797"/>
      <c r="C23" s="3107" t="s">
        <v>2445</v>
      </c>
      <c r="D23" s="3108"/>
      <c r="E23" s="3109">
        <v>0.9</v>
      </c>
      <c r="F23" s="3106" t="s">
        <v>2446</v>
      </c>
      <c r="G23" s="3106"/>
    </row>
    <row r="24" spans="1:13" ht="19.5" customHeight="1">
      <c r="A24" s="3804"/>
      <c r="B24" s="3797"/>
      <c r="C24" s="3107" t="s">
        <v>2447</v>
      </c>
      <c r="D24" s="3108"/>
      <c r="E24" s="3109">
        <v>0.8</v>
      </c>
      <c r="F24" s="3106" t="s">
        <v>2448</v>
      </c>
      <c r="G24" s="3106"/>
    </row>
    <row r="25" spans="1:13" ht="19.5" customHeight="1" thickBot="1">
      <c r="A25" s="3805"/>
      <c r="B25" s="3799"/>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800" t="s">
        <v>2631</v>
      </c>
      <c r="B27" s="3798" t="s">
        <v>2612</v>
      </c>
      <c r="C27" s="3103" t="s">
        <v>2452</v>
      </c>
      <c r="D27" s="3104"/>
      <c r="E27" s="3105">
        <v>1</v>
      </c>
      <c r="F27" s="3106" t="s">
        <v>2453</v>
      </c>
      <c r="G27" s="3106"/>
    </row>
    <row r="28" spans="1:13" ht="19.5" customHeight="1">
      <c r="A28" s="3801"/>
      <c r="B28" s="3797"/>
      <c r="C28" s="3107" t="s">
        <v>2454</v>
      </c>
      <c r="D28" s="3108"/>
      <c r="E28" s="3109">
        <v>1</v>
      </c>
      <c r="F28" s="3106" t="s">
        <v>2455</v>
      </c>
      <c r="G28" s="3106"/>
    </row>
    <row r="29" spans="1:13" ht="19.5" customHeight="1">
      <c r="A29" s="3801"/>
      <c r="B29" s="3797"/>
      <c r="C29" s="3107" t="s">
        <v>2456</v>
      </c>
      <c r="D29" s="3108"/>
      <c r="E29" s="3109">
        <v>0.8</v>
      </c>
      <c r="F29" s="3106" t="s">
        <v>2457</v>
      </c>
      <c r="G29" s="3106"/>
    </row>
    <row r="30" spans="1:13" ht="19.5" customHeight="1">
      <c r="A30" s="3801"/>
      <c r="B30" s="3797"/>
      <c r="C30" s="3107" t="s">
        <v>2458</v>
      </c>
      <c r="D30" s="3108"/>
      <c r="E30" s="3109">
        <v>0.8</v>
      </c>
      <c r="F30" s="3106" t="s">
        <v>2459</v>
      </c>
      <c r="G30" s="3106"/>
    </row>
    <row r="31" spans="1:13" ht="19.5" customHeight="1">
      <c r="A31" s="3801"/>
      <c r="B31" s="3797"/>
      <c r="C31" s="3107" t="s">
        <v>2460</v>
      </c>
      <c r="D31" s="3108"/>
      <c r="E31" s="3109">
        <v>0.8</v>
      </c>
      <c r="F31" s="3106" t="s">
        <v>2461</v>
      </c>
      <c r="G31" s="3106"/>
    </row>
    <row r="32" spans="1:13" ht="19.5" customHeight="1">
      <c r="A32" s="3801"/>
      <c r="B32" s="3797"/>
      <c r="C32" s="3107" t="s">
        <v>2462</v>
      </c>
      <c r="D32" s="3108"/>
      <c r="E32" s="3109">
        <v>0.7</v>
      </c>
      <c r="F32" s="3106" t="s">
        <v>2463</v>
      </c>
      <c r="G32" s="3106"/>
    </row>
    <row r="33" spans="1:7" ht="19.5" customHeight="1">
      <c r="A33" s="3801"/>
      <c r="B33" s="3797"/>
      <c r="C33" s="3107" t="s">
        <v>2464</v>
      </c>
      <c r="D33" s="3108"/>
      <c r="E33" s="3109">
        <v>0.8</v>
      </c>
      <c r="F33" s="3106" t="s">
        <v>2465</v>
      </c>
      <c r="G33" s="3106"/>
    </row>
    <row r="34" spans="1:7" ht="19.5" customHeight="1">
      <c r="A34" s="3801"/>
      <c r="B34" s="3797"/>
      <c r="C34" s="3107" t="s">
        <v>2466</v>
      </c>
      <c r="D34" s="3108"/>
      <c r="E34" s="3109">
        <v>0.6</v>
      </c>
      <c r="F34" s="3106" t="s">
        <v>2467</v>
      </c>
      <c r="G34" s="3106"/>
    </row>
    <row r="35" spans="1:7" ht="19.5" customHeight="1">
      <c r="A35" s="3801"/>
      <c r="B35" s="3797"/>
      <c r="C35" s="3107" t="s">
        <v>2468</v>
      </c>
      <c r="D35" s="3108"/>
      <c r="E35" s="3109">
        <v>0.2</v>
      </c>
      <c r="F35" s="3106" t="s">
        <v>2469</v>
      </c>
      <c r="G35" s="3106"/>
    </row>
    <row r="36" spans="1:7" ht="19.5" customHeight="1">
      <c r="A36" s="3801"/>
      <c r="B36" s="3797"/>
      <c r="C36" s="3107" t="s">
        <v>2470</v>
      </c>
      <c r="D36" s="3108"/>
      <c r="E36" s="3109">
        <v>0.2</v>
      </c>
      <c r="F36" s="3106" t="s">
        <v>2471</v>
      </c>
      <c r="G36" s="3106"/>
    </row>
    <row r="37" spans="1:7" ht="19.5" customHeight="1">
      <c r="A37" s="3801"/>
      <c r="B37" s="3795" t="s">
        <v>2632</v>
      </c>
      <c r="C37" s="3107" t="s">
        <v>2472</v>
      </c>
      <c r="D37" s="3108"/>
      <c r="E37" s="3109">
        <v>0.6</v>
      </c>
      <c r="F37" s="3106" t="s">
        <v>2473</v>
      </c>
      <c r="G37" s="3106"/>
    </row>
    <row r="38" spans="1:7" ht="19.5" customHeight="1">
      <c r="A38" s="3801"/>
      <c r="B38" s="3797"/>
      <c r="C38" s="3107" t="s">
        <v>2474</v>
      </c>
      <c r="D38" s="3108"/>
      <c r="E38" s="3109">
        <v>0.6</v>
      </c>
      <c r="F38" s="3106" t="s">
        <v>2475</v>
      </c>
      <c r="G38" s="3106"/>
    </row>
    <row r="39" spans="1:7" ht="19.5" customHeight="1" thickBot="1">
      <c r="A39" s="3802"/>
      <c r="B39" s="3799"/>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803" t="s">
        <v>2610</v>
      </c>
      <c r="B41" s="3798" t="s">
        <v>2634</v>
      </c>
      <c r="C41" s="3103" t="s">
        <v>2479</v>
      </c>
      <c r="D41" s="3104"/>
      <c r="E41" s="3105">
        <v>1</v>
      </c>
      <c r="F41" s="3106" t="s">
        <v>2480</v>
      </c>
      <c r="G41" s="3106"/>
    </row>
    <row r="42" spans="1:7" ht="19.5" customHeight="1">
      <c r="A42" s="3804"/>
      <c r="B42" s="3797"/>
      <c r="C42" s="3107" t="s">
        <v>2481</v>
      </c>
      <c r="D42" s="3108"/>
      <c r="E42" s="3109">
        <v>1</v>
      </c>
      <c r="F42" s="3106" t="s">
        <v>2482</v>
      </c>
      <c r="G42" s="3106"/>
    </row>
    <row r="43" spans="1:7" ht="19.5" customHeight="1">
      <c r="A43" s="3804"/>
      <c r="B43" s="3796"/>
      <c r="C43" s="3107" t="s">
        <v>2483</v>
      </c>
      <c r="D43" s="3108"/>
      <c r="E43" s="3109">
        <v>1.5</v>
      </c>
      <c r="F43" s="3106" t="s">
        <v>2484</v>
      </c>
      <c r="G43" s="3106"/>
    </row>
    <row r="44" spans="1:7" ht="19.5" customHeight="1">
      <c r="A44" s="3804"/>
      <c r="B44" s="3118" t="s">
        <v>2635</v>
      </c>
      <c r="C44" s="3107" t="s">
        <v>2636</v>
      </c>
      <c r="D44" s="3108"/>
      <c r="E44" s="3109">
        <v>2</v>
      </c>
      <c r="F44" s="3106" t="s">
        <v>2485</v>
      </c>
      <c r="G44" s="3106"/>
    </row>
    <row r="45" spans="1:7" ht="19.5" customHeight="1">
      <c r="A45" s="3804"/>
      <c r="B45" s="3795" t="s">
        <v>2637</v>
      </c>
      <c r="C45" s="3107" t="s">
        <v>2486</v>
      </c>
      <c r="D45" s="3108"/>
      <c r="E45" s="3109">
        <v>1</v>
      </c>
      <c r="F45" s="3106" t="s">
        <v>2487</v>
      </c>
      <c r="G45" s="3106"/>
    </row>
    <row r="46" spans="1:7" ht="19.5" customHeight="1">
      <c r="A46" s="3804"/>
      <c r="B46" s="3797"/>
      <c r="C46" s="3107" t="s">
        <v>2488</v>
      </c>
      <c r="D46" s="3108"/>
      <c r="E46" s="3109">
        <v>1</v>
      </c>
      <c r="F46" s="3106" t="s">
        <v>2489</v>
      </c>
      <c r="G46" s="3106"/>
    </row>
    <row r="47" spans="1:7" ht="19.5" customHeight="1">
      <c r="A47" s="3804"/>
      <c r="B47" s="3797"/>
      <c r="C47" s="3107" t="s">
        <v>2490</v>
      </c>
      <c r="D47" s="3108"/>
      <c r="E47" s="3109">
        <v>1</v>
      </c>
      <c r="F47" s="3106" t="s">
        <v>2491</v>
      </c>
      <c r="G47" s="3106"/>
    </row>
    <row r="48" spans="1:7" ht="19.5" customHeight="1">
      <c r="A48" s="3804"/>
      <c r="B48" s="3797"/>
      <c r="C48" s="3107" t="s">
        <v>2492</v>
      </c>
      <c r="D48" s="3108"/>
      <c r="E48" s="3109">
        <v>1</v>
      </c>
      <c r="F48" s="3106" t="s">
        <v>2493</v>
      </c>
      <c r="G48" s="3106"/>
    </row>
    <row r="49" spans="1:7" ht="19.5" customHeight="1">
      <c r="A49" s="3804"/>
      <c r="B49" s="3797"/>
      <c r="C49" s="3107" t="s">
        <v>2494</v>
      </c>
      <c r="D49" s="3108"/>
      <c r="E49" s="3109">
        <v>1</v>
      </c>
      <c r="F49" s="3106" t="s">
        <v>2495</v>
      </c>
      <c r="G49" s="3106"/>
    </row>
    <row r="50" spans="1:7" ht="19.5" customHeight="1">
      <c r="A50" s="3804"/>
      <c r="B50" s="3797"/>
      <c r="C50" s="3107" t="s">
        <v>2496</v>
      </c>
      <c r="D50" s="3108"/>
      <c r="E50" s="3109">
        <v>1</v>
      </c>
      <c r="F50" s="3106" t="s">
        <v>2497</v>
      </c>
      <c r="G50" s="3106"/>
    </row>
    <row r="51" spans="1:7" ht="19.5" customHeight="1" thickBot="1">
      <c r="A51" s="3805"/>
      <c r="B51" s="3799"/>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795" t="s">
        <v>2651</v>
      </c>
      <c r="C73" s="3092" t="s">
        <v>2652</v>
      </c>
      <c r="D73" s="3092" t="s">
        <v>2653</v>
      </c>
      <c r="E73" s="3118">
        <v>0.2</v>
      </c>
      <c r="F73" s="3118">
        <v>25</v>
      </c>
    </row>
    <row r="74" spans="1:7" ht="24">
      <c r="A74" s="3118">
        <v>2</v>
      </c>
      <c r="B74" s="3797"/>
      <c r="C74" s="3092" t="s">
        <v>2654</v>
      </c>
      <c r="D74" s="3092" t="s">
        <v>2655</v>
      </c>
      <c r="E74" s="3118">
        <v>0.2</v>
      </c>
      <c r="F74" s="3118">
        <v>25</v>
      </c>
    </row>
    <row r="75" spans="1:7" ht="24">
      <c r="A75" s="3118">
        <v>3</v>
      </c>
      <c r="B75" s="3797"/>
      <c r="C75" s="3092" t="s">
        <v>2656</v>
      </c>
      <c r="D75" s="3092" t="s">
        <v>2657</v>
      </c>
      <c r="E75" s="3118">
        <v>0.2</v>
      </c>
      <c r="F75" s="3118">
        <v>25</v>
      </c>
    </row>
    <row r="76" spans="1:7" ht="14.4">
      <c r="A76" s="3118">
        <v>4</v>
      </c>
      <c r="B76" s="3797"/>
      <c r="C76" s="3092" t="s">
        <v>2658</v>
      </c>
      <c r="D76" s="3092" t="s">
        <v>2659</v>
      </c>
      <c r="E76" s="3118">
        <v>0.15</v>
      </c>
      <c r="F76" s="3118">
        <v>20</v>
      </c>
    </row>
    <row r="77" spans="1:7" ht="24">
      <c r="A77" s="3118">
        <v>5</v>
      </c>
      <c r="B77" s="3797"/>
      <c r="C77" s="3092" t="s">
        <v>2660</v>
      </c>
      <c r="D77" s="3092" t="s">
        <v>2661</v>
      </c>
      <c r="E77" s="3118">
        <v>0.15</v>
      </c>
      <c r="F77" s="3118">
        <v>20</v>
      </c>
    </row>
    <row r="78" spans="1:7" ht="24">
      <c r="A78" s="3118">
        <v>6</v>
      </c>
      <c r="B78" s="3797"/>
      <c r="C78" s="3092" t="s">
        <v>2662</v>
      </c>
      <c r="D78" s="3092" t="s">
        <v>2663</v>
      </c>
      <c r="E78" s="3118">
        <v>0.15</v>
      </c>
      <c r="F78" s="3118">
        <v>20</v>
      </c>
    </row>
    <row r="79" spans="1:7" ht="24">
      <c r="A79" s="3118">
        <v>7</v>
      </c>
      <c r="B79" s="3797"/>
      <c r="C79" s="3092" t="s">
        <v>2664</v>
      </c>
      <c r="D79" s="3092" t="s">
        <v>2665</v>
      </c>
      <c r="E79" s="3118">
        <v>0.15</v>
      </c>
      <c r="F79" s="3118">
        <v>20</v>
      </c>
    </row>
    <row r="80" spans="1:7" ht="24">
      <c r="A80" s="3118">
        <v>8</v>
      </c>
      <c r="B80" s="3797"/>
      <c r="C80" s="3092" t="s">
        <v>2666</v>
      </c>
      <c r="D80" s="3092" t="s">
        <v>2667</v>
      </c>
      <c r="E80" s="3118">
        <v>0.1</v>
      </c>
      <c r="F80" s="3118">
        <v>15</v>
      </c>
    </row>
    <row r="81" spans="1:6" ht="24">
      <c r="A81" s="3118">
        <v>9</v>
      </c>
      <c r="B81" s="3797"/>
      <c r="C81" s="3092" t="s">
        <v>2668</v>
      </c>
      <c r="D81" s="3092" t="s">
        <v>2669</v>
      </c>
      <c r="E81" s="3118">
        <v>0.1</v>
      </c>
      <c r="F81" s="3118">
        <v>15</v>
      </c>
    </row>
    <row r="82" spans="1:6" ht="24">
      <c r="A82" s="3118">
        <v>10</v>
      </c>
      <c r="B82" s="3797"/>
      <c r="C82" s="3092" t="s">
        <v>2670</v>
      </c>
      <c r="D82" s="3092" t="s">
        <v>2671</v>
      </c>
      <c r="E82" s="3118">
        <v>0.1</v>
      </c>
      <c r="F82" s="3118">
        <v>15</v>
      </c>
    </row>
    <row r="83" spans="1:6" ht="24">
      <c r="A83" s="3118">
        <v>11</v>
      </c>
      <c r="B83" s="3797"/>
      <c r="C83" s="3092" t="s">
        <v>2672</v>
      </c>
      <c r="D83" s="3092" t="s">
        <v>2673</v>
      </c>
      <c r="E83" s="3118">
        <v>0.1</v>
      </c>
      <c r="F83" s="3118">
        <v>15</v>
      </c>
    </row>
    <row r="84" spans="1:6" ht="24">
      <c r="A84" s="3118">
        <v>12</v>
      </c>
      <c r="B84" s="3797"/>
      <c r="C84" s="3092" t="s">
        <v>2674</v>
      </c>
      <c r="D84" s="3092" t="s">
        <v>2675</v>
      </c>
      <c r="E84" s="3118">
        <v>0.1</v>
      </c>
      <c r="F84" s="3118">
        <v>15</v>
      </c>
    </row>
    <row r="85" spans="1:6" ht="24">
      <c r="A85" s="3118">
        <v>13</v>
      </c>
      <c r="B85" s="3797"/>
      <c r="C85" s="3092" t="s">
        <v>2676</v>
      </c>
      <c r="D85" s="3092" t="s">
        <v>2677</v>
      </c>
      <c r="E85" s="3118">
        <v>0.1</v>
      </c>
      <c r="F85" s="3118">
        <v>15</v>
      </c>
    </row>
    <row r="86" spans="1:6" ht="24">
      <c r="A86" s="3118">
        <v>14</v>
      </c>
      <c r="B86" s="3797"/>
      <c r="C86" s="3092" t="s">
        <v>2678</v>
      </c>
      <c r="D86" s="3092" t="s">
        <v>2679</v>
      </c>
      <c r="E86" s="3118">
        <v>0.1</v>
      </c>
      <c r="F86" s="3118">
        <v>15</v>
      </c>
    </row>
    <row r="87" spans="1:6" ht="24">
      <c r="A87" s="3118">
        <v>15</v>
      </c>
      <c r="B87" s="3797"/>
      <c r="C87" s="3092" t="s">
        <v>2680</v>
      </c>
      <c r="D87" s="3092" t="s">
        <v>2681</v>
      </c>
      <c r="E87" s="3118">
        <v>0.1</v>
      </c>
      <c r="F87" s="3118">
        <v>15</v>
      </c>
    </row>
    <row r="88" spans="1:6" ht="24">
      <c r="A88" s="3118">
        <v>16</v>
      </c>
      <c r="B88" s="3797"/>
      <c r="C88" s="3092" t="s">
        <v>2682</v>
      </c>
      <c r="D88" s="3092" t="s">
        <v>2683</v>
      </c>
      <c r="E88" s="3118">
        <v>0.1</v>
      </c>
      <c r="F88" s="3118">
        <v>15</v>
      </c>
    </row>
    <row r="89" spans="1:6" ht="24">
      <c r="A89" s="3118">
        <v>17</v>
      </c>
      <c r="B89" s="3796"/>
      <c r="C89" s="3092" t="s">
        <v>2684</v>
      </c>
      <c r="D89" s="3092" t="s">
        <v>2685</v>
      </c>
      <c r="E89" s="3118">
        <v>0.1</v>
      </c>
      <c r="F89" s="3118">
        <v>15</v>
      </c>
    </row>
    <row r="90" spans="1:6" ht="14.4">
      <c r="A90" s="3118">
        <v>18</v>
      </c>
      <c r="B90" s="3795" t="s">
        <v>2686</v>
      </c>
      <c r="C90" s="3092" t="s">
        <v>2687</v>
      </c>
      <c r="D90" s="3092" t="s">
        <v>2688</v>
      </c>
      <c r="E90" s="3118">
        <v>0.2</v>
      </c>
      <c r="F90" s="3118">
        <v>25</v>
      </c>
    </row>
    <row r="91" spans="1:6" ht="24">
      <c r="A91" s="3118">
        <v>19</v>
      </c>
      <c r="B91" s="3797"/>
      <c r="C91" s="3092" t="s">
        <v>2689</v>
      </c>
      <c r="D91" s="3092" t="s">
        <v>2690</v>
      </c>
      <c r="E91" s="3118">
        <v>0.2</v>
      </c>
      <c r="F91" s="3118">
        <v>25</v>
      </c>
    </row>
    <row r="92" spans="1:6" ht="14.4">
      <c r="A92" s="3118">
        <v>20</v>
      </c>
      <c r="B92" s="3797"/>
      <c r="C92" s="3092" t="s">
        <v>2691</v>
      </c>
      <c r="D92" s="3092" t="s">
        <v>2692</v>
      </c>
      <c r="E92" s="3118">
        <v>0.15</v>
      </c>
      <c r="F92" s="3118">
        <v>20</v>
      </c>
    </row>
    <row r="93" spans="1:6" ht="24">
      <c r="A93" s="3118">
        <v>21</v>
      </c>
      <c r="B93" s="3797"/>
      <c r="C93" s="3092" t="s">
        <v>2693</v>
      </c>
      <c r="D93" s="3092" t="s">
        <v>2694</v>
      </c>
      <c r="E93" s="3118">
        <v>0.15</v>
      </c>
      <c r="F93" s="3118">
        <v>20</v>
      </c>
    </row>
    <row r="94" spans="1:6" ht="24">
      <c r="A94" s="3118">
        <v>22</v>
      </c>
      <c r="B94" s="3797"/>
      <c r="C94" s="3092" t="s">
        <v>2695</v>
      </c>
      <c r="D94" s="3092" t="s">
        <v>2696</v>
      </c>
      <c r="E94" s="3118">
        <v>0.15</v>
      </c>
      <c r="F94" s="3118">
        <v>20</v>
      </c>
    </row>
    <row r="95" spans="1:6" ht="36">
      <c r="A95" s="3118">
        <v>23</v>
      </c>
      <c r="B95" s="3797"/>
      <c r="C95" s="3092" t="s">
        <v>2697</v>
      </c>
      <c r="D95" s="3092" t="s">
        <v>2698</v>
      </c>
      <c r="E95" s="3118">
        <v>0.15</v>
      </c>
      <c r="F95" s="3118">
        <v>20</v>
      </c>
    </row>
    <row r="96" spans="1:6" ht="24">
      <c r="A96" s="3118">
        <v>24</v>
      </c>
      <c r="B96" s="3797"/>
      <c r="C96" s="3092" t="s">
        <v>2699</v>
      </c>
      <c r="D96" s="3092" t="s">
        <v>2700</v>
      </c>
      <c r="E96" s="3118">
        <v>0.1</v>
      </c>
      <c r="F96" s="3118">
        <v>15</v>
      </c>
    </row>
    <row r="97" spans="1:6" ht="24">
      <c r="A97" s="3118">
        <v>25</v>
      </c>
      <c r="B97" s="3797"/>
      <c r="C97" s="3092" t="s">
        <v>2701</v>
      </c>
      <c r="D97" s="3092" t="s">
        <v>2702</v>
      </c>
      <c r="E97" s="3118">
        <v>0.1</v>
      </c>
      <c r="F97" s="3118">
        <v>15</v>
      </c>
    </row>
    <row r="98" spans="1:6" ht="24">
      <c r="A98" s="3118">
        <v>26</v>
      </c>
      <c r="B98" s="3797"/>
      <c r="C98" s="3092" t="s">
        <v>2703</v>
      </c>
      <c r="D98" s="3092" t="s">
        <v>2704</v>
      </c>
      <c r="E98" s="3118">
        <v>0.1</v>
      </c>
      <c r="F98" s="3118">
        <v>15</v>
      </c>
    </row>
    <row r="99" spans="1:6" ht="24">
      <c r="A99" s="3118">
        <v>27</v>
      </c>
      <c r="B99" s="3797"/>
      <c r="C99" s="3092" t="s">
        <v>2705</v>
      </c>
      <c r="D99" s="3092" t="s">
        <v>2706</v>
      </c>
      <c r="E99" s="3118">
        <v>0.1</v>
      </c>
      <c r="F99" s="3118">
        <v>15</v>
      </c>
    </row>
    <row r="100" spans="1:6" ht="24">
      <c r="A100" s="3118">
        <v>28</v>
      </c>
      <c r="B100" s="3797"/>
      <c r="C100" s="3092" t="s">
        <v>2707</v>
      </c>
      <c r="D100" s="3092" t="s">
        <v>2708</v>
      </c>
      <c r="E100" s="3118">
        <v>0.1</v>
      </c>
      <c r="F100" s="3118">
        <v>15</v>
      </c>
    </row>
    <row r="101" spans="1:6" ht="24">
      <c r="A101" s="3118">
        <v>29</v>
      </c>
      <c r="B101" s="3797"/>
      <c r="C101" s="3092" t="s">
        <v>2709</v>
      </c>
      <c r="D101" s="3092" t="s">
        <v>2710</v>
      </c>
      <c r="E101" s="3118">
        <v>0.1</v>
      </c>
      <c r="F101" s="3118">
        <v>15</v>
      </c>
    </row>
    <row r="102" spans="1:6" ht="24">
      <c r="A102" s="3118">
        <v>30</v>
      </c>
      <c r="B102" s="3797"/>
      <c r="C102" s="3092" t="s">
        <v>2711</v>
      </c>
      <c r="D102" s="3092" t="s">
        <v>2712</v>
      </c>
      <c r="E102" s="3118">
        <v>0.1</v>
      </c>
      <c r="F102" s="3118">
        <v>15</v>
      </c>
    </row>
    <row r="103" spans="1:6" ht="24">
      <c r="A103" s="3118">
        <v>31</v>
      </c>
      <c r="B103" s="3797"/>
      <c r="C103" s="3092" t="s">
        <v>2713</v>
      </c>
      <c r="D103" s="3092" t="s">
        <v>2714</v>
      </c>
      <c r="E103" s="3118">
        <v>0.1</v>
      </c>
      <c r="F103" s="3118">
        <v>15</v>
      </c>
    </row>
    <row r="104" spans="1:6" ht="24">
      <c r="A104" s="3118">
        <v>32</v>
      </c>
      <c r="B104" s="3797"/>
      <c r="C104" s="3092" t="s">
        <v>2715</v>
      </c>
      <c r="D104" s="3092" t="s">
        <v>2716</v>
      </c>
      <c r="E104" s="3118">
        <v>0.1</v>
      </c>
      <c r="F104" s="3118">
        <v>15</v>
      </c>
    </row>
    <row r="105" spans="1:6" ht="24">
      <c r="A105" s="3118">
        <v>33</v>
      </c>
      <c r="B105" s="3797"/>
      <c r="C105" s="3092" t="s">
        <v>2717</v>
      </c>
      <c r="D105" s="3092" t="s">
        <v>2718</v>
      </c>
      <c r="E105" s="3118">
        <v>0.1</v>
      </c>
      <c r="F105" s="3118">
        <v>15</v>
      </c>
    </row>
    <row r="106" spans="1:6" ht="24">
      <c r="A106" s="3118">
        <v>34</v>
      </c>
      <c r="B106" s="3796"/>
      <c r="C106" s="3092" t="s">
        <v>2719</v>
      </c>
      <c r="D106" s="3092" t="s">
        <v>2720</v>
      </c>
      <c r="E106" s="3118">
        <v>0.1</v>
      </c>
      <c r="F106" s="3118">
        <v>15</v>
      </c>
    </row>
    <row r="107" spans="1:6" ht="36">
      <c r="A107" s="3118">
        <v>35</v>
      </c>
      <c r="B107" s="3795" t="s">
        <v>2721</v>
      </c>
      <c r="C107" s="3118" t="s">
        <v>2722</v>
      </c>
      <c r="D107" s="3092" t="s">
        <v>2723</v>
      </c>
      <c r="E107" s="3118">
        <v>0.15</v>
      </c>
      <c r="F107" s="3118">
        <v>20</v>
      </c>
    </row>
    <row r="108" spans="1:6" ht="24">
      <c r="A108" s="3118">
        <v>36</v>
      </c>
      <c r="B108" s="3797"/>
      <c r="C108" s="3118" t="s">
        <v>2724</v>
      </c>
      <c r="D108" s="3092" t="s">
        <v>2725</v>
      </c>
      <c r="E108" s="3118">
        <v>0.15</v>
      </c>
      <c r="F108" s="3118">
        <v>20</v>
      </c>
    </row>
    <row r="109" spans="1:6" ht="24">
      <c r="A109" s="3118">
        <v>37</v>
      </c>
      <c r="B109" s="3797"/>
      <c r="C109" s="3118" t="s">
        <v>2726</v>
      </c>
      <c r="D109" s="3092" t="s">
        <v>2727</v>
      </c>
      <c r="E109" s="3118">
        <v>0.15</v>
      </c>
      <c r="F109" s="3118">
        <v>20</v>
      </c>
    </row>
    <row r="110" spans="1:6" ht="24">
      <c r="A110" s="3118">
        <v>38</v>
      </c>
      <c r="B110" s="3797"/>
      <c r="C110" s="3118" t="s">
        <v>2728</v>
      </c>
      <c r="D110" s="3092" t="s">
        <v>2729</v>
      </c>
      <c r="E110" s="3118">
        <v>0.1</v>
      </c>
      <c r="F110" s="3118">
        <v>15</v>
      </c>
    </row>
    <row r="111" spans="1:6" ht="24">
      <c r="A111" s="3118">
        <v>39</v>
      </c>
      <c r="B111" s="3797"/>
      <c r="C111" s="3118" t="s">
        <v>2730</v>
      </c>
      <c r="D111" s="3092" t="s">
        <v>2731</v>
      </c>
      <c r="E111" s="3118">
        <v>0.1</v>
      </c>
      <c r="F111" s="3118">
        <v>15</v>
      </c>
    </row>
    <row r="112" spans="1:6" ht="24">
      <c r="A112" s="3118">
        <v>40</v>
      </c>
      <c r="B112" s="3796"/>
      <c r="C112" s="3118" t="s">
        <v>2732</v>
      </c>
      <c r="D112" s="3092" t="s">
        <v>2733</v>
      </c>
      <c r="E112" s="3118">
        <v>0.1</v>
      </c>
      <c r="F112" s="3118">
        <v>15</v>
      </c>
    </row>
    <row r="113" spans="1:6" ht="24">
      <c r="A113" s="3118">
        <v>41</v>
      </c>
      <c r="B113" s="3794" t="s">
        <v>2734</v>
      </c>
      <c r="C113" s="3118" t="s">
        <v>2735</v>
      </c>
      <c r="D113" s="3092" t="s">
        <v>2736</v>
      </c>
      <c r="E113" s="3118">
        <v>0.1</v>
      </c>
      <c r="F113" s="3118">
        <v>15</v>
      </c>
    </row>
    <row r="114" spans="1:6" ht="24">
      <c r="A114" s="3118">
        <v>42</v>
      </c>
      <c r="B114" s="3794"/>
      <c r="C114" s="3118" t="s">
        <v>2737</v>
      </c>
      <c r="D114" s="3092" t="s">
        <v>2738</v>
      </c>
      <c r="E114" s="3118">
        <v>0.1</v>
      </c>
      <c r="F114" s="3118">
        <v>15</v>
      </c>
    </row>
    <row r="115" spans="1:6" ht="24">
      <c r="A115" s="3118">
        <v>43</v>
      </c>
      <c r="B115" s="3794"/>
      <c r="C115" s="3118" t="s">
        <v>2739</v>
      </c>
      <c r="D115" s="3092" t="s">
        <v>2740</v>
      </c>
      <c r="E115" s="3118">
        <v>0.1</v>
      </c>
      <c r="F115" s="3118">
        <v>15</v>
      </c>
    </row>
    <row r="116" spans="1:6" ht="24">
      <c r="A116" s="3118">
        <v>44</v>
      </c>
      <c r="B116" s="3795" t="s">
        <v>2741</v>
      </c>
      <c r="C116" s="3118" t="s">
        <v>2742</v>
      </c>
      <c r="D116" s="3092" t="s">
        <v>2743</v>
      </c>
      <c r="E116" s="3118">
        <v>0.1</v>
      </c>
      <c r="F116" s="3118">
        <v>15</v>
      </c>
    </row>
    <row r="117" spans="1:6" ht="24">
      <c r="A117" s="3118">
        <v>45</v>
      </c>
      <c r="B117" s="3796"/>
      <c r="C117" s="3092" t="s">
        <v>2744</v>
      </c>
      <c r="D117" s="3092" t="s">
        <v>2745</v>
      </c>
      <c r="E117" s="3118">
        <v>0.1</v>
      </c>
      <c r="F117" s="3118">
        <v>15</v>
      </c>
    </row>
    <row r="118" spans="1:6" ht="24">
      <c r="A118" s="3118">
        <v>46</v>
      </c>
      <c r="B118" s="3795" t="s">
        <v>2746</v>
      </c>
      <c r="C118" s="3118" t="s">
        <v>2747</v>
      </c>
      <c r="D118" s="3092" t="s">
        <v>2748</v>
      </c>
      <c r="E118" s="3118">
        <v>0.1</v>
      </c>
      <c r="F118" s="3118">
        <v>15</v>
      </c>
    </row>
    <row r="119" spans="1:6" ht="24">
      <c r="A119" s="3118">
        <v>47</v>
      </c>
      <c r="B119" s="3796"/>
      <c r="C119" s="3118" t="s">
        <v>2749</v>
      </c>
      <c r="D119" s="3092" t="s">
        <v>2750</v>
      </c>
      <c r="E119" s="3118">
        <v>0.1</v>
      </c>
      <c r="F119" s="3118">
        <v>15</v>
      </c>
    </row>
    <row r="120" spans="1:6" ht="24">
      <c r="A120" s="3118">
        <v>48</v>
      </c>
      <c r="B120" s="3795" t="s">
        <v>2751</v>
      </c>
      <c r="C120" s="3118" t="s">
        <v>2752</v>
      </c>
      <c r="D120" s="3092" t="s">
        <v>2753</v>
      </c>
      <c r="E120" s="3118">
        <v>0.1</v>
      </c>
      <c r="F120" s="3118">
        <v>15</v>
      </c>
    </row>
    <row r="121" spans="1:6" ht="24">
      <c r="A121" s="3118">
        <v>49</v>
      </c>
      <c r="B121" s="3796"/>
      <c r="C121" s="3118" t="s">
        <v>2754</v>
      </c>
      <c r="D121" s="3092" t="s">
        <v>2755</v>
      </c>
      <c r="E121" s="3118">
        <v>0.1</v>
      </c>
      <c r="F121" s="3118">
        <v>15</v>
      </c>
    </row>
    <row r="122" spans="1:6" ht="24">
      <c r="A122" s="3118">
        <v>50</v>
      </c>
      <c r="B122" s="3794" t="s">
        <v>2756</v>
      </c>
      <c r="C122" s="3118" t="s">
        <v>2757</v>
      </c>
      <c r="D122" s="3092" t="s">
        <v>2758</v>
      </c>
      <c r="E122" s="3118">
        <v>0.1</v>
      </c>
      <c r="F122" s="3118">
        <v>15</v>
      </c>
    </row>
    <row r="123" spans="1:6" ht="24">
      <c r="A123" s="3118">
        <v>51</v>
      </c>
      <c r="B123" s="3794"/>
      <c r="C123" s="3118" t="s">
        <v>2759</v>
      </c>
      <c r="D123" s="3092" t="s">
        <v>2760</v>
      </c>
      <c r="E123" s="3118">
        <v>0.1</v>
      </c>
      <c r="F123" s="3118">
        <v>15</v>
      </c>
    </row>
    <row r="124" spans="1:6" ht="24">
      <c r="A124" s="3118">
        <v>52</v>
      </c>
      <c r="B124" s="3794" t="s">
        <v>2761</v>
      </c>
      <c r="C124" s="3118" t="s">
        <v>2762</v>
      </c>
      <c r="D124" s="3092" t="s">
        <v>2763</v>
      </c>
      <c r="E124" s="3118">
        <v>0.1</v>
      </c>
      <c r="F124" s="3118">
        <v>15</v>
      </c>
    </row>
    <row r="125" spans="1:6" ht="24">
      <c r="A125" s="3118">
        <v>53</v>
      </c>
      <c r="B125" s="3794"/>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794" t="s">
        <v>2769</v>
      </c>
      <c r="C127" s="3118" t="s">
        <v>2770</v>
      </c>
      <c r="D127" s="3092" t="s">
        <v>2771</v>
      </c>
      <c r="E127" s="3118">
        <v>0.1</v>
      </c>
      <c r="F127" s="3118">
        <v>15</v>
      </c>
    </row>
    <row r="128" spans="1:6" ht="24">
      <c r="A128" s="3118">
        <v>56</v>
      </c>
      <c r="B128" s="3794"/>
      <c r="C128" s="3118" t="s">
        <v>2772</v>
      </c>
      <c r="D128" s="3092" t="s">
        <v>2773</v>
      </c>
      <c r="E128" s="3118">
        <v>0.1</v>
      </c>
      <c r="F128" s="3118">
        <v>15</v>
      </c>
    </row>
    <row r="129" spans="1:6" ht="24">
      <c r="A129" s="3118">
        <v>57</v>
      </c>
      <c r="B129" s="3794"/>
      <c r="C129" s="3118" t="s">
        <v>2774</v>
      </c>
      <c r="D129" s="3092" t="s">
        <v>2775</v>
      </c>
      <c r="E129" s="3118">
        <v>0.1</v>
      </c>
      <c r="F129" s="3118">
        <v>15</v>
      </c>
    </row>
    <row r="130" spans="1:6" ht="24">
      <c r="A130" s="3118">
        <v>58</v>
      </c>
      <c r="B130" s="3794" t="s">
        <v>2776</v>
      </c>
      <c r="C130" s="3118" t="s">
        <v>2777</v>
      </c>
      <c r="D130" s="3092" t="s">
        <v>2778</v>
      </c>
      <c r="E130" s="3118">
        <v>0.1</v>
      </c>
      <c r="F130" s="3118">
        <v>15</v>
      </c>
    </row>
    <row r="131" spans="1:6" ht="24">
      <c r="A131" s="3118">
        <v>59</v>
      </c>
      <c r="B131" s="3794"/>
      <c r="C131" s="3118" t="s">
        <v>2779</v>
      </c>
      <c r="D131" s="3092" t="s">
        <v>2780</v>
      </c>
      <c r="E131" s="3118">
        <v>0.1</v>
      </c>
      <c r="F131" s="3118">
        <v>15</v>
      </c>
    </row>
    <row r="132" spans="1:6" ht="24">
      <c r="A132" s="3118">
        <v>60</v>
      </c>
      <c r="B132" s="3795" t="s">
        <v>2781</v>
      </c>
      <c r="C132" s="3118" t="s">
        <v>2782</v>
      </c>
      <c r="D132" s="3092" t="s">
        <v>2783</v>
      </c>
      <c r="E132" s="3118">
        <v>0.1</v>
      </c>
      <c r="F132" s="3118">
        <v>15</v>
      </c>
    </row>
    <row r="133" spans="1:6" ht="24">
      <c r="A133" s="3118">
        <v>61</v>
      </c>
      <c r="B133" s="3796"/>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794" t="s">
        <v>2789</v>
      </c>
      <c r="C135" s="3118" t="s">
        <v>2790</v>
      </c>
      <c r="D135" s="3092" t="s">
        <v>2791</v>
      </c>
      <c r="E135" s="3118">
        <v>0.1</v>
      </c>
      <c r="F135" s="3118">
        <v>15</v>
      </c>
    </row>
    <row r="136" spans="1:6" ht="24">
      <c r="A136" s="3118">
        <v>64</v>
      </c>
      <c r="B136" s="3794"/>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9"/>
      <c r="C2" s="3489"/>
      <c r="D2" s="3489"/>
      <c r="E2" s="3489"/>
    </row>
    <row r="3" spans="1:5" ht="17.399999999999999">
      <c r="A3" s="3490" t="str">
        <f>IF(项目基本情况!B9="房地产市场价值","估价结果一览表（市场价值不需“结果表-1”）","估价结果一览表")</f>
        <v>估价结果一览表（市场价值不需“结果表-1”）</v>
      </c>
      <c r="B3" s="3490"/>
      <c r="C3" s="3490"/>
      <c r="D3" s="3490"/>
      <c r="E3" s="3490"/>
    </row>
    <row r="4" spans="1:5" ht="18" thickBot="1">
      <c r="A4" s="1493"/>
      <c r="B4" s="3488" t="s">
        <v>917</v>
      </c>
      <c r="C4" s="3488"/>
      <c r="D4" s="3488"/>
      <c r="E4" s="1493"/>
    </row>
    <row r="5" spans="1:5" ht="16.2" thickTop="1">
      <c r="A5" s="1491"/>
      <c r="B5" s="3486" t="s">
        <v>909</v>
      </c>
      <c r="C5" s="1494" t="s">
        <v>910</v>
      </c>
      <c r="D5" s="850" t="e">
        <f ca="1">结果表!H101</f>
        <v>#REF!</v>
      </c>
      <c r="E5" s="1491"/>
    </row>
    <row r="6" spans="1:5" ht="15.6">
      <c r="A6" s="1491"/>
      <c r="B6" s="3486"/>
      <c r="C6" s="1494" t="s">
        <v>911</v>
      </c>
      <c r="D6" s="850" t="e">
        <f ca="1">NUMBERSTRING(INT(D5*10000),2)&amp;"元整"</f>
        <v>#REF!</v>
      </c>
      <c r="E6" s="1491"/>
    </row>
    <row r="7" spans="1:5" ht="15.6">
      <c r="A7" s="1491"/>
      <c r="B7" s="3491"/>
      <c r="C7" s="1495" t="s">
        <v>912</v>
      </c>
      <c r="D7" s="851" t="e">
        <f ca="1">结果表!H102</f>
        <v>#REF!</v>
      </c>
      <c r="E7" s="1491"/>
    </row>
    <row r="8" spans="1:5" ht="15.6">
      <c r="A8" s="1491"/>
      <c r="B8" s="3492" t="str">
        <f>结果表!E103</f>
        <v>2.估价师知悉的法定优先受偿款</v>
      </c>
      <c r="C8" s="1496" t="s">
        <v>913</v>
      </c>
      <c r="D8" s="851">
        <f>结果表!H103</f>
        <v>0</v>
      </c>
      <c r="E8" s="1491"/>
    </row>
    <row r="9" spans="1:5" ht="15.6">
      <c r="A9" s="1491"/>
      <c r="B9" s="3494"/>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85" t="str">
        <f>结果表!E107</f>
        <v>3.房地产抵押价值</v>
      </c>
      <c r="C13" s="1499" t="s">
        <v>910</v>
      </c>
      <c r="D13" s="853" t="e">
        <f ca="1">结果表!H107</f>
        <v>#REF!</v>
      </c>
      <c r="E13" s="1491"/>
    </row>
    <row r="14" spans="1:5" ht="15.6">
      <c r="A14" s="1491"/>
      <c r="B14" s="3486"/>
      <c r="C14" s="1494" t="s">
        <v>911</v>
      </c>
      <c r="D14" s="850" t="e">
        <f ca="1">NUMBERSTRING(INT(D13*10000),2)&amp;"元整"</f>
        <v>#REF!</v>
      </c>
      <c r="E14" s="1491"/>
    </row>
    <row r="15" spans="1:5" ht="15.6">
      <c r="A15" s="1491"/>
      <c r="B15" s="3491"/>
      <c r="C15" s="1495" t="s">
        <v>921</v>
      </c>
      <c r="D15" s="859" t="e">
        <f ca="1">结果表!H108</f>
        <v>#REF!</v>
      </c>
      <c r="E15" s="1491"/>
    </row>
    <row r="16" spans="1:5" ht="15.6">
      <c r="A16" s="1491"/>
      <c r="B16" s="3492" t="str">
        <f>结果表!E109</f>
        <v>——</v>
      </c>
      <c r="C16" s="1499" t="s">
        <v>922</v>
      </c>
      <c r="D16" s="1500" t="str">
        <f>结果表!H109</f>
        <v>——</v>
      </c>
      <c r="E16" s="1491"/>
    </row>
    <row r="17" spans="1:5" ht="15.6">
      <c r="A17" s="1491"/>
      <c r="B17" s="3493"/>
      <c r="C17" s="1494" t="s">
        <v>923</v>
      </c>
      <c r="D17" s="850" t="e">
        <f>NUMBERSTRING(INT(D16*10000),2)&amp;"元整"</f>
        <v>#VALUE!</v>
      </c>
      <c r="E17" s="1491"/>
    </row>
    <row r="18" spans="1:5" ht="15.6">
      <c r="A18" s="1491"/>
      <c r="B18" s="3494"/>
      <c r="C18" s="1495" t="s">
        <v>912</v>
      </c>
      <c r="D18" s="859" t="str">
        <f>结果表!H110</f>
        <v>——</v>
      </c>
      <c r="E18" s="1491"/>
    </row>
    <row r="19" spans="1:5" ht="15.6">
      <c r="A19" s="1491"/>
      <c r="B19" s="3485" t="str">
        <f>结果表!E111</f>
        <v>——</v>
      </c>
      <c r="C19" s="1499" t="s">
        <v>910</v>
      </c>
      <c r="D19" s="851" t="str">
        <f>结果表!H111</f>
        <v>——</v>
      </c>
      <c r="E19" s="1491"/>
    </row>
    <row r="20" spans="1:5" ht="15.6">
      <c r="A20" s="1491"/>
      <c r="B20" s="3486"/>
      <c r="C20" s="1494" t="s">
        <v>923</v>
      </c>
      <c r="D20" s="850" t="e">
        <f>NUMBERSTRING(INT(D19*10000),2)&amp;"元整"</f>
        <v>#VALUE!</v>
      </c>
      <c r="E20" s="1491"/>
    </row>
    <row r="21" spans="1:5" ht="16.2" thickBot="1">
      <c r="A21" s="1491"/>
      <c r="B21" s="3487"/>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28870</v>
      </c>
      <c r="C2" s="2" t="s">
        <v>106</v>
      </c>
      <c r="D2" s="199"/>
      <c r="E2" s="199"/>
      <c r="F2" s="199"/>
      <c r="G2" s="199"/>
    </row>
    <row r="3" spans="1:7" s="200" customFormat="1" ht="18" customHeight="1" thickBot="1">
      <c r="A3" s="203" t="s">
        <v>58</v>
      </c>
      <c r="B3" s="204">
        <f ca="1">ROUND(B2*10000/'数据-汇总表'!E3,0)</f>
        <v>1750333</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3</v>
      </c>
      <c r="D9" s="845">
        <f>'数据-汇总表'!E5</f>
        <v>164.94</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164.94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1267</v>
      </c>
      <c r="D22" s="235">
        <f ca="1">C26</f>
        <v>5.9999999999999995E-4</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12</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6.4">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28737</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103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82</v>
      </c>
      <c r="D34" s="217"/>
      <c r="E34" s="220"/>
      <c r="F34" s="257">
        <f>IF('数据-取费表'!B24=0,1,'数据-取费表'!N16)</f>
        <v>1</v>
      </c>
      <c r="G34" s="219" t="s">
        <v>89</v>
      </c>
    </row>
    <row r="35" spans="1:7" ht="13.5" customHeight="1">
      <c r="A35" s="780" t="s">
        <v>351</v>
      </c>
      <c r="B35" s="215" t="s">
        <v>33</v>
      </c>
      <c r="C35" s="220">
        <f>ROUND(C34*F35,0)</f>
        <v>8</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8</v>
      </c>
      <c r="D36" s="220"/>
      <c r="E36" s="220"/>
      <c r="F36" s="259">
        <f>'数据-取费表'!B34</f>
        <v>0.1</v>
      </c>
      <c r="G36" s="260" t="s">
        <v>35</v>
      </c>
    </row>
    <row r="37" spans="1:7" s="258" customFormat="1" ht="13.5" customHeight="1">
      <c r="A37" s="780" t="s">
        <v>353</v>
      </c>
      <c r="B37" s="215" t="s">
        <v>91</v>
      </c>
      <c r="C37" s="249">
        <f>ROUND(E37*D37*F34/10000,0)</f>
        <v>3</v>
      </c>
      <c r="D37" s="217">
        <f>'数据-汇总表'!E3</f>
        <v>164.94</v>
      </c>
      <c r="E37" s="249">
        <f>'数据-取费表'!B35</f>
        <v>200</v>
      </c>
      <c r="F37" s="259"/>
      <c r="G37" s="261" t="s">
        <v>92</v>
      </c>
    </row>
    <row r="38" spans="1:7" ht="13.5" customHeight="1">
      <c r="A38" s="780" t="s">
        <v>354</v>
      </c>
      <c r="B38" s="215" t="s">
        <v>36</v>
      </c>
      <c r="C38" s="220">
        <f>ROUND(C34*F38,0)</f>
        <v>2</v>
      </c>
      <c r="D38" s="220"/>
      <c r="E38" s="220"/>
      <c r="F38" s="259">
        <f>'数据-取费表'!B36</f>
        <v>0.02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67" t="s">
        <v>94</v>
      </c>
    </row>
    <row r="43" spans="1:7" ht="13.5" customHeight="1">
      <c r="A43" s="780" t="s">
        <v>347</v>
      </c>
      <c r="B43" s="215" t="s">
        <v>426</v>
      </c>
      <c r="C43" s="238">
        <f ca="1">ROUND(IF('数据-取费表'!B22&lt;=1,C39*F22*'数据-取费表'!B21/2,C39*(POWER((1+F22),'数据-取费表'!B21/2)-1)),0)</f>
        <v>0</v>
      </c>
      <c r="D43" s="238"/>
      <c r="E43" s="238"/>
      <c r="F43" s="239"/>
      <c r="G43" s="3668"/>
    </row>
    <row r="44" spans="1:7" ht="13.5" customHeight="1">
      <c r="A44" s="780" t="s">
        <v>348</v>
      </c>
      <c r="B44" s="215" t="s">
        <v>428</v>
      </c>
      <c r="C44" s="238">
        <f ca="1">ROUND(IF('数据-取费表'!B22&lt;=1,C40*F22*'数据-取费表'!B21/2,C40*(POWER((1+F22),'数据-取费表'!B21/2)-1)),4)</f>
        <v>5.9999999999999995E-4</v>
      </c>
      <c r="D44" s="238"/>
      <c r="E44" s="238"/>
      <c r="F44" s="239"/>
      <c r="G44" s="3669"/>
    </row>
    <row r="45" spans="1:7" s="214" customFormat="1" ht="13.5" customHeight="1">
      <c r="A45" s="777" t="s">
        <v>341</v>
      </c>
      <c r="B45" s="244" t="s">
        <v>85</v>
      </c>
      <c r="C45" s="245">
        <f>C46</f>
        <v>21</v>
      </c>
      <c r="D45" s="235">
        <f>C47</f>
        <v>4.0000000000000001E-3</v>
      </c>
      <c r="E45" s="236" t="s">
        <v>102</v>
      </c>
      <c r="F45" s="246"/>
      <c r="G45" s="247" t="s">
        <v>434</v>
      </c>
    </row>
    <row r="46" spans="1:7" s="214" customFormat="1" ht="13.5" customHeight="1">
      <c r="A46" s="780" t="s">
        <v>349</v>
      </c>
      <c r="B46" s="248" t="s">
        <v>427</v>
      </c>
      <c r="C46" s="249">
        <f>ROUND((C33+C39)*F27,0)</f>
        <v>21</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140</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133</v>
      </c>
      <c r="D51" s="232"/>
      <c r="E51" s="232"/>
      <c r="F51" s="264"/>
      <c r="G51" s="234" t="s">
        <v>37</v>
      </c>
    </row>
    <row r="52" spans="1:7" s="208" customFormat="1" ht="16.8" thickBot="1">
      <c r="A52" s="265" t="s">
        <v>38</v>
      </c>
      <c r="B52" s="266"/>
      <c r="C52" s="267">
        <f ca="1">C31+C51</f>
        <v>28870</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06" t="s">
        <v>3181</v>
      </c>
      <c r="B1" s="3806"/>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07" t="s">
        <v>3232</v>
      </c>
      <c r="B1" s="3807"/>
      <c r="C1" s="3807"/>
      <c r="D1" s="3807"/>
      <c r="E1" s="3807"/>
      <c r="F1" s="3808"/>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3221">
        <f>基准地价修正!G23</f>
        <v>45828</v>
      </c>
      <c r="B1" s="3210" t="s">
        <v>3378</v>
      </c>
      <c r="C1" s="3211"/>
      <c r="D1" s="3211"/>
      <c r="E1" s="3211"/>
      <c r="F1" s="3211"/>
      <c r="G1" s="3211"/>
      <c r="H1" s="3211"/>
      <c r="I1" s="3211"/>
      <c r="J1" s="3165"/>
      <c r="K1" s="3211" t="s">
        <v>454</v>
      </c>
      <c r="L1" s="3211"/>
      <c r="M1" s="3211"/>
      <c r="N1" s="3211"/>
      <c r="O1" s="3211"/>
      <c r="P1" s="3211"/>
      <c r="Q1" s="3165"/>
      <c r="R1" s="3809" t="s">
        <v>456</v>
      </c>
      <c r="S1" s="3810"/>
      <c r="T1" s="3810"/>
      <c r="U1" s="3810"/>
      <c r="V1" s="3810"/>
      <c r="W1" s="3810"/>
      <c r="X1" s="3165"/>
      <c r="Y1" s="3809" t="s">
        <v>457</v>
      </c>
      <c r="Z1" s="3810"/>
      <c r="AA1" s="3810"/>
      <c r="AB1" s="3810"/>
      <c r="AC1" s="3810"/>
      <c r="AD1" s="3810"/>
    </row>
    <row r="2" spans="1:44"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3405</v>
      </c>
      <c r="AG2" t="s">
        <v>673</v>
      </c>
      <c r="AH2" t="s">
        <v>21</v>
      </c>
      <c r="AI2" t="s">
        <v>3406</v>
      </c>
      <c r="AJ2" t="s">
        <v>3</v>
      </c>
      <c r="AK2" t="s">
        <v>3407</v>
      </c>
      <c r="AM2" t="s">
        <v>3405</v>
      </c>
      <c r="AN2" t="s">
        <v>673</v>
      </c>
      <c r="AO2" t="s">
        <v>21</v>
      </c>
      <c r="AP2" t="s">
        <v>3406</v>
      </c>
      <c r="AQ2" t="s">
        <v>3</v>
      </c>
      <c r="AR2" t="s">
        <v>3407</v>
      </c>
    </row>
    <row r="3" spans="1:44" s="3161" customFormat="1" ht="13.2">
      <c r="A3" s="3149" t="s">
        <v>2819</v>
      </c>
      <c r="B3" s="3150"/>
      <c r="C3" s="3151"/>
      <c r="D3" s="3151">
        <f>ROUND(AVERAGEIF(D4:D24,"&lt;&gt;0"),2)</f>
        <v>0.39</v>
      </c>
      <c r="E3" s="3151">
        <f t="shared" ref="E3:H3" si="0">ROUND(AVERAGEIF(E4:E24,"&lt;&gt;0"),2)</f>
        <v>0.21</v>
      </c>
      <c r="F3" s="3151">
        <f t="shared" si="0"/>
        <v>-0.06</v>
      </c>
      <c r="G3" s="3151">
        <f t="shared" si="0"/>
        <v>0.46</v>
      </c>
      <c r="H3" s="3151">
        <f t="shared" si="0"/>
        <v>0.51</v>
      </c>
      <c r="I3" s="3151">
        <f>F3</f>
        <v>-0.06</v>
      </c>
      <c r="J3" s="3152"/>
      <c r="K3" s="3153">
        <f>ROUND(AVERAGEIF(K4:K24,"&lt;&gt;0"),4)</f>
        <v>3.8999999999999998E-3</v>
      </c>
      <c r="L3" s="3154">
        <f t="shared" ref="L3:O3" si="1">ROUND(AVERAGEIF(L4:L24,"&lt;&gt;0"),4)</f>
        <v>2.0999999999999999E-3</v>
      </c>
      <c r="M3" s="3154">
        <f t="shared" si="1"/>
        <v>-5.9999999999999995E-4</v>
      </c>
      <c r="N3" s="3154">
        <f t="shared" si="1"/>
        <v>4.5999999999999999E-3</v>
      </c>
      <c r="O3" s="3154">
        <f t="shared" si="1"/>
        <v>5.1000000000000004E-3</v>
      </c>
      <c r="P3" s="3154">
        <f>M3</f>
        <v>-5.9999999999999995E-4</v>
      </c>
      <c r="Q3" s="3152"/>
      <c r="R3" s="3155">
        <f>ROUND(SUMPRODUCT(PRODUCT(1+K4:K24)),4)</f>
        <v>1.0674999999999999</v>
      </c>
      <c r="S3" s="3156">
        <f t="shared" ref="S3:V3" si="2">ROUND(SUMPRODUCT(PRODUCT(1+L4:L24)),4)</f>
        <v>1.0355000000000001</v>
      </c>
      <c r="T3" s="3156">
        <f t="shared" si="2"/>
        <v>0.98880000000000001</v>
      </c>
      <c r="U3" s="3156">
        <f t="shared" si="2"/>
        <v>1.0798000000000001</v>
      </c>
      <c r="V3" s="3156">
        <f t="shared" si="2"/>
        <v>1.0911</v>
      </c>
      <c r="W3" s="3155">
        <f>T3</f>
        <v>0.98880000000000001</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3404</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1.0571999999999999</v>
      </c>
      <c r="S5" s="3183">
        <f>ROUND(IF(项目基本情况!$B$8="出让",SUMPRODUCT(PRODUCT(1+L5:$L$24)),SUMPRODUCT(PRODUCT(1+L5:$L$23))),4)</f>
        <v>1.0339</v>
      </c>
      <c r="T5" s="3183">
        <f>ROUND(IF(项目基本情况!$B$8="出让",SUMPRODUCT(PRODUCT(1+M5:$M$24)),SUMPRODUCT(PRODUCT(1+M5:$M$23))),4)</f>
        <v>0.99129999999999996</v>
      </c>
      <c r="U5" s="3183">
        <f>ROUND(IF(项目基本情况!$B$8="出让",SUMPRODUCT(PRODUCT(1+N5:$N$24)),SUMPRODUCT(PRODUCT(1+N5:$N$23))),4)</f>
        <v>1.0679000000000001</v>
      </c>
      <c r="V5" s="3183">
        <f>ROUND(IF(项目基本情况!$B$8="出让",SUMPRODUCT(PRODUCT(1+O5:$O$24)),SUMPRODUCT(PRODUCT(1+O5:$O$23))),4)</f>
        <v>1.0871999999999999</v>
      </c>
      <c r="W5" s="3183">
        <f t="shared" ref="W5:W11" si="11">T5</f>
        <v>0.99129999999999996</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6">
        <f>$AF$24*R5</f>
        <v>105.72</v>
      </c>
      <c r="AG5" s="3456">
        <f t="shared" ref="AG5:AK5" si="18">$AF$24*S5</f>
        <v>103.39</v>
      </c>
      <c r="AH5" s="3456">
        <f t="shared" si="18"/>
        <v>99.13</v>
      </c>
      <c r="AI5" s="3456">
        <f t="shared" si="18"/>
        <v>106.79</v>
      </c>
      <c r="AJ5" s="3456">
        <f t="shared" si="18"/>
        <v>108.72</v>
      </c>
      <c r="AK5" s="3456">
        <f t="shared" si="18"/>
        <v>99.13</v>
      </c>
      <c r="AM5" s="3462">
        <v>100</v>
      </c>
      <c r="AN5" s="3462">
        <v>100</v>
      </c>
      <c r="AO5" s="3462">
        <v>100</v>
      </c>
      <c r="AP5" s="3462">
        <v>100</v>
      </c>
      <c r="AQ5" s="3462">
        <v>100</v>
      </c>
      <c r="AR5" s="3462">
        <v>100</v>
      </c>
    </row>
    <row r="6" spans="1:44" s="3185" customFormat="1" ht="13.2">
      <c r="A6" s="2205" t="s">
        <v>3403</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1.0571999999999999</v>
      </c>
      <c r="S6" s="3183">
        <f>ROUND(IF(项目基本情况!$B$8="出让",SUMPRODUCT(PRODUCT(1+L6:$L$24)),SUMPRODUCT(PRODUCT(1+L6:$L$23))),4)</f>
        <v>1.0339</v>
      </c>
      <c r="T6" s="3183">
        <f>ROUND(IF(项目基本情况!$B$8="出让",SUMPRODUCT(PRODUCT(1+M6:$M$24)),SUMPRODUCT(PRODUCT(1+M6:$M$23))),4)</f>
        <v>0.99129999999999996</v>
      </c>
      <c r="U6" s="3183">
        <f>ROUND(IF(项目基本情况!$B$8="出让",SUMPRODUCT(PRODUCT(1+N6:$N$24)),SUMPRODUCT(PRODUCT(1+N6:$N$23))),4)</f>
        <v>1.0679000000000001</v>
      </c>
      <c r="V6" s="3183">
        <f>ROUND(IF(项目基本情况!$B$8="出让",SUMPRODUCT(PRODUCT(1+O6:$O$24)),SUMPRODUCT(PRODUCT(1+O6:$O$23))),4)</f>
        <v>1.0871999999999999</v>
      </c>
      <c r="W6" s="3183">
        <f t="shared" si="11"/>
        <v>0.99129999999999996</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6">
        <f t="shared" ref="AF6:AF23" si="30">$AF$24*R6</f>
        <v>105.72</v>
      </c>
      <c r="AG6" s="3456">
        <f t="shared" ref="AG6:AG23" si="31">$AF$24*S6</f>
        <v>103.39</v>
      </c>
      <c r="AH6" s="3456">
        <f t="shared" ref="AH6:AH23" si="32">$AF$24*T6</f>
        <v>99.13</v>
      </c>
      <c r="AI6" s="3456">
        <f t="shared" ref="AI6:AI23" si="33">$AF$24*U6</f>
        <v>106.79</v>
      </c>
      <c r="AJ6" s="3456">
        <f t="shared" ref="AJ6:AJ23" si="34">$AF$24*V6</f>
        <v>108.72</v>
      </c>
      <c r="AK6" s="3456">
        <f t="shared" ref="AK6:AK23" si="35">$AF$24*W6</f>
        <v>99.13</v>
      </c>
      <c r="AM6" s="3456">
        <f>AM5/(1+D5/100)</f>
        <v>100</v>
      </c>
      <c r="AN6" s="3456">
        <f t="shared" ref="AN6:AR6" si="36">AN5/(1+E5/100)</f>
        <v>100</v>
      </c>
      <c r="AO6" s="3456">
        <f t="shared" si="36"/>
        <v>100</v>
      </c>
      <c r="AP6" s="3456">
        <f t="shared" si="36"/>
        <v>100</v>
      </c>
      <c r="AQ6" s="3456">
        <f t="shared" si="36"/>
        <v>100</v>
      </c>
      <c r="AR6" s="3456">
        <f t="shared" si="36"/>
        <v>100</v>
      </c>
    </row>
    <row r="7" spans="1:44" s="3195" customFormat="1" ht="13.2">
      <c r="A7" s="3186" t="s">
        <v>3402</v>
      </c>
      <c r="B7" s="3187">
        <v>2025</v>
      </c>
      <c r="C7" s="3188">
        <v>2</v>
      </c>
      <c r="D7" s="3189">
        <v>0</v>
      </c>
      <c r="E7" s="3189">
        <v>0</v>
      </c>
      <c r="F7" s="3189">
        <v>0</v>
      </c>
      <c r="G7" s="3189">
        <v>0</v>
      </c>
      <c r="H7" s="3190">
        <v>0</v>
      </c>
      <c r="I7" s="3191">
        <f t="shared" ref="I7" si="37">F7</f>
        <v>0</v>
      </c>
      <c r="J7" s="3192"/>
      <c r="K7" s="3193">
        <f t="shared" ref="K7" si="38">D7/100</f>
        <v>0</v>
      </c>
      <c r="L7" s="3194">
        <f t="shared" ref="L7" si="39">E7/100</f>
        <v>0</v>
      </c>
      <c r="M7" s="3194">
        <f t="shared" ref="M7" si="40">F7/100</f>
        <v>0</v>
      </c>
      <c r="N7" s="3194">
        <f t="shared" ref="N7" si="41">G7/100</f>
        <v>0</v>
      </c>
      <c r="O7" s="3194">
        <f t="shared" ref="O7" si="42">H7/100</f>
        <v>0</v>
      </c>
      <c r="P7" s="3194">
        <f t="shared" si="10"/>
        <v>0</v>
      </c>
      <c r="Q7" s="3192"/>
      <c r="R7" s="3192">
        <f>ROUND(IF(项目基本情况!$B$8="出让",SUMPRODUCT(PRODUCT(1+K7:$K$24)),SUMPRODUCT(PRODUCT(1+K7:$K$23))),4)</f>
        <v>1.0571999999999999</v>
      </c>
      <c r="S7" s="3192">
        <f>ROUND(IF(项目基本情况!$B$8="出让",SUMPRODUCT(PRODUCT(1+L7:$L$24)),SUMPRODUCT(PRODUCT(1+L7:$L$23))),4)</f>
        <v>1.0339</v>
      </c>
      <c r="T7" s="3192">
        <f>ROUND(IF(项目基本情况!$B$8="出让",SUMPRODUCT(PRODUCT(1+M7:$M$24)),SUMPRODUCT(PRODUCT(1+M7:$M$23))),4)</f>
        <v>0.99129999999999996</v>
      </c>
      <c r="U7" s="3192">
        <f>ROUND(IF(项目基本情况!$B$8="出让",SUMPRODUCT(PRODUCT(1+N7:$N$24)),SUMPRODUCT(PRODUCT(1+N7:$N$23))),4)</f>
        <v>1.0679000000000001</v>
      </c>
      <c r="V7" s="3192">
        <f>ROUND(IF(项目基本情况!$B$8="出让",SUMPRODUCT(PRODUCT(1+O7:$O$24)),SUMPRODUCT(PRODUCT(1+O7:$O$23))),4)</f>
        <v>1.0871999999999999</v>
      </c>
      <c r="W7" s="3192">
        <f t="shared" si="11"/>
        <v>0.99129999999999996</v>
      </c>
      <c r="X7" s="3192"/>
      <c r="Y7" s="3194">
        <f t="shared" si="12"/>
        <v>0</v>
      </c>
      <c r="Z7" s="3194">
        <f t="shared" ref="Z7" si="43">IF(E7=0,0,ROUND(AVERAGE(E7:E20)/100,4))</f>
        <v>0</v>
      </c>
      <c r="AA7" s="3194">
        <f t="shared" ref="AA7" si="44">IF(F7=0,0,ROUND(AVERAGE(F7:F20)/100,4))</f>
        <v>0</v>
      </c>
      <c r="AB7" s="3194">
        <f t="shared" ref="AB7" si="45">IF(G7=0,0,ROUND(AVERAGE(G7:G20)/100,4))</f>
        <v>0</v>
      </c>
      <c r="AC7" s="3194">
        <f t="shared" ref="AC7" si="46">IF(H7=0,0,ROUND(AVERAGE(H7:H20)/100,4))</f>
        <v>0</v>
      </c>
      <c r="AD7" s="3194">
        <f t="shared" ref="AD7" si="47">AA7</f>
        <v>0</v>
      </c>
      <c r="AF7" s="3457">
        <f t="shared" si="30"/>
        <v>105.72</v>
      </c>
      <c r="AG7" s="3457">
        <f t="shared" si="31"/>
        <v>103.39</v>
      </c>
      <c r="AH7" s="3457">
        <f t="shared" si="32"/>
        <v>99.13</v>
      </c>
      <c r="AI7" s="3457">
        <f t="shared" si="33"/>
        <v>106.79</v>
      </c>
      <c r="AJ7" s="3457">
        <f t="shared" si="34"/>
        <v>108.72</v>
      </c>
      <c r="AK7" s="3457">
        <f t="shared" si="35"/>
        <v>99.13</v>
      </c>
      <c r="AM7" s="3457">
        <f t="shared" ref="AM7:AM24" si="48">AM6/(1+D6/100)</f>
        <v>100</v>
      </c>
      <c r="AN7" s="3457">
        <f t="shared" ref="AN7:AN24" si="49">AN6/(1+E6/100)</f>
        <v>100</v>
      </c>
      <c r="AO7" s="3457">
        <f t="shared" ref="AO7:AO24" si="50">AO6/(1+F6/100)</f>
        <v>100</v>
      </c>
      <c r="AP7" s="3457">
        <f t="shared" ref="AP7:AP24" si="51">AP6/(1+G6/100)</f>
        <v>100</v>
      </c>
      <c r="AQ7" s="3457">
        <f t="shared" ref="AQ7:AQ24" si="52">AQ6/(1+H6/100)</f>
        <v>100</v>
      </c>
      <c r="AR7" s="3457">
        <f t="shared" ref="AR7:AR24" si="53">AR6/(1+I6/100)</f>
        <v>100</v>
      </c>
    </row>
    <row r="8" spans="1:44" s="3185" customFormat="1" ht="13.2">
      <c r="A8" s="2205" t="s">
        <v>3410</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6">
        <f t="shared" si="30"/>
        <v>105.72</v>
      </c>
      <c r="AG8" s="3456">
        <f t="shared" si="31"/>
        <v>103.39</v>
      </c>
      <c r="AH8" s="3456">
        <f t="shared" si="32"/>
        <v>99.13</v>
      </c>
      <c r="AI8" s="3456">
        <f t="shared" si="33"/>
        <v>106.79</v>
      </c>
      <c r="AJ8" s="3456">
        <f t="shared" si="34"/>
        <v>108.72</v>
      </c>
      <c r="AK8" s="3456">
        <f t="shared" si="35"/>
        <v>99.13</v>
      </c>
      <c r="AM8" s="3456">
        <f t="shared" si="48"/>
        <v>100</v>
      </c>
      <c r="AN8" s="3456">
        <f t="shared" si="49"/>
        <v>100</v>
      </c>
      <c r="AO8" s="3456">
        <f t="shared" si="50"/>
        <v>100</v>
      </c>
      <c r="AP8" s="3456">
        <f t="shared" si="51"/>
        <v>100</v>
      </c>
      <c r="AQ8" s="3456">
        <f t="shared" si="52"/>
        <v>100</v>
      </c>
      <c r="AR8" s="3456">
        <f t="shared" si="53"/>
        <v>100</v>
      </c>
    </row>
    <row r="9" spans="1:44" s="3185" customFormat="1" ht="13.2">
      <c r="A9" s="2205" t="s">
        <v>3409</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6">
        <f t="shared" si="30"/>
        <v>105.11999999999999</v>
      </c>
      <c r="AG9" s="3456">
        <f t="shared" si="31"/>
        <v>103.98</v>
      </c>
      <c r="AH9" s="3456">
        <f t="shared" si="32"/>
        <v>100.03</v>
      </c>
      <c r="AI9" s="3456">
        <f t="shared" si="33"/>
        <v>105.61</v>
      </c>
      <c r="AJ9" s="3456">
        <f t="shared" si="34"/>
        <v>108.27</v>
      </c>
      <c r="AK9" s="3456">
        <f t="shared" si="35"/>
        <v>100.03</v>
      </c>
      <c r="AM9" s="3456">
        <f t="shared" si="48"/>
        <v>99.433230585661718</v>
      </c>
      <c r="AN9" s="3456">
        <f t="shared" si="49"/>
        <v>100.57326762546515</v>
      </c>
      <c r="AO9" s="3456">
        <f t="shared" si="50"/>
        <v>100.90817356205852</v>
      </c>
      <c r="AP9" s="3456">
        <f t="shared" si="51"/>
        <v>98.892405063291136</v>
      </c>
      <c r="AQ9" s="3456">
        <f t="shared" si="52"/>
        <v>99.581756622186816</v>
      </c>
      <c r="AR9" s="3456">
        <f t="shared" si="53"/>
        <v>100.90817356205852</v>
      </c>
    </row>
    <row r="10" spans="1:44" s="3185" customFormat="1" ht="13.2">
      <c r="A10" s="2205" t="s">
        <v>3382</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6">
        <f t="shared" si="30"/>
        <v>106.2</v>
      </c>
      <c r="AG10" s="3456">
        <f t="shared" si="31"/>
        <v>104.47999999999999</v>
      </c>
      <c r="AH10" s="3456">
        <f t="shared" si="32"/>
        <v>100.79</v>
      </c>
      <c r="AI10" s="3456">
        <f t="shared" si="33"/>
        <v>106.72999999999999</v>
      </c>
      <c r="AJ10" s="3456">
        <f t="shared" si="34"/>
        <v>108.18</v>
      </c>
      <c r="AK10" s="3456">
        <f t="shared" si="35"/>
        <v>100.79</v>
      </c>
      <c r="AM10" s="3456">
        <f t="shared" si="48"/>
        <v>100.45790117767399</v>
      </c>
      <c r="AN10" s="3456">
        <f t="shared" si="49"/>
        <v>101.05834769439826</v>
      </c>
      <c r="AO10" s="3456">
        <f t="shared" si="50"/>
        <v>101.670703840865</v>
      </c>
      <c r="AP10" s="3456">
        <f t="shared" si="51"/>
        <v>99.941793899233076</v>
      </c>
      <c r="AQ10" s="3456">
        <f t="shared" si="52"/>
        <v>99.502154898268216</v>
      </c>
      <c r="AR10" s="3456">
        <f t="shared" si="53"/>
        <v>101.670703840865</v>
      </c>
    </row>
    <row r="11" spans="1:44" s="3185" customFormat="1" ht="13.2">
      <c r="A11" s="3176" t="s">
        <v>3376</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6">
        <f t="shared" si="30"/>
        <v>107.48</v>
      </c>
      <c r="AG11" s="3456">
        <f t="shared" si="31"/>
        <v>104.98</v>
      </c>
      <c r="AH11" s="3456">
        <f t="shared" si="32"/>
        <v>101.08</v>
      </c>
      <c r="AI11" s="3456">
        <f t="shared" si="33"/>
        <v>107.52999999999999</v>
      </c>
      <c r="AJ11" s="3456">
        <f t="shared" si="34"/>
        <v>108.41000000000001</v>
      </c>
      <c r="AK11" s="3456">
        <f t="shared" si="35"/>
        <v>101.08</v>
      </c>
      <c r="AM11" s="3456">
        <f t="shared" si="48"/>
        <v>101.66774737139357</v>
      </c>
      <c r="AN11" s="3456">
        <f t="shared" si="49"/>
        <v>101.53556484918946</v>
      </c>
      <c r="AO11" s="3456">
        <f t="shared" si="50"/>
        <v>101.9664064194815</v>
      </c>
      <c r="AP11" s="3456">
        <f t="shared" si="51"/>
        <v>100.68687678746028</v>
      </c>
      <c r="AQ11" s="3456">
        <f t="shared" si="52"/>
        <v>99.711549151486338</v>
      </c>
      <c r="AR11" s="3456">
        <f t="shared" si="53"/>
        <v>101.9664064194815</v>
      </c>
    </row>
    <row r="12" spans="1:44" s="3185" customFormat="1" ht="13.2">
      <c r="A12" s="3176" t="s">
        <v>3375</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6">
        <f t="shared" si="30"/>
        <v>108.11999999999999</v>
      </c>
      <c r="AG12" s="3456">
        <f t="shared" si="31"/>
        <v>105.2</v>
      </c>
      <c r="AH12" s="3456">
        <f t="shared" si="32"/>
        <v>102.49999999999999</v>
      </c>
      <c r="AI12" s="3456">
        <f t="shared" si="33"/>
        <v>108.88</v>
      </c>
      <c r="AJ12" s="3456">
        <f t="shared" si="34"/>
        <v>108.04</v>
      </c>
      <c r="AK12" s="3456">
        <f t="shared" si="35"/>
        <v>102.49999999999999</v>
      </c>
      <c r="AM12" s="3456">
        <f t="shared" si="48"/>
        <v>102.27114713951673</v>
      </c>
      <c r="AN12" s="3456">
        <f t="shared" si="49"/>
        <v>101.74923824951344</v>
      </c>
      <c r="AO12" s="3456">
        <f t="shared" si="50"/>
        <v>103.3932330353696</v>
      </c>
      <c r="AP12" s="3456">
        <f t="shared" si="51"/>
        <v>101.95107005615662</v>
      </c>
      <c r="AQ12" s="3456">
        <f t="shared" si="52"/>
        <v>99.373678644096401</v>
      </c>
      <c r="AR12" s="3456">
        <f t="shared" si="53"/>
        <v>103.3932330353696</v>
      </c>
    </row>
    <row r="13" spans="1:44" s="3185" customFormat="1" ht="13.2">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6">
        <f t="shared" si="30"/>
        <v>108.04</v>
      </c>
      <c r="AG13" s="3456">
        <f t="shared" si="31"/>
        <v>104.71999999999998</v>
      </c>
      <c r="AH13" s="3456">
        <f t="shared" si="32"/>
        <v>102.66</v>
      </c>
      <c r="AI13" s="3456">
        <f t="shared" si="33"/>
        <v>108.59</v>
      </c>
      <c r="AJ13" s="3456">
        <f t="shared" si="34"/>
        <v>107.41000000000001</v>
      </c>
      <c r="AK13" s="3456">
        <f t="shared" si="35"/>
        <v>102.66</v>
      </c>
      <c r="AM13" s="3456">
        <f t="shared" si="48"/>
        <v>102.18939562301833</v>
      </c>
      <c r="AN13" s="3456">
        <f t="shared" si="49"/>
        <v>101.28333490893236</v>
      </c>
      <c r="AO13" s="3456">
        <f t="shared" si="50"/>
        <v>103.55892731908014</v>
      </c>
      <c r="AP13" s="3456">
        <f t="shared" si="51"/>
        <v>101.68668467599903</v>
      </c>
      <c r="AQ13" s="3456">
        <f t="shared" si="52"/>
        <v>98.79081284829148</v>
      </c>
      <c r="AR13" s="3456">
        <f t="shared" si="53"/>
        <v>103.55892731908014</v>
      </c>
    </row>
    <row r="14" spans="1:44" s="3185" customFormat="1" ht="13.2">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6">
        <f t="shared" si="30"/>
        <v>107.83</v>
      </c>
      <c r="AG14" s="3456">
        <f t="shared" si="31"/>
        <v>104.47</v>
      </c>
      <c r="AH14" s="3456">
        <f t="shared" si="32"/>
        <v>102.82</v>
      </c>
      <c r="AI14" s="3456">
        <f t="shared" si="33"/>
        <v>108.41000000000001</v>
      </c>
      <c r="AJ14" s="3456">
        <f t="shared" si="34"/>
        <v>106.74999999999999</v>
      </c>
      <c r="AK14" s="3456">
        <f t="shared" si="35"/>
        <v>102.82</v>
      </c>
      <c r="AM14" s="3456">
        <f t="shared" si="48"/>
        <v>101.99560397546495</v>
      </c>
      <c r="AN14" s="3456">
        <f t="shared" si="49"/>
        <v>101.04083690037147</v>
      </c>
      <c r="AO14" s="3456">
        <f t="shared" si="50"/>
        <v>103.72488713850174</v>
      </c>
      <c r="AP14" s="3456">
        <f t="shared" si="51"/>
        <v>101.51411068782971</v>
      </c>
      <c r="AQ14" s="3456">
        <f t="shared" si="52"/>
        <v>98.191842608380355</v>
      </c>
      <c r="AR14" s="3456">
        <f t="shared" si="53"/>
        <v>103.72488713850174</v>
      </c>
    </row>
    <row r="15" spans="1:44" s="3185" customFormat="1" ht="13.2">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6">
        <f t="shared" si="30"/>
        <v>107.55999999999999</v>
      </c>
      <c r="AG15" s="3456">
        <f t="shared" si="31"/>
        <v>103.95</v>
      </c>
      <c r="AH15" s="3456">
        <f t="shared" si="32"/>
        <v>102.50999999999999</v>
      </c>
      <c r="AI15" s="3456">
        <f t="shared" si="33"/>
        <v>108.18</v>
      </c>
      <c r="AJ15" s="3456">
        <f t="shared" si="34"/>
        <v>106.3</v>
      </c>
      <c r="AK15" s="3456">
        <f t="shared" si="35"/>
        <v>102.50999999999999</v>
      </c>
      <c r="AM15" s="3456">
        <f t="shared" si="48"/>
        <v>101.74125084834409</v>
      </c>
      <c r="AN15" s="3456">
        <f t="shared" si="49"/>
        <v>100.53814616952387</v>
      </c>
      <c r="AO15" s="3456">
        <f t="shared" si="50"/>
        <v>103.40433370401927</v>
      </c>
      <c r="AP15" s="3456">
        <f t="shared" si="51"/>
        <v>101.30137779446135</v>
      </c>
      <c r="AQ15" s="3456">
        <f t="shared" si="52"/>
        <v>97.771425478821428</v>
      </c>
      <c r="AR15" s="3456">
        <f t="shared" si="53"/>
        <v>103.40433370401927</v>
      </c>
    </row>
    <row r="16" spans="1:44" s="3185" customFormat="1" ht="13.2">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6">
        <f t="shared" si="30"/>
        <v>106.59</v>
      </c>
      <c r="AG16" s="3456">
        <f t="shared" si="31"/>
        <v>103.25999999999999</v>
      </c>
      <c r="AH16" s="3456">
        <f t="shared" si="32"/>
        <v>102.03</v>
      </c>
      <c r="AI16" s="3456">
        <f t="shared" si="33"/>
        <v>107.14999999999999</v>
      </c>
      <c r="AJ16" s="3456">
        <f t="shared" si="34"/>
        <v>105.55000000000001</v>
      </c>
      <c r="AK16" s="3456">
        <f t="shared" si="35"/>
        <v>102.03</v>
      </c>
      <c r="AM16" s="3456">
        <f t="shared" si="48"/>
        <v>100.82375468074926</v>
      </c>
      <c r="AN16" s="3456">
        <f t="shared" si="49"/>
        <v>99.878945131654959</v>
      </c>
      <c r="AO16" s="3456">
        <f t="shared" si="50"/>
        <v>102.92060685181573</v>
      </c>
      <c r="AP16" s="3456">
        <f t="shared" si="51"/>
        <v>100.33813172985474</v>
      </c>
      <c r="AQ16" s="3456">
        <f t="shared" si="52"/>
        <v>97.082142268713554</v>
      </c>
      <c r="AR16" s="3456">
        <f t="shared" si="53"/>
        <v>102.92060685181573</v>
      </c>
    </row>
    <row r="17" spans="1:44" s="3185" customFormat="1" ht="13.2">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6">
        <f t="shared" si="30"/>
        <v>105.65</v>
      </c>
      <c r="AG17" s="3456">
        <f t="shared" si="31"/>
        <v>102.50999999999999</v>
      </c>
      <c r="AH17" s="3456">
        <f t="shared" si="32"/>
        <v>101.44999999999999</v>
      </c>
      <c r="AI17" s="3456">
        <f t="shared" si="33"/>
        <v>106.18</v>
      </c>
      <c r="AJ17" s="3456">
        <f t="shared" si="34"/>
        <v>105.02</v>
      </c>
      <c r="AK17" s="3456">
        <f t="shared" si="35"/>
        <v>101.44999999999999</v>
      </c>
      <c r="AM17" s="3456">
        <f t="shared" si="48"/>
        <v>99.934339063087791</v>
      </c>
      <c r="AN17" s="3456">
        <f t="shared" si="49"/>
        <v>99.145270132673176</v>
      </c>
      <c r="AO17" s="3456">
        <f t="shared" si="50"/>
        <v>102.3372843311283</v>
      </c>
      <c r="AP17" s="3456">
        <f t="shared" si="51"/>
        <v>99.423436117573061</v>
      </c>
      <c r="AQ17" s="3456">
        <f t="shared" si="52"/>
        <v>96.599146536033402</v>
      </c>
      <c r="AR17" s="3456">
        <f t="shared" si="53"/>
        <v>102.3372843311283</v>
      </c>
    </row>
    <row r="18" spans="1:44" s="3185" customFormat="1" ht="13.2">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6">
        <f t="shared" si="30"/>
        <v>105</v>
      </c>
      <c r="AG18" s="3456">
        <f t="shared" si="31"/>
        <v>102.3</v>
      </c>
      <c r="AH18" s="3456">
        <f t="shared" si="32"/>
        <v>101.34</v>
      </c>
      <c r="AI18" s="3456">
        <f t="shared" si="33"/>
        <v>105.45</v>
      </c>
      <c r="AJ18" s="3456">
        <f t="shared" si="34"/>
        <v>104.47</v>
      </c>
      <c r="AK18" s="3456">
        <f t="shared" si="35"/>
        <v>101.34</v>
      </c>
      <c r="AM18" s="3456">
        <f t="shared" si="48"/>
        <v>99.318563966495518</v>
      </c>
      <c r="AN18" s="3456">
        <f t="shared" si="49"/>
        <v>98.947375381909353</v>
      </c>
      <c r="AO18" s="3456">
        <f t="shared" si="50"/>
        <v>102.22483701041683</v>
      </c>
      <c r="AP18" s="3456">
        <f t="shared" si="51"/>
        <v>98.742115520481747</v>
      </c>
      <c r="AQ18" s="3456">
        <f t="shared" si="52"/>
        <v>96.089870223847001</v>
      </c>
      <c r="AR18" s="3456">
        <f t="shared" si="53"/>
        <v>102.22483701041683</v>
      </c>
    </row>
    <row r="19" spans="1:44" s="3185" customFormat="1" ht="13.2">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6">
        <f t="shared" si="30"/>
        <v>104.30999999999999</v>
      </c>
      <c r="AG19" s="3456">
        <f t="shared" si="31"/>
        <v>101.97</v>
      </c>
      <c r="AH19" s="3456">
        <f t="shared" si="32"/>
        <v>101.1</v>
      </c>
      <c r="AI19" s="3456">
        <f t="shared" si="33"/>
        <v>104.69</v>
      </c>
      <c r="AJ19" s="3456">
        <f t="shared" si="34"/>
        <v>103.82000000000001</v>
      </c>
      <c r="AK19" s="3456">
        <f t="shared" si="35"/>
        <v>101.1</v>
      </c>
      <c r="AM19" s="3456">
        <f t="shared" si="48"/>
        <v>98.667359394491882</v>
      </c>
      <c r="AN19" s="3456">
        <f t="shared" si="49"/>
        <v>98.631753769845844</v>
      </c>
      <c r="AO19" s="3456">
        <f t="shared" si="50"/>
        <v>101.99025941376517</v>
      </c>
      <c r="AP19" s="3456">
        <f t="shared" si="51"/>
        <v>98.036254488166932</v>
      </c>
      <c r="AQ19" s="3456">
        <f t="shared" si="52"/>
        <v>95.488293971824504</v>
      </c>
      <c r="AR19" s="3456">
        <f t="shared" si="53"/>
        <v>101.99025941376517</v>
      </c>
    </row>
    <row r="20" spans="1:44" s="3185" customFormat="1" ht="13.2">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6">
        <f t="shared" si="30"/>
        <v>103.35000000000001</v>
      </c>
      <c r="AG20" s="3456">
        <f t="shared" si="31"/>
        <v>101.82</v>
      </c>
      <c r="AH20" s="3456">
        <f t="shared" si="32"/>
        <v>101.08999999999999</v>
      </c>
      <c r="AI20" s="3456">
        <f t="shared" si="33"/>
        <v>103.61</v>
      </c>
      <c r="AJ20" s="3456">
        <f t="shared" si="34"/>
        <v>102.71</v>
      </c>
      <c r="AK20" s="3456">
        <f t="shared" si="35"/>
        <v>101.08999999999999</v>
      </c>
      <c r="AM20" s="3456">
        <f t="shared" si="48"/>
        <v>97.758208059538163</v>
      </c>
      <c r="AN20" s="3456">
        <f t="shared" si="49"/>
        <v>98.484027728253452</v>
      </c>
      <c r="AO20" s="3456">
        <f t="shared" si="50"/>
        <v>101.98006140762442</v>
      </c>
      <c r="AP20" s="3456">
        <f t="shared" si="51"/>
        <v>97.017570003134026</v>
      </c>
      <c r="AQ20" s="3456">
        <f t="shared" si="52"/>
        <v>94.468039149015155</v>
      </c>
      <c r="AR20" s="3456">
        <f t="shared" si="53"/>
        <v>101.98006140762442</v>
      </c>
    </row>
    <row r="21" spans="1:44" s="3185" customFormat="1" ht="13.2">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6">
        <f t="shared" si="30"/>
        <v>102.44</v>
      </c>
      <c r="AG21" s="3456">
        <f t="shared" si="31"/>
        <v>101.38000000000001</v>
      </c>
      <c r="AH21" s="3456">
        <f t="shared" si="32"/>
        <v>100.72000000000001</v>
      </c>
      <c r="AI21" s="3456">
        <f t="shared" si="33"/>
        <v>102.62</v>
      </c>
      <c r="AJ21" s="3456">
        <f t="shared" si="34"/>
        <v>102.05</v>
      </c>
      <c r="AK21" s="3456">
        <f t="shared" si="35"/>
        <v>100.72000000000001</v>
      </c>
      <c r="AM21" s="3456">
        <f t="shared" si="48"/>
        <v>96.895835126908679</v>
      </c>
      <c r="AN21" s="3456">
        <f t="shared" si="49"/>
        <v>98.0525963045136</v>
      </c>
      <c r="AO21" s="3456">
        <f t="shared" si="50"/>
        <v>101.60412614090308</v>
      </c>
      <c r="AP21" s="3456">
        <f t="shared" si="51"/>
        <v>96.095057451598677</v>
      </c>
      <c r="AQ21" s="3456">
        <f t="shared" si="52"/>
        <v>93.867288502598527</v>
      </c>
      <c r="AR21" s="3456">
        <f t="shared" si="53"/>
        <v>101.60412614090308</v>
      </c>
    </row>
    <row r="22" spans="1:44" s="3185" customFormat="1" ht="13.2">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6">
        <f t="shared" si="30"/>
        <v>101.39</v>
      </c>
      <c r="AG22" s="3456">
        <f t="shared" si="31"/>
        <v>101.13000000000001</v>
      </c>
      <c r="AH22" s="3456">
        <f t="shared" si="32"/>
        <v>100.64999999999999</v>
      </c>
      <c r="AI22" s="3456">
        <f t="shared" si="33"/>
        <v>101.42999999999999</v>
      </c>
      <c r="AJ22" s="3456">
        <f t="shared" si="34"/>
        <v>101.49</v>
      </c>
      <c r="AK22" s="3456">
        <f t="shared" si="35"/>
        <v>100.64999999999999</v>
      </c>
      <c r="AM22" s="3456">
        <f t="shared" si="48"/>
        <v>95.907982903007706</v>
      </c>
      <c r="AN22" s="3456">
        <f t="shared" si="49"/>
        <v>97.81783350410376</v>
      </c>
      <c r="AO22" s="3456">
        <f t="shared" si="50"/>
        <v>101.53305300380042</v>
      </c>
      <c r="AP22" s="3456">
        <f t="shared" si="51"/>
        <v>94.983747604624568</v>
      </c>
      <c r="AQ22" s="3456">
        <f t="shared" si="52"/>
        <v>93.353842369565911</v>
      </c>
      <c r="AR22" s="3456">
        <f t="shared" si="53"/>
        <v>101.53305300380042</v>
      </c>
    </row>
    <row r="23" spans="1:44" s="3185" customFormat="1" ht="13.2">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6">
        <f t="shared" si="30"/>
        <v>100.92000000000002</v>
      </c>
      <c r="AG23" s="3456">
        <f t="shared" si="31"/>
        <v>100.72000000000001</v>
      </c>
      <c r="AH23" s="3456">
        <f t="shared" si="32"/>
        <v>100.41</v>
      </c>
      <c r="AI23" s="3456">
        <f t="shared" si="33"/>
        <v>100.95</v>
      </c>
      <c r="AJ23" s="3456">
        <f t="shared" si="34"/>
        <v>101.01</v>
      </c>
      <c r="AK23" s="3456">
        <f t="shared" si="35"/>
        <v>100.41</v>
      </c>
      <c r="AM23" s="3456">
        <f t="shared" si="48"/>
        <v>95.459324079832498</v>
      </c>
      <c r="AN23" s="3456">
        <f t="shared" si="49"/>
        <v>97.418417990343357</v>
      </c>
      <c r="AO23" s="3456">
        <f t="shared" si="50"/>
        <v>101.28995710674424</v>
      </c>
      <c r="AP23" s="3456">
        <f t="shared" si="51"/>
        <v>94.530003587405034</v>
      </c>
      <c r="AQ23" s="3456">
        <f t="shared" si="52"/>
        <v>92.907884523851436</v>
      </c>
      <c r="AR23" s="3456">
        <f t="shared" si="53"/>
        <v>101.28995710674424</v>
      </c>
    </row>
    <row r="24" spans="1:44" s="3207" customFormat="1" ht="1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4">
        <v>100</v>
      </c>
      <c r="AG24" s="3464">
        <v>100</v>
      </c>
      <c r="AH24" s="3464">
        <v>100</v>
      </c>
      <c r="AI24" s="3464">
        <v>100</v>
      </c>
      <c r="AJ24" s="3464">
        <v>100</v>
      </c>
      <c r="AK24" s="3464">
        <v>100</v>
      </c>
      <c r="AM24" s="3463">
        <f t="shared" si="48"/>
        <v>94.589104320087685</v>
      </c>
      <c r="AN24" s="3463">
        <f t="shared" si="49"/>
        <v>96.722019450301175</v>
      </c>
      <c r="AO24" s="3463">
        <f t="shared" si="50"/>
        <v>100.87636401428567</v>
      </c>
      <c r="AP24" s="3463">
        <f t="shared" si="51"/>
        <v>93.640419601193685</v>
      </c>
      <c r="AQ24" s="3463">
        <f t="shared" si="52"/>
        <v>91.978897657510586</v>
      </c>
      <c r="AR24" s="3463">
        <f t="shared" si="53"/>
        <v>100.87636401428567</v>
      </c>
    </row>
    <row r="25" spans="1:44" s="3009" customFormat="1" ht="15" thickTop="1"/>
    <row r="26" spans="1:44" s="3009" customFormat="1">
      <c r="A26" s="3446" t="s">
        <v>3381</v>
      </c>
    </row>
    <row r="27" spans="1:44" s="3009" customFormat="1">
      <c r="I27" s="3208" t="s">
        <v>2825</v>
      </c>
    </row>
    <row r="28" spans="1:44" s="3009" customFormat="1"/>
    <row r="29" spans="1:44" s="3209" customFormat="1" ht="13.2">
      <c r="B29" s="3210" t="s">
        <v>3379</v>
      </c>
      <c r="C29" s="3211"/>
      <c r="D29" s="3211"/>
      <c r="E29" s="3211"/>
      <c r="F29" s="3211"/>
      <c r="G29" s="3211"/>
      <c r="H29" s="3211"/>
      <c r="I29" s="3211"/>
      <c r="J29" s="3165"/>
      <c r="K29" s="3211" t="s">
        <v>2826</v>
      </c>
      <c r="L29" s="3211"/>
      <c r="M29" s="3211"/>
      <c r="N29" s="3211"/>
      <c r="O29" s="3211"/>
      <c r="P29" s="3211"/>
      <c r="Q29" s="3165"/>
      <c r="R29" s="3809" t="s">
        <v>2827</v>
      </c>
      <c r="S29" s="3810"/>
      <c r="T29" s="3810"/>
      <c r="U29" s="3810"/>
      <c r="V29" s="3810"/>
      <c r="W29" s="3810"/>
      <c r="X29" s="3165"/>
      <c r="Y29" s="3809" t="s">
        <v>2828</v>
      </c>
      <c r="Z29" s="3810"/>
      <c r="AA29" s="3810"/>
      <c r="AB29" s="3810"/>
      <c r="AC29" s="3810"/>
      <c r="AD29" s="3810"/>
    </row>
    <row r="30" spans="1:44" s="3143" customFormat="1" ht="1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3406</v>
      </c>
      <c r="AJ30"/>
      <c r="AK30" t="s">
        <v>3407</v>
      </c>
      <c r="AN30" t="s">
        <v>673</v>
      </c>
      <c r="AO30" t="s">
        <v>21</v>
      </c>
      <c r="AP30" t="s">
        <v>3406</v>
      </c>
      <c r="AQ30"/>
      <c r="AR30" t="s">
        <v>3407</v>
      </c>
    </row>
    <row r="31" spans="1:44" s="3161" customFormat="1" ht="13.2">
      <c r="A31" s="3149" t="s">
        <v>2834</v>
      </c>
      <c r="B31" s="3150"/>
      <c r="C31" s="3151"/>
      <c r="D31" s="3151"/>
      <c r="E31" s="3151">
        <f t="shared" ref="E31:G31" si="115">ROUND(AVERAGEIF(E32:E52,"&lt;&gt;0"),2)</f>
        <v>0.11</v>
      </c>
      <c r="F31" s="3151">
        <f t="shared" si="115"/>
        <v>7.0000000000000007E-2</v>
      </c>
      <c r="G31" s="3151">
        <f t="shared" si="115"/>
        <v>0.26</v>
      </c>
      <c r="H31" s="3151"/>
      <c r="I31" s="3151">
        <f>F31</f>
        <v>7.0000000000000007E-2</v>
      </c>
      <c r="J31" s="3152"/>
      <c r="K31" s="3153"/>
      <c r="L31" s="3154">
        <f t="shared" ref="L31:N31" si="116">ROUND(AVERAGEIF(L32:L52,"&lt;&gt;0"),4)</f>
        <v>1.1000000000000001E-3</v>
      </c>
      <c r="M31" s="3154">
        <f t="shared" si="116"/>
        <v>6.9999999999999999E-4</v>
      </c>
      <c r="N31" s="3154">
        <f t="shared" si="116"/>
        <v>2.5999999999999999E-3</v>
      </c>
      <c r="O31" s="3154"/>
      <c r="P31" s="3154">
        <f>M31</f>
        <v>6.9999999999999999E-4</v>
      </c>
      <c r="Q31" s="3152"/>
      <c r="R31" s="3155"/>
      <c r="S31" s="3156">
        <f>ROUND(SUMPRODUCT(PRODUCT(1+L32:L52)),4)</f>
        <v>1.0185</v>
      </c>
      <c r="T31" s="3156">
        <f t="shared" ref="T31:U31" si="117">ROUND(SUMPRODUCT(PRODUCT(1+M32:M52)),4)</f>
        <v>1.012</v>
      </c>
      <c r="U31" s="3156">
        <f t="shared" si="117"/>
        <v>1.0436000000000001</v>
      </c>
      <c r="V31" s="3156"/>
      <c r="W31" s="3155">
        <f>T31</f>
        <v>1.012</v>
      </c>
      <c r="X31" s="3152"/>
      <c r="Y31" s="3157"/>
      <c r="Z31" s="3158">
        <f t="shared" ref="Z31:AB31" si="118">ROUND(AVERAGEIF(Z32:Z52,"&lt;&gt;0"),4)</f>
        <v>3.5999999999999999E-3</v>
      </c>
      <c r="AA31" s="3159">
        <f t="shared" si="118"/>
        <v>3.0000000000000001E-3</v>
      </c>
      <c r="AB31" s="3157">
        <f t="shared" si="118"/>
        <v>7.0000000000000001E-3</v>
      </c>
      <c r="AC31" s="3160"/>
      <c r="AD31" s="3157">
        <f>AA31</f>
        <v>3.0000000000000001E-3</v>
      </c>
    </row>
    <row r="32" spans="1:44" s="3162" customFormat="1" ht="13.2">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3404</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1.0148999999999999</v>
      </c>
      <c r="T33" s="3183">
        <f>ROUND(IF(项目基本情况!$B$8="出让",SUMPRODUCT(PRODUCT(1+M33:M$52)),SUMPRODUCT(PRODUCT(1+M33:M$51))),4)</f>
        <v>1.0072000000000001</v>
      </c>
      <c r="U33" s="3183">
        <f>ROUND(IF(项目基本情况!$B$8="出让",SUMPRODUCT(PRODUCT(1+N33:N$52)),SUMPRODUCT(PRODUCT(1+N33:N$51))),4)</f>
        <v>1.0335000000000001</v>
      </c>
      <c r="V33" s="3183"/>
      <c r="W33" s="3183">
        <f t="shared" ref="W33:W39" si="124">T33</f>
        <v>1.0072000000000001</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6">
        <f t="shared" ref="AG33:AG50" si="129">$AG$52*S33</f>
        <v>101.49</v>
      </c>
      <c r="AH33" s="3456">
        <f t="shared" ref="AH33:AH50" si="130">$AG$52*T33</f>
        <v>100.72000000000001</v>
      </c>
      <c r="AI33" s="3456">
        <f t="shared" ref="AI33:AI50" si="131">$AG$52*U33</f>
        <v>103.35000000000001</v>
      </c>
      <c r="AJ33" s="3458"/>
      <c r="AK33" s="3456">
        <f t="shared" ref="AK33:AK50" si="132">$AG$52*W33</f>
        <v>100.72000000000001</v>
      </c>
      <c r="AN33" s="3461">
        <v>100</v>
      </c>
      <c r="AO33" s="3461">
        <v>100</v>
      </c>
      <c r="AP33" s="3461">
        <v>100</v>
      </c>
      <c r="AQ33" s="3461"/>
      <c r="AR33" s="3461">
        <v>100</v>
      </c>
    </row>
    <row r="34" spans="1:44" s="3185" customFormat="1" ht="13.2">
      <c r="A34" s="2205" t="s">
        <v>3403</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1.0148999999999999</v>
      </c>
      <c r="T34" s="3183">
        <f>ROUND(IF(项目基本情况!$B$8="出让",SUMPRODUCT(PRODUCT(1+M34:M$52)),SUMPRODUCT(PRODUCT(1+M34:M$51))),4)</f>
        <v>1.0072000000000001</v>
      </c>
      <c r="U34" s="3183">
        <f>ROUND(IF(项目基本情况!$B$8="出让",SUMPRODUCT(PRODUCT(1+N34:N$52)),SUMPRODUCT(PRODUCT(1+N34:N$51))),4)</f>
        <v>1.0335000000000001</v>
      </c>
      <c r="V34" s="3183"/>
      <c r="W34" s="3183">
        <f t="shared" si="124"/>
        <v>1.0072000000000001</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6">
        <f t="shared" si="129"/>
        <v>101.49</v>
      </c>
      <c r="AH34" s="3456">
        <f t="shared" si="130"/>
        <v>100.72000000000001</v>
      </c>
      <c r="AI34" s="3456">
        <f t="shared" si="131"/>
        <v>103.35000000000001</v>
      </c>
      <c r="AJ34" s="3458"/>
      <c r="AK34" s="3456">
        <f t="shared" si="132"/>
        <v>100.72000000000001</v>
      </c>
      <c r="AN34" s="3456">
        <f>AN33/(1+E33/100)</f>
        <v>100</v>
      </c>
      <c r="AO34" s="3456">
        <f t="shared" ref="AO34:AR34" si="140">AO33/(1+F33/100)</f>
        <v>100</v>
      </c>
      <c r="AP34" s="3456">
        <f t="shared" si="140"/>
        <v>100</v>
      </c>
      <c r="AQ34" s="3456"/>
      <c r="AR34" s="3456">
        <f t="shared" si="140"/>
        <v>100</v>
      </c>
    </row>
    <row r="35" spans="1:44" s="3195" customFormat="1" ht="13.2">
      <c r="A35" s="3186" t="s">
        <v>3411</v>
      </c>
      <c r="B35" s="3187">
        <v>2025</v>
      </c>
      <c r="C35" s="3188">
        <v>2</v>
      </c>
      <c r="D35" s="3189"/>
      <c r="E35" s="3189">
        <v>0</v>
      </c>
      <c r="F35" s="3189">
        <v>0</v>
      </c>
      <c r="G35" s="3189">
        <v>0</v>
      </c>
      <c r="H35" s="3190"/>
      <c r="I35" s="3191">
        <f t="shared" ref="I35" si="141">F35</f>
        <v>0</v>
      </c>
      <c r="J35" s="3192"/>
      <c r="K35" s="3193"/>
      <c r="L35" s="3194">
        <f t="shared" ref="L35" si="142">E35/100</f>
        <v>0</v>
      </c>
      <c r="M35" s="3194">
        <f t="shared" ref="M35" si="143">F35/100</f>
        <v>0</v>
      </c>
      <c r="N35" s="3194">
        <f t="shared" ref="N35" si="144">G35/100</f>
        <v>0</v>
      </c>
      <c r="O35" s="3194"/>
      <c r="P35" s="3194">
        <f t="shared" si="123"/>
        <v>0</v>
      </c>
      <c r="Q35" s="3192"/>
      <c r="R35" s="3192"/>
      <c r="S35" s="3192">
        <f>ROUND(IF(项目基本情况!$B$8="出让",SUMPRODUCT(PRODUCT(1+L35:L$52)),SUMPRODUCT(PRODUCT(1+L35:L$51))),4)</f>
        <v>1.0148999999999999</v>
      </c>
      <c r="T35" s="3192">
        <f>ROUND(IF(项目基本情况!$B$8="出让",SUMPRODUCT(PRODUCT(1+M35:M$52)),SUMPRODUCT(PRODUCT(1+M35:M$51))),4)</f>
        <v>1.0072000000000001</v>
      </c>
      <c r="U35" s="3192">
        <f>ROUND(IF(项目基本情况!$B$8="出让",SUMPRODUCT(PRODUCT(1+N35:N$52)),SUMPRODUCT(PRODUCT(1+N35:N$51))),4)</f>
        <v>1.0335000000000001</v>
      </c>
      <c r="V35" s="3192"/>
      <c r="W35" s="3192">
        <f t="shared" si="124"/>
        <v>1.0072000000000001</v>
      </c>
      <c r="X35" s="3192"/>
      <c r="Y35" s="3194"/>
      <c r="Z35" s="3215">
        <f t="shared" ref="Z35" si="145">IF(E35=0,0,ROUND(AVERAGE(E35:E48)/100,4))</f>
        <v>0</v>
      </c>
      <c r="AA35" s="3216">
        <f t="shared" ref="AA35" si="146">IF(F35=0,0,ROUND(AVERAGE(F35:F48)/100,4))</f>
        <v>0</v>
      </c>
      <c r="AB35" s="3194">
        <f t="shared" ref="AB35" si="147">IF(G35=0,0,ROUND(AVERAGE(G35:G48)/100,4))</f>
        <v>0</v>
      </c>
      <c r="AC35" s="3217"/>
      <c r="AD35" s="3194">
        <f t="shared" si="128"/>
        <v>0</v>
      </c>
      <c r="AG35" s="3457">
        <f t="shared" si="129"/>
        <v>101.49</v>
      </c>
      <c r="AH35" s="3457">
        <f t="shared" si="130"/>
        <v>100.72000000000001</v>
      </c>
      <c r="AI35" s="3457">
        <f t="shared" si="131"/>
        <v>103.35000000000001</v>
      </c>
      <c r="AJ35" s="3459"/>
      <c r="AK35" s="3457">
        <f t="shared" si="132"/>
        <v>100.72000000000001</v>
      </c>
      <c r="AN35" s="3457">
        <f t="shared" ref="AN35:AN52" si="148">AN34/(1+E34/100)</f>
        <v>100</v>
      </c>
      <c r="AO35" s="3457">
        <f t="shared" ref="AO35" si="149">AO34/(1+F34/100)</f>
        <v>100</v>
      </c>
      <c r="AP35" s="3457">
        <f t="shared" ref="AP35" si="150">AP34/(1+G34/100)</f>
        <v>100</v>
      </c>
      <c r="AQ35" s="3457"/>
      <c r="AR35" s="3457">
        <f t="shared" ref="AR35" si="151">AR34/(1+I34/100)</f>
        <v>100</v>
      </c>
    </row>
    <row r="36" spans="1:44" s="3185" customFormat="1" ht="13.2">
      <c r="A36" s="2205" t="s">
        <v>3408</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6">
        <f t="shared" si="129"/>
        <v>101.49</v>
      </c>
      <c r="AH36" s="3456">
        <f t="shared" si="130"/>
        <v>100.72000000000001</v>
      </c>
      <c r="AI36" s="3456">
        <f t="shared" si="131"/>
        <v>103.35000000000001</v>
      </c>
      <c r="AJ36" s="3458"/>
      <c r="AK36" s="3456">
        <f t="shared" si="132"/>
        <v>100.72000000000001</v>
      </c>
      <c r="AN36" s="3456">
        <f t="shared" si="148"/>
        <v>100</v>
      </c>
      <c r="AO36" s="3456">
        <f t="shared" ref="AO36:AO52" si="159">AO35/(1+F35/100)</f>
        <v>100</v>
      </c>
      <c r="AP36" s="3456">
        <f t="shared" ref="AP36:AP52" si="160">AP35/(1+G35/100)</f>
        <v>100</v>
      </c>
      <c r="AQ36" s="3456"/>
      <c r="AR36" s="3456">
        <f t="shared" ref="AR36:AR52" si="161">AR35/(1+I35/100)</f>
        <v>100</v>
      </c>
    </row>
    <row r="37" spans="1:44" s="3185" customFormat="1" ht="13.2">
      <c r="A37" s="2205" t="s">
        <v>3409</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6">
        <f t="shared" si="129"/>
        <v>103.01</v>
      </c>
      <c r="AH37" s="3456">
        <f t="shared" si="130"/>
        <v>101.71</v>
      </c>
      <c r="AI37" s="3456">
        <f t="shared" si="131"/>
        <v>103.88</v>
      </c>
      <c r="AJ37" s="3458"/>
      <c r="AK37" s="3456">
        <f t="shared" si="132"/>
        <v>101.71</v>
      </c>
      <c r="AN37" s="3456">
        <f t="shared" si="148"/>
        <v>101.49193139145439</v>
      </c>
      <c r="AO37" s="3456">
        <f t="shared" si="159"/>
        <v>100.98969905069683</v>
      </c>
      <c r="AP37" s="3456">
        <f t="shared" si="160"/>
        <v>100.51261433309881</v>
      </c>
      <c r="AQ37" s="3456"/>
      <c r="AR37" s="3456">
        <f t="shared" si="161"/>
        <v>100.98969905069683</v>
      </c>
    </row>
    <row r="38" spans="1:44" s="3185" customFormat="1" ht="13.2">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6">
        <f t="shared" si="129"/>
        <v>103.64</v>
      </c>
      <c r="AH38" s="3456">
        <f t="shared" si="130"/>
        <v>102.44</v>
      </c>
      <c r="AI38" s="3456">
        <f t="shared" si="131"/>
        <v>104.80000000000001</v>
      </c>
      <c r="AJ38" s="3458"/>
      <c r="AK38" s="3456">
        <f t="shared" si="132"/>
        <v>102.44</v>
      </c>
      <c r="AN38" s="3456">
        <f t="shared" si="148"/>
        <v>102.11483186583598</v>
      </c>
      <c r="AO38" s="3456">
        <f t="shared" si="159"/>
        <v>101.71185320847701</v>
      </c>
      <c r="AP38" s="3456">
        <f t="shared" si="160"/>
        <v>101.4049781407373</v>
      </c>
      <c r="AQ38" s="3456"/>
      <c r="AR38" s="3456">
        <f t="shared" si="161"/>
        <v>101.71185320847701</v>
      </c>
    </row>
    <row r="39" spans="1:44" s="3185" customFormat="1" ht="13.2">
      <c r="A39" s="3176" t="s">
        <v>3377</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6">
        <f t="shared" si="129"/>
        <v>104.32999999999998</v>
      </c>
      <c r="AH39" s="3456">
        <f t="shared" si="130"/>
        <v>102.98</v>
      </c>
      <c r="AI39" s="3456">
        <f t="shared" si="131"/>
        <v>107.89999999999999</v>
      </c>
      <c r="AJ39" s="3458"/>
      <c r="AK39" s="3456">
        <f t="shared" si="132"/>
        <v>102.98</v>
      </c>
      <c r="AN39" s="3456">
        <f t="shared" si="148"/>
        <v>102.79326743087979</v>
      </c>
      <c r="AO39" s="3456">
        <f t="shared" si="159"/>
        <v>102.24351950992863</v>
      </c>
      <c r="AP39" s="3456">
        <f t="shared" si="160"/>
        <v>104.40129531631555</v>
      </c>
      <c r="AQ39" s="3456"/>
      <c r="AR39" s="3456">
        <f t="shared" si="161"/>
        <v>102.24351950992863</v>
      </c>
    </row>
    <row r="40" spans="1:44" s="3185" customFormat="1" ht="13.2">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6">
        <f t="shared" si="129"/>
        <v>104.65</v>
      </c>
      <c r="AH40" s="3456">
        <f t="shared" si="130"/>
        <v>103.38000000000001</v>
      </c>
      <c r="AI40" s="3456">
        <f t="shared" si="131"/>
        <v>106.59</v>
      </c>
      <c r="AJ40" s="3458"/>
      <c r="AK40" s="3456">
        <f t="shared" si="132"/>
        <v>103.38000000000001</v>
      </c>
      <c r="AN40" s="3456">
        <f t="shared" si="148"/>
        <v>103.11291747505246</v>
      </c>
      <c r="AO40" s="3456">
        <f t="shared" si="159"/>
        <v>102.64383044867849</v>
      </c>
      <c r="AP40" s="3456">
        <f t="shared" si="160"/>
        <v>103.13276233953923</v>
      </c>
      <c r="AQ40" s="3456"/>
      <c r="AR40" s="3456">
        <f t="shared" si="161"/>
        <v>102.64383044867849</v>
      </c>
    </row>
    <row r="41" spans="1:44" s="3185" customFormat="1" ht="13.2">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6">
        <f t="shared" si="129"/>
        <v>104.39</v>
      </c>
      <c r="AH41" s="3456">
        <f t="shared" si="130"/>
        <v>102.97</v>
      </c>
      <c r="AI41" s="3456">
        <f t="shared" si="131"/>
        <v>107.27</v>
      </c>
      <c r="AJ41" s="3458"/>
      <c r="AK41" s="3456">
        <f t="shared" si="132"/>
        <v>102.97</v>
      </c>
      <c r="AN41" s="3456">
        <f t="shared" si="148"/>
        <v>102.85577802997751</v>
      </c>
      <c r="AO41" s="3456">
        <f t="shared" si="159"/>
        <v>102.23489088513793</v>
      </c>
      <c r="AP41" s="3456">
        <f t="shared" si="160"/>
        <v>103.78661803314806</v>
      </c>
      <c r="AQ41" s="3456"/>
      <c r="AR41" s="3456">
        <f t="shared" si="161"/>
        <v>102.23489088513793</v>
      </c>
    </row>
    <row r="42" spans="1:44" s="3185" customFormat="1" ht="13.2">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6">
        <f t="shared" si="129"/>
        <v>104.32</v>
      </c>
      <c r="AH42" s="3456">
        <f t="shared" si="130"/>
        <v>102.86999999999999</v>
      </c>
      <c r="AI42" s="3456">
        <f t="shared" si="131"/>
        <v>107.23</v>
      </c>
      <c r="AJ42" s="3458"/>
      <c r="AK42" s="3456">
        <f t="shared" si="132"/>
        <v>102.86999999999999</v>
      </c>
      <c r="AN42" s="3456">
        <f t="shared" si="148"/>
        <v>102.78382934943292</v>
      </c>
      <c r="AO42" s="3456">
        <f t="shared" si="159"/>
        <v>102.14296221914071</v>
      </c>
      <c r="AP42" s="3456">
        <f t="shared" si="160"/>
        <v>103.75549138573234</v>
      </c>
      <c r="AQ42" s="3456"/>
      <c r="AR42" s="3456">
        <f t="shared" si="161"/>
        <v>102.14296221914071</v>
      </c>
    </row>
    <row r="43" spans="1:44" s="3185" customFormat="1" ht="13.2">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6">
        <f t="shared" si="129"/>
        <v>103.96000000000001</v>
      </c>
      <c r="AH43" s="3456">
        <f t="shared" si="130"/>
        <v>102.69999999999999</v>
      </c>
      <c r="AI43" s="3456">
        <f t="shared" si="131"/>
        <v>106.67999999999999</v>
      </c>
      <c r="AJ43" s="3458"/>
      <c r="AK43" s="3456">
        <f t="shared" si="132"/>
        <v>102.69999999999999</v>
      </c>
      <c r="AN43" s="3456">
        <f t="shared" si="148"/>
        <v>102.42534065713295</v>
      </c>
      <c r="AO43" s="3456">
        <f t="shared" si="159"/>
        <v>101.96961387555227</v>
      </c>
      <c r="AP43" s="3456">
        <f t="shared" si="160"/>
        <v>103.21875386563104</v>
      </c>
      <c r="AQ43" s="3456"/>
      <c r="AR43" s="3456">
        <f t="shared" si="161"/>
        <v>101.96961387555227</v>
      </c>
    </row>
    <row r="44" spans="1:44" s="3185" customFormat="1" ht="13.2">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6">
        <f t="shared" si="129"/>
        <v>103.44</v>
      </c>
      <c r="AH44" s="3456">
        <f t="shared" si="130"/>
        <v>102.24</v>
      </c>
      <c r="AI44" s="3456">
        <f t="shared" si="131"/>
        <v>105.74</v>
      </c>
      <c r="AJ44" s="3458"/>
      <c r="AK44" s="3456">
        <f t="shared" si="132"/>
        <v>102.24</v>
      </c>
      <c r="AN44" s="3456">
        <f t="shared" si="148"/>
        <v>101.91576184789349</v>
      </c>
      <c r="AO44" s="3456">
        <f t="shared" si="159"/>
        <v>101.5128062474388</v>
      </c>
      <c r="AP44" s="3456">
        <f t="shared" si="160"/>
        <v>102.30821078960358</v>
      </c>
      <c r="AQ44" s="3456"/>
      <c r="AR44" s="3456">
        <f t="shared" si="161"/>
        <v>101.5128062474388</v>
      </c>
    </row>
    <row r="45" spans="1:44" s="3185" customFormat="1" ht="13.2">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6">
        <f t="shared" si="129"/>
        <v>102.86999999999999</v>
      </c>
      <c r="AH45" s="3456">
        <f t="shared" si="130"/>
        <v>101.64</v>
      </c>
      <c r="AI45" s="3456">
        <f t="shared" si="131"/>
        <v>105.06</v>
      </c>
      <c r="AJ45" s="3458"/>
      <c r="AK45" s="3456">
        <f t="shared" si="132"/>
        <v>101.64</v>
      </c>
      <c r="AN45" s="3456">
        <f t="shared" si="148"/>
        <v>101.35829124604027</v>
      </c>
      <c r="AO45" s="3456">
        <f t="shared" si="159"/>
        <v>100.91739362505101</v>
      </c>
      <c r="AP45" s="3456">
        <f t="shared" si="160"/>
        <v>101.6576021359336</v>
      </c>
      <c r="AQ45" s="3456"/>
      <c r="AR45" s="3456">
        <f t="shared" si="161"/>
        <v>100.91739362505101</v>
      </c>
    </row>
    <row r="46" spans="1:44" s="3185" customFormat="1" ht="13.2">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6">
        <f t="shared" si="129"/>
        <v>102.41</v>
      </c>
      <c r="AH46" s="3456">
        <f t="shared" si="130"/>
        <v>101.44</v>
      </c>
      <c r="AI46" s="3456">
        <f t="shared" si="131"/>
        <v>104.67</v>
      </c>
      <c r="AJ46" s="3458"/>
      <c r="AK46" s="3456">
        <f t="shared" si="132"/>
        <v>101.44</v>
      </c>
      <c r="AN46" s="3456">
        <f t="shared" si="148"/>
        <v>100.90422224593357</v>
      </c>
      <c r="AO46" s="3456">
        <f t="shared" si="159"/>
        <v>100.71596170164771</v>
      </c>
      <c r="AP46" s="3456">
        <f t="shared" si="160"/>
        <v>101.2727656265527</v>
      </c>
      <c r="AQ46" s="3456"/>
      <c r="AR46" s="3456">
        <f t="shared" si="161"/>
        <v>100.71596170164771</v>
      </c>
    </row>
    <row r="47" spans="1:44" s="3185" customFormat="1" ht="13.2">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6">
        <f t="shared" si="129"/>
        <v>102.10999999999999</v>
      </c>
      <c r="AH47" s="3456">
        <f t="shared" si="130"/>
        <v>101.14000000000001</v>
      </c>
      <c r="AI47" s="3456">
        <f t="shared" si="131"/>
        <v>103.81</v>
      </c>
      <c r="AJ47" s="3458"/>
      <c r="AK47" s="3456">
        <f t="shared" si="132"/>
        <v>101.14000000000001</v>
      </c>
      <c r="AN47" s="3456">
        <f t="shared" si="148"/>
        <v>100.60241500093079</v>
      </c>
      <c r="AO47" s="3456">
        <f t="shared" si="159"/>
        <v>100.42472998469212</v>
      </c>
      <c r="AP47" s="3456">
        <f t="shared" si="160"/>
        <v>100.43912092289268</v>
      </c>
      <c r="AQ47" s="3456"/>
      <c r="AR47" s="3456">
        <f t="shared" si="161"/>
        <v>100.42472998469212</v>
      </c>
    </row>
    <row r="48" spans="1:44" s="3185" customFormat="1" ht="13.2">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6">
        <f t="shared" si="129"/>
        <v>102.22</v>
      </c>
      <c r="AH48" s="3456">
        <f t="shared" si="130"/>
        <v>101.27999999999999</v>
      </c>
      <c r="AI48" s="3456">
        <f t="shared" si="131"/>
        <v>103.25999999999999</v>
      </c>
      <c r="AJ48" s="3458"/>
      <c r="AK48" s="3456">
        <f t="shared" si="132"/>
        <v>101.27999999999999</v>
      </c>
      <c r="AN48" s="3456">
        <f t="shared" si="148"/>
        <v>100.71319952040324</v>
      </c>
      <c r="AO48" s="3456">
        <f t="shared" si="159"/>
        <v>100.55545207238622</v>
      </c>
      <c r="AP48" s="3456">
        <f t="shared" si="160"/>
        <v>99.90960004266654</v>
      </c>
      <c r="AQ48" s="3456"/>
      <c r="AR48" s="3456">
        <f t="shared" si="161"/>
        <v>100.55545207238622</v>
      </c>
    </row>
    <row r="49" spans="1:44" s="3185" customFormat="1" ht="13.2">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6">
        <f t="shared" si="129"/>
        <v>101.61</v>
      </c>
      <c r="AH49" s="3456">
        <f t="shared" si="130"/>
        <v>100.82</v>
      </c>
      <c r="AI49" s="3456">
        <f t="shared" si="131"/>
        <v>102.71</v>
      </c>
      <c r="AJ49" s="3458"/>
      <c r="AK49" s="3456">
        <f t="shared" si="132"/>
        <v>100.82</v>
      </c>
      <c r="AN49" s="3456">
        <f t="shared" si="148"/>
        <v>100.11252437415828</v>
      </c>
      <c r="AO49" s="3456">
        <f t="shared" si="159"/>
        <v>100.10497966389867</v>
      </c>
      <c r="AP49" s="3456">
        <f t="shared" si="160"/>
        <v>99.382870827281934</v>
      </c>
      <c r="AQ49" s="3456"/>
      <c r="AR49" s="3456">
        <f t="shared" si="161"/>
        <v>100.10497966389867</v>
      </c>
    </row>
    <row r="50" spans="1:44" s="3185" customFormat="1" ht="13.2">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6">
        <f t="shared" si="129"/>
        <v>101.02</v>
      </c>
      <c r="AH50" s="3456">
        <f t="shared" si="130"/>
        <v>100.74000000000001</v>
      </c>
      <c r="AI50" s="3456">
        <f t="shared" si="131"/>
        <v>102.02</v>
      </c>
      <c r="AJ50" s="3458"/>
      <c r="AK50" s="3456">
        <f t="shared" si="132"/>
        <v>100.74000000000001</v>
      </c>
      <c r="AN50" s="3456">
        <f t="shared" si="148"/>
        <v>99.535220097592244</v>
      </c>
      <c r="AO50" s="3456">
        <f t="shared" si="159"/>
        <v>100.02495969614176</v>
      </c>
      <c r="AP50" s="3456">
        <f t="shared" si="160"/>
        <v>98.711631731507694</v>
      </c>
      <c r="AQ50" s="3456"/>
      <c r="AR50" s="3456">
        <f t="shared" si="161"/>
        <v>100.02495969614176</v>
      </c>
    </row>
    <row r="51" spans="1:44" s="3185" customFormat="1" ht="13.2">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6">
        <f>$AG$52*S51</f>
        <v>100.55000000000001</v>
      </c>
      <c r="AH51" s="3456">
        <f t="shared" ref="AH51:AK51" si="192">$AG$52*T51</f>
        <v>100.46</v>
      </c>
      <c r="AI51" s="3456">
        <f t="shared" si="192"/>
        <v>101.1</v>
      </c>
      <c r="AJ51" s="3458"/>
      <c r="AK51" s="3456">
        <f t="shared" si="192"/>
        <v>100.46</v>
      </c>
      <c r="AN51" s="3456">
        <f t="shared" si="148"/>
        <v>99.069593010443171</v>
      </c>
      <c r="AO51" s="3456">
        <f t="shared" si="159"/>
        <v>99.745671815059609</v>
      </c>
      <c r="AP51" s="3456">
        <f t="shared" si="160"/>
        <v>97.821456477561867</v>
      </c>
      <c r="AQ51" s="3456"/>
      <c r="AR51" s="3456">
        <f t="shared" si="161"/>
        <v>99.745671815059609</v>
      </c>
    </row>
    <row r="52" spans="1:44" s="3207" customFormat="1" ht="1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0">
        <v>100</v>
      </c>
      <c r="AH52" s="3460">
        <v>100</v>
      </c>
      <c r="AI52" s="3460">
        <v>100</v>
      </c>
      <c r="AJ52" s="3460"/>
      <c r="AK52" s="3460">
        <v>100</v>
      </c>
      <c r="AN52" s="3463">
        <f t="shared" si="148"/>
        <v>98.527690711529758</v>
      </c>
      <c r="AO52" s="3463">
        <f t="shared" si="159"/>
        <v>99.288942678737428</v>
      </c>
      <c r="AP52" s="3463">
        <f t="shared" si="160"/>
        <v>96.757128068805017</v>
      </c>
      <c r="AQ52" s="3463"/>
      <c r="AR52" s="3463">
        <f t="shared" si="161"/>
        <v>99.288942678737428</v>
      </c>
    </row>
    <row r="53" spans="1:44" ht="15" thickTop="1"/>
    <row r="54" spans="1:44">
      <c r="A54" s="3446"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16" t="s">
        <v>452</v>
      </c>
      <c r="C1" s="3816"/>
      <c r="D1" s="3816"/>
      <c r="E1" s="3816"/>
      <c r="F1" s="3816"/>
      <c r="G1" s="3815" t="s">
        <v>453</v>
      </c>
      <c r="H1" s="3815"/>
      <c r="I1" s="3815"/>
      <c r="J1" s="3815"/>
      <c r="K1" s="3815"/>
      <c r="L1" s="3815"/>
      <c r="N1" s="3815" t="s">
        <v>454</v>
      </c>
      <c r="O1" s="3815"/>
      <c r="P1" s="3815"/>
      <c r="Q1" s="3815"/>
      <c r="S1" s="3815" t="s">
        <v>455</v>
      </c>
      <c r="T1" s="3815"/>
      <c r="U1" s="3815"/>
      <c r="V1" s="3815"/>
      <c r="X1" s="3814" t="s">
        <v>456</v>
      </c>
      <c r="Y1" s="3815"/>
      <c r="Z1" s="3815"/>
      <c r="AA1" s="3815"/>
      <c r="AB1" s="3815"/>
      <c r="AD1" s="3814" t="s">
        <v>457</v>
      </c>
      <c r="AE1" s="3815"/>
      <c r="AF1" s="3815"/>
      <c r="AG1" s="3815"/>
      <c r="AH1" s="3815"/>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1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1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1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1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1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1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1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1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1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1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1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1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1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1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2">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13">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1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2">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13">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24" t="s">
        <v>2839</v>
      </c>
      <c r="B1" s="3824"/>
      <c r="C1" s="3824"/>
      <c r="D1" s="3824"/>
      <c r="E1" s="3824"/>
      <c r="F1" s="3824"/>
      <c r="G1" s="3825"/>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22"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23"/>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45828</v>
      </c>
      <c r="D1" s="1302" t="s">
        <v>603</v>
      </c>
      <c r="E1" s="1297">
        <f>'数据-取费表'!B22</f>
        <v>2</v>
      </c>
      <c r="F1" s="1302" t="s">
        <v>604</v>
      </c>
      <c r="G1" s="1298">
        <f ca="1">INDIRECT("d"&amp;$K$1)/100</f>
        <v>0.03</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5.6">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02" t="str">
        <f>IF(项目基本情况!B9="房地产市场价值","估价结果一览表","结果表-2")</f>
        <v>估价结果一览表</v>
      </c>
      <c r="B1" s="3502"/>
      <c r="C1" s="3502"/>
      <c r="D1" s="3502"/>
      <c r="E1" s="3502"/>
      <c r="F1" s="3502"/>
      <c r="G1" s="3502"/>
      <c r="H1" s="3502"/>
      <c r="I1" s="3502"/>
    </row>
    <row r="2" spans="1:9" ht="30" customHeight="1" thickTop="1">
      <c r="A2" s="3503" t="s">
        <v>928</v>
      </c>
      <c r="B2" s="3503" t="s">
        <v>929</v>
      </c>
      <c r="C2" s="3503" t="s">
        <v>930</v>
      </c>
      <c r="D2" s="3503" t="str">
        <f>结果表!D116</f>
        <v>出让国有建设用地使用权价值</v>
      </c>
      <c r="E2" s="3503"/>
      <c r="F2" s="3503" t="str">
        <f>结果表!F116</f>
        <v>在建建筑物价值</v>
      </c>
      <c r="G2" s="3503"/>
      <c r="H2" s="3503" t="str">
        <f>IF(项目基本情况!B9="房地产市场价值","房地产市场价值","房地产价值")</f>
        <v>房地产市场价值</v>
      </c>
      <c r="I2" s="3503"/>
    </row>
    <row r="3" spans="1:9" ht="15.6">
      <c r="A3" s="3498"/>
      <c r="B3" s="3498"/>
      <c r="C3" s="3498"/>
      <c r="D3" s="854" t="s">
        <v>925</v>
      </c>
      <c r="E3" s="854" t="s">
        <v>931</v>
      </c>
      <c r="F3" s="854" t="s">
        <v>925</v>
      </c>
      <c r="G3" s="854" t="s">
        <v>926</v>
      </c>
      <c r="H3" s="854" t="s">
        <v>925</v>
      </c>
      <c r="I3" s="854" t="s">
        <v>926</v>
      </c>
    </row>
    <row r="4" spans="1:9" ht="15">
      <c r="A4" s="1505" t="str">
        <f>项目基本情况!S2</f>
        <v>北京市房地产</v>
      </c>
      <c r="B4" s="854">
        <f>项目基本情况!C17</f>
        <v>164.94</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8" t="s">
        <v>927</v>
      </c>
      <c r="B5" s="3498"/>
      <c r="C5" s="3498"/>
      <c r="D5" s="3498" t="e">
        <f ca="1">结果表!D119</f>
        <v>#REF!</v>
      </c>
      <c r="E5" s="3498"/>
      <c r="F5" s="3498" t="e">
        <f ca="1">结果表!F119</f>
        <v>#REF!</v>
      </c>
      <c r="G5" s="3498"/>
      <c r="H5" s="3498" t="e">
        <f ca="1">结果表!H119</f>
        <v>#REF!</v>
      </c>
      <c r="I5" s="3498"/>
    </row>
    <row r="6" spans="1:9" ht="15.6">
      <c r="A6" s="3497" t="str">
        <f>结果表!A120</f>
        <v/>
      </c>
      <c r="B6" s="3497"/>
      <c r="C6" s="3497"/>
      <c r="D6" s="3497">
        <f>结果表!D120</f>
        <v>0</v>
      </c>
      <c r="E6" s="3497"/>
      <c r="F6" s="3497"/>
      <c r="G6" s="3497"/>
      <c r="H6" s="3497"/>
      <c r="I6" s="3497"/>
    </row>
    <row r="7" spans="1:9" ht="15">
      <c r="A7" s="3498" t="s">
        <v>927</v>
      </c>
      <c r="B7" s="3498"/>
      <c r="C7" s="3498"/>
      <c r="D7" s="3499" t="str">
        <f>结果表!D121</f>
        <v>零元整</v>
      </c>
      <c r="E7" s="3500"/>
      <c r="F7" s="3500"/>
      <c r="G7" s="3500"/>
      <c r="H7" s="3500"/>
      <c r="I7" s="3501"/>
    </row>
    <row r="8" spans="1:9" ht="15.6">
      <c r="A8" s="3497" t="str">
        <f>结果表!A122</f>
        <v/>
      </c>
      <c r="B8" s="3497"/>
      <c r="C8" s="3497"/>
      <c r="D8" s="3497" t="e">
        <f ca="1">结果表!D122</f>
        <v>#REF!</v>
      </c>
      <c r="E8" s="3497"/>
      <c r="F8" s="3497"/>
      <c r="G8" s="3497"/>
      <c r="H8" s="3497"/>
      <c r="I8" s="3497"/>
    </row>
    <row r="9" spans="1:9" ht="15">
      <c r="A9" s="3498" t="s">
        <v>927</v>
      </c>
      <c r="B9" s="3498"/>
      <c r="C9" s="3498"/>
      <c r="D9" s="3498" t="e">
        <f ca="1">结果表!D123</f>
        <v>#REF!</v>
      </c>
      <c r="E9" s="3498"/>
      <c r="F9" s="3498"/>
      <c r="G9" s="3498"/>
      <c r="H9" s="3498"/>
      <c r="I9" s="3498"/>
    </row>
    <row r="10" spans="1:9" ht="15.6">
      <c r="A10" s="3497" t="str">
        <f>结果表!A124</f>
        <v/>
      </c>
      <c r="B10" s="3497"/>
      <c r="C10" s="3497"/>
      <c r="D10" s="3497" t="str">
        <f>结果表!D124</f>
        <v>——</v>
      </c>
      <c r="E10" s="3497"/>
      <c r="F10" s="3497"/>
      <c r="G10" s="3497"/>
      <c r="H10" s="3497"/>
      <c r="I10" s="3497"/>
    </row>
    <row r="11" spans="1:9" ht="15">
      <c r="A11" s="3498" t="s">
        <v>927</v>
      </c>
      <c r="B11" s="3498"/>
      <c r="C11" s="3498"/>
      <c r="D11" s="3498" t="e">
        <f>结果表!D125</f>
        <v>#VALUE!</v>
      </c>
      <c r="E11" s="3498"/>
      <c r="F11" s="3498"/>
      <c r="G11" s="3498"/>
      <c r="H11" s="3498"/>
      <c r="I11" s="3498"/>
    </row>
    <row r="12" spans="1:9" ht="15.6">
      <c r="A12" s="3497" t="str">
        <f>结果表!A126</f>
        <v/>
      </c>
      <c r="B12" s="3497"/>
      <c r="C12" s="3497"/>
      <c r="D12" s="3497" t="str">
        <f>结果表!D126</f>
        <v>——</v>
      </c>
      <c r="E12" s="3497"/>
      <c r="F12" s="3497"/>
      <c r="G12" s="3497"/>
      <c r="H12" s="3497"/>
      <c r="I12" s="3497"/>
    </row>
    <row r="13" spans="1:9" ht="15.6" thickBot="1">
      <c r="A13" s="3495" t="s">
        <v>927</v>
      </c>
      <c r="B13" s="3495"/>
      <c r="C13" s="3495"/>
      <c r="D13" s="3495" t="e">
        <f>结果表!D127</f>
        <v>#VALUE!</v>
      </c>
      <c r="E13" s="3495"/>
      <c r="F13" s="3495"/>
      <c r="G13" s="3495"/>
      <c r="H13" s="3495"/>
      <c r="I13" s="3495"/>
    </row>
    <row r="14" spans="1:9" ht="14.4" thickTop="1">
      <c r="A14" s="3496" t="s">
        <v>932</v>
      </c>
      <c r="B14" s="3496"/>
      <c r="C14" s="3496"/>
      <c r="D14" s="3496"/>
      <c r="E14" s="3496"/>
      <c r="F14" s="3496"/>
      <c r="G14" s="3496"/>
      <c r="H14" s="3496"/>
      <c r="I14" s="3496"/>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10" t="s">
        <v>949</v>
      </c>
      <c r="B1" s="3510"/>
      <c r="C1" s="3510"/>
      <c r="D1" s="3510"/>
    </row>
    <row r="2" spans="1:4" ht="17.399999999999999">
      <c r="A2" s="3511" t="s">
        <v>933</v>
      </c>
      <c r="B2" s="3511"/>
      <c r="C2" s="3511"/>
      <c r="D2" s="3511"/>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11" t="s">
        <v>939</v>
      </c>
      <c r="B6" s="3511"/>
      <c r="C6" s="3511"/>
      <c r="D6" s="3511"/>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12" t="s">
        <v>942</v>
      </c>
      <c r="B11" s="3504"/>
      <c r="C11" s="3504"/>
      <c r="D11" s="3504"/>
    </row>
    <row r="12" spans="1:4" ht="15.6">
      <c r="A12" s="35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9"/>
      <c r="C12" s="3509"/>
      <c r="D12" s="3509"/>
    </row>
    <row r="13" spans="1:4" ht="30" customHeight="1">
      <c r="A13" s="3504" t="str">
        <f>IF(项目基本情况!B8="抵押","3.抵押双方在办理抵押登记手续时，应使用本公司出具的正式《房地产评估报告》，特提醒报告使用者注意。","——")</f>
        <v>——</v>
      </c>
      <c r="B13" s="3509"/>
      <c r="C13" s="3509"/>
      <c r="D13" s="3509"/>
    </row>
    <row r="14" spans="1:4" ht="15.75" customHeight="1">
      <c r="A14" s="3504" t="str">
        <f>IF(项目基本情况!B8="抵押","4.本次评估估价师所知悉的法定优先受偿款情况说明如下：","——")</f>
        <v>——</v>
      </c>
      <c r="B14" s="3509"/>
      <c r="C14" s="3509"/>
      <c r="D14" s="3509"/>
    </row>
    <row r="15" spans="1:4" ht="42" customHeight="1">
      <c r="A15" s="3504" t="str">
        <f>IF(项目基本情况!B8="抵押","（1）"&amp;CONCATENATE(项目基本情况!L20,项目基本情况!L21,项目基本情况!L22),"——")</f>
        <v>——</v>
      </c>
      <c r="B15" s="3504"/>
      <c r="C15" s="3504"/>
      <c r="D15" s="3504"/>
    </row>
    <row r="16" spans="1:4" ht="30" customHeight="1">
      <c r="A16" s="3506" t="s">
        <v>943</v>
      </c>
      <c r="B16" s="3506"/>
      <c r="C16" s="3506"/>
      <c r="D16" s="3506"/>
    </row>
    <row r="17" spans="1:4" ht="144" customHeight="1">
      <c r="A17" s="3506" t="s">
        <v>944</v>
      </c>
      <c r="B17" s="3506"/>
      <c r="C17" s="3506"/>
      <c r="D17" s="3506"/>
    </row>
    <row r="18" spans="1:4" ht="15.75" customHeight="1">
      <c r="A18" s="3504" t="str">
        <f>IF(项目基本情况!B8="抵押",结果表!K120,"——")</f>
        <v>——</v>
      </c>
      <c r="B18" s="3504"/>
      <c r="C18" s="3504"/>
      <c r="D18" s="3504"/>
    </row>
    <row r="19" spans="1:4" ht="46.5" customHeight="1">
      <c r="A19" s="35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4"/>
      <c r="C19" s="3504"/>
      <c r="D19" s="3504"/>
    </row>
    <row r="20" spans="1:4" ht="57.75" customHeight="1">
      <c r="A20" s="35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4"/>
      <c r="C20" s="3504"/>
      <c r="D20" s="3504"/>
    </row>
    <row r="21" spans="1:4" ht="57.75" customHeight="1">
      <c r="A21" s="35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7"/>
      <c r="C21" s="3507"/>
      <c r="D21" s="3507"/>
    </row>
    <row r="22" spans="1:4" ht="18.75" customHeight="1">
      <c r="A22" s="3508" t="s">
        <v>945</v>
      </c>
      <c r="B22" s="3508"/>
      <c r="C22" s="3508"/>
      <c r="D22" s="3508"/>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05">
        <v>42551</v>
      </c>
      <c r="D31" s="35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8" t="s">
        <v>956</v>
      </c>
      <c r="B15" s="3513" t="s">
        <v>109</v>
      </c>
      <c r="C15" s="3514"/>
    </row>
    <row r="16" spans="1:7" ht="14.4">
      <c r="A16" s="3519"/>
      <c r="B16" s="3513" t="s">
        <v>42</v>
      </c>
      <c r="C16" s="3514"/>
    </row>
    <row r="17" spans="1:3" ht="14.4">
      <c r="A17" s="3519"/>
      <c r="B17" s="3516" t="s">
        <v>957</v>
      </c>
      <c r="C17" s="1532" t="s">
        <v>956</v>
      </c>
    </row>
    <row r="18" spans="1:3" ht="14.4">
      <c r="A18" s="3519"/>
      <c r="B18" s="3516"/>
      <c r="C18" s="1532" t="s">
        <v>958</v>
      </c>
    </row>
    <row r="19" spans="1:3" ht="14.4">
      <c r="A19" s="3519"/>
      <c r="B19" s="3516"/>
      <c r="C19" s="1532" t="s">
        <v>959</v>
      </c>
    </row>
    <row r="20" spans="1:3" ht="14.4">
      <c r="A20" s="3520"/>
      <c r="B20" s="3515" t="s">
        <v>960</v>
      </c>
      <c r="C20" s="3514"/>
    </row>
    <row r="21" spans="1:3" ht="14.4">
      <c r="A21" s="1533" t="s">
        <v>961</v>
      </c>
      <c r="B21" s="1534"/>
      <c r="C21" s="1535"/>
    </row>
    <row r="22" spans="1:3" ht="14.4">
      <c r="A22" s="3517" t="s">
        <v>962</v>
      </c>
      <c r="B22" s="3515" t="s">
        <v>963</v>
      </c>
      <c r="C22" s="3514"/>
    </row>
    <row r="23" spans="1:3" ht="14.4">
      <c r="A23" s="3517"/>
      <c r="B23" s="3515" t="s">
        <v>964</v>
      </c>
      <c r="C23" s="3514"/>
    </row>
    <row r="24" spans="1:3" ht="14.4">
      <c r="A24" s="3517"/>
      <c r="B24" s="3515" t="s">
        <v>965</v>
      </c>
      <c r="C24" s="3514"/>
    </row>
    <row r="25" spans="1:3" ht="14.4">
      <c r="A25" s="3517"/>
      <c r="B25" s="3516" t="s">
        <v>966</v>
      </c>
      <c r="C25" s="1532" t="s">
        <v>967</v>
      </c>
    </row>
    <row r="26" spans="1:3" ht="14.4">
      <c r="A26" s="3517"/>
      <c r="B26" s="3516"/>
      <c r="C26" s="1532" t="s">
        <v>968</v>
      </c>
    </row>
    <row r="27" spans="1:3" ht="14.4">
      <c r="A27" s="3517"/>
      <c r="B27" s="3516"/>
      <c r="C27" s="1532" t="s">
        <v>969</v>
      </c>
    </row>
    <row r="28" spans="1:3" ht="14.4">
      <c r="A28" s="3517"/>
      <c r="B28" s="3516"/>
      <c r="C28" s="1532" t="s">
        <v>970</v>
      </c>
    </row>
    <row r="29" spans="1:3" ht="14.4">
      <c r="A29" s="3517"/>
      <c r="B29" s="3516"/>
      <c r="C29" s="1532" t="s">
        <v>971</v>
      </c>
    </row>
    <row r="30" spans="1:3" ht="14.4">
      <c r="A30" s="3517"/>
      <c r="B30" s="3516"/>
      <c r="C30" s="1532" t="s">
        <v>972</v>
      </c>
    </row>
    <row r="31" spans="1:3" ht="14.4">
      <c r="A31" s="3517"/>
      <c r="B31" s="3516"/>
      <c r="C31" s="1532" t="s">
        <v>973</v>
      </c>
    </row>
    <row r="32" spans="1:3" ht="14.4">
      <c r="A32" s="3517"/>
      <c r="B32" s="3516"/>
      <c r="C32" s="1532" t="s">
        <v>974</v>
      </c>
    </row>
    <row r="33" spans="1:3" ht="14.4">
      <c r="A33" s="3517"/>
      <c r="B33" s="3516"/>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45839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1" t="s">
        <v>2160</v>
      </c>
      <c r="B17" s="3521"/>
      <c r="C17" s="3521"/>
      <c r="D17" s="3521"/>
      <c r="E17" s="3521"/>
      <c r="F17" s="3521"/>
      <c r="G17" s="3521"/>
      <c r="H17" s="3521"/>
    </row>
    <row r="18" spans="1:8" ht="24" customHeight="1">
      <c r="A18" s="3522" t="s">
        <v>2161</v>
      </c>
      <c r="B18" s="3522"/>
      <c r="C18" s="3522"/>
      <c r="D18" s="2343"/>
      <c r="E18" s="3523" t="s">
        <v>2162</v>
      </c>
      <c r="F18" s="3522"/>
      <c r="G18" s="352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案例</vt:lpstr>
      <vt:lpstr>租金</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2025-07-01T02:42:42Z</dcterms:modified>
</cp:coreProperties>
</file>