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state="hidden" r:id="rId17"/>
    <sheet name="假设开发法" sheetId="12" state="hidden" r:id="rId18"/>
    <sheet name="收益法-酒店模型" sheetId="63" state="hidden" r:id="rId19"/>
    <sheet name="基准地价修正" sheetId="43" state="hidden" r:id="rId20"/>
    <sheet name="比较法-住宅" sheetId="21" state="hidden" r:id="rId21"/>
    <sheet name="比较法-商业" sheetId="33" state="hidden" r:id="rId22"/>
    <sheet name="比较法-办公" sheetId="34" r:id="rId23"/>
    <sheet name="收益法" sheetId="15"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state="hidden" r:id="rId38"/>
    <sheet name="Sheet1" sheetId="73" state="hidden" r:id="rId39"/>
  </sheets>
  <externalReferences>
    <externalReference r:id="rId40"/>
  </externalReferences>
  <definedNames>
    <definedName name="_xlnm._FilterDatabase" localSheetId="22"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1" l="1"/>
  <c r="C34" i="34" l="1"/>
  <c r="D2" i="4" l="1"/>
  <c r="I5" i="34" l="1"/>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s="1"/>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M29"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S2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5" i="57"/>
  <c r="A14" i="52" s="1"/>
  <c r="B61" i="60" s="1"/>
  <c r="B103" i="57"/>
  <c r="B107" i="57" s="1"/>
  <c r="C112" i="57"/>
  <c r="H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379" i="31"/>
  <c r="T287" i="31"/>
  <c r="S105" i="31"/>
  <c r="S445" i="31"/>
  <c r="S187"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A19" i="34"/>
  <c r="AB23" i="36"/>
  <c r="U23" i="36"/>
  <c r="J12" i="36"/>
  <c r="W12" i="36" s="1"/>
  <c r="H12" i="36"/>
  <c r="AB12" i="36" s="1"/>
  <c r="AA9" i="39"/>
  <c r="S9" i="39"/>
  <c r="AB12" i="39"/>
  <c r="U12" i="39"/>
  <c r="J12" i="39"/>
  <c r="AC12" i="39" s="1"/>
  <c r="F12" i="39"/>
  <c r="S12" i="39" s="1"/>
  <c r="F15" i="21"/>
  <c r="S15" i="21" s="1"/>
  <c r="C106" i="9"/>
  <c r="H102" i="9"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G80" i="34"/>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P51" i="15"/>
  <c r="C2" i="31"/>
  <c r="I23" i="31" s="1"/>
  <c r="P60" i="15"/>
  <c r="D78" i="9"/>
  <c r="D95" i="57"/>
  <c r="D80" i="57"/>
  <c r="A16" i="55"/>
  <c r="B46" i="60" s="1"/>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AB17"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89" i="31"/>
  <c r="T75" i="31"/>
  <c r="T59" i="31"/>
  <c r="S221" i="31"/>
  <c r="S185" i="31"/>
  <c r="S153" i="31"/>
  <c r="S443" i="31"/>
  <c r="S455" i="31"/>
  <c r="S111" i="31"/>
  <c r="S345" i="31"/>
  <c r="S377" i="31"/>
  <c r="S409" i="31"/>
  <c r="S55" i="31"/>
  <c r="S479"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4"/>
  <c r="F2" i="35"/>
  <c r="F2" i="33"/>
  <c r="D36" i="57"/>
  <c r="C114" i="9"/>
  <c r="H112" i="9" s="1"/>
  <c r="C120" i="57"/>
  <c r="H116" i="57" s="1"/>
  <c r="A18" i="54"/>
  <c r="B15" i="60" s="1"/>
  <c r="S442" i="31"/>
  <c r="C116" i="9"/>
  <c r="H114" i="9" s="1"/>
  <c r="T76" i="3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F35" i="15"/>
  <c r="F64" i="15"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G84" i="34"/>
  <c r="J21" i="34"/>
  <c r="AC21" i="34" s="1"/>
  <c r="AB40" i="34"/>
  <c r="AC19" i="34"/>
  <c r="W41" i="34"/>
  <c r="AA45" i="34"/>
  <c r="AB45" i="34"/>
  <c r="AB35" i="34"/>
  <c r="AA33" i="34"/>
  <c r="AB47" i="34"/>
  <c r="AC45" i="34"/>
  <c r="AA31" i="34"/>
  <c r="U37" i="33"/>
  <c r="AA43" i="33"/>
  <c r="U33" i="33"/>
  <c r="U30" i="33"/>
  <c r="W35" i="33"/>
  <c r="W40"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E2" i="33"/>
  <c r="F3" i="61"/>
  <c r="E2" i="37"/>
  <c r="E2" i="11"/>
  <c r="D5" i="61"/>
  <c r="E2" i="36"/>
  <c r="F7" i="61"/>
  <c r="H23" i="31"/>
  <c r="F6" i="61"/>
  <c r="F4" i="61"/>
  <c r="D4" i="61"/>
  <c r="F5" i="61"/>
  <c r="E2" i="34"/>
  <c r="E2" i="35"/>
  <c r="E2" i="21"/>
  <c r="D7" i="61"/>
  <c r="U23" i="34" l="1"/>
  <c r="W15" i="34"/>
  <c r="S21" i="34"/>
  <c r="AB19" i="34"/>
  <c r="S17" i="34"/>
  <c r="W21" i="34"/>
  <c r="AC23" i="34"/>
  <c r="W17" i="34"/>
  <c r="AC33" i="34"/>
  <c r="S121" i="3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C8" i="62" s="1"/>
  <c r="E5" i="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C10" i="1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3" i="61"/>
  <c r="D6" i="61"/>
  <c r="G1" i="61"/>
  <c r="H7" i="35" l="1"/>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Q59" i="15" l="1"/>
  <c r="E68" i="39"/>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Q46" i="15"/>
  <c r="C60" i="15"/>
  <c r="C57" i="15"/>
  <c r="C66" i="15" s="1"/>
  <c r="C37" i="15"/>
  <c r="C30" i="15" s="1"/>
  <c r="C39" i="15" s="1"/>
  <c r="Q68" i="15"/>
  <c r="J16" i="15"/>
  <c r="J25" i="15" s="1"/>
  <c r="C56" i="11"/>
  <c r="C57" i="11" s="1"/>
  <c r="B2" i="11"/>
  <c r="B3" i="11"/>
  <c r="S7" i="21" l="1"/>
  <c r="W7" i="21"/>
  <c r="J68" i="39"/>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20" i="9"/>
  <c r="D19"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B2" i="31"/>
  <c r="B24" i="31"/>
  <c r="B3" i="31" s="1"/>
  <c r="F14" i="62"/>
  <c r="B5" i="62"/>
  <c r="D5" i="62" s="1"/>
  <c r="I103" i="9"/>
  <c r="I115" i="9"/>
  <c r="N48" i="9"/>
  <c r="D45" i="9"/>
  <c r="C78" i="9" s="1"/>
  <c r="C73" i="9" s="1"/>
  <c r="D107" i="9"/>
  <c r="D113" i="9" s="1"/>
  <c r="N49" i="9"/>
  <c r="D125" i="9"/>
  <c r="C20" i="57"/>
  <c r="D19" i="57"/>
  <c r="C19" i="57"/>
  <c r="D20"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<sst xmlns="http://schemas.openxmlformats.org/spreadsheetml/2006/main" count="7373" uniqueCount="3107">
  <si>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</si>
  <si>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</si>
  <si>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</si>
  <si>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</si>
  <si>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</si>
  <si>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</si>
  <si>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</si>
  <si>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</si>
  <si>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</si>
  <si>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</si>
  <si>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</si>
  <si>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</si>
  <si>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</si>
  <si>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</si>
  <si>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</si>
  <si>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</si>
  <si>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</si>
  <si>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</si>
  <si>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</si>
  <si>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</si>
  <si>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</si>
  <si>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</si>
  <si>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</si>
  <si>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</si>
  <si>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</si>
  <si>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</si>
  <si>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</si>
  <si>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</si>
  <si>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</si>
  <si>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</si>
  <si>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</si>
  <si>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</si>
  <si>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</si>
  <si>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</si>
  <si>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</si>
  <si>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</si>
  <si>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</si>
  <si>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</si>
  <si>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</si>
  <si>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</si>
  <si>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</si>
  <si>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</si>
  <si>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</si>
  <si>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</si>
  <si>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</si>
  <si>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</si>
  <si>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</si>
  <si>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</si>
  <si>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</si>
  <si>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</si>
  <si>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</si>
  <si>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</si>
  <si>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</si>
  <si>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</si>
  <si>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</si>
  <si>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</si>
  <si>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</si>
  <si>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</si>
  <si>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</si>
  <si>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</si>
  <si>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</si>
  <si>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</si>
  <si>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</si>
  <si>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</si>
  <si>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</si>
  <si>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</si>
  <si>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</si>
  <si>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</si>
  <si>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</si>
  <si>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</si>
  <si>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</si>
  <si>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</si>
  <si>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</si>
  <si>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</si>
  <si>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</si>
  <si>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</si>
  <si>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</si>
  <si>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</si>
  <si>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</si>
  <si>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</si>
  <si>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</si>
  <si>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</si>
  <si>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</si>
  <si>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</si>
  <si>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</si>
  <si>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</si>
  <si>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</si>
  <si>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</si>
  <si>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</si>
  <si>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</si>
  <si>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</si>
  <si>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</si>
  <si>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</si>
  <si>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</si>
  <si>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</si>
  <si>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</si>
  <si>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</si>
  <si>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</si>
  <si>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</si>
  <si>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</si>
  <si>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</si>
  <si>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</si>
  <si>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</si>
  <si>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</si>
  <si>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</si>
  <si>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</si>
  <si>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</si>
  <si>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</si>
  <si>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</si>
  <si>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</si>
  <si>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</si>
  <si>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</si>
  <si>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</si>
  <si>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</si>
  <si>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</si>
  <si>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</si>
  <si>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</si>
  <si>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</si>
  <si>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</si>
  <si>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</si>
  <si>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</si>
  <si>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</si>
  <si>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</si>
  <si>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</si>
  <si>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</si>
  <si>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</si>
  <si>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</si>
  <si>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</si>
  <si>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</si>
  <si>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</si>
  <si>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</si>
  <si>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</si>
  <si>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</si>
  <si>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</si>
  <si>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</si>
  <si>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</si>
  <si>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</si>
  <si>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</si>
  <si>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</si>
  <si>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</si>
  <si>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</si>
  <si>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</si>
  <si>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</si>
  <si>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</si>
  <si>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</si>
  <si>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</si>
  <si>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</si>
  <si>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</si>
  <si>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</si>
  <si>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</si>
  <si>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</si>
  <si>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</si>
  <si>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</si>
  <si>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</si>
  <si>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</si>
  <si>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</si>
  <si>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</si>
  <si>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</si>
  <si>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</si>
  <si>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</si>
  <si>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</si>
  <si>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</si>
  <si>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</si>
  <si>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</si>
  <si>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</si>
  <si>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</si>
  <si>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</si>
  <si>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</si>
  <si>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</si>
  <si>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</si>
  <si>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</si>
  <si>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</si>
  <si>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</si>
  <si>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</si>
  <si>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</si>
  <si>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</si>
  <si>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</si>
  <si>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</si>
  <si>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</si>
  <si>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</si>
  <si>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</si>
  <si>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</si>
  <si>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</si>
  <si>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</si>
  <si>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</si>
  <si>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</si>
  <si>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</si>
  <si>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</si>
  <si>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</si>
  <si>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</si>
  <si>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</si>
  <si>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</si>
  <si>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</si>
  <si>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</si>
  <si>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</si>
  <si>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</si>
  <si>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</si>
  <si>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</si>
  <si>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</si>
  <si>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</si>
  <si>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</si>
  <si>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</si>
  <si>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</si>
  <si>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</si>
  <si>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</si>
  <si>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</si>
  <si>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</si>
  <si>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</si>
  <si>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</si>
  <si>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</si>
  <si>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</si>
  <si>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</si>
  <si>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</si>
  <si>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</si>
  <si>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</si>
  <si>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</si>
  <si>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</si>
  <si>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</si>
  <si>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</si>
  <si>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</si>
  <si>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</si>
  <si>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</si>
  <si>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</si>
  <si>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</si>
  <si>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</si>
  <si>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</si>
  <si>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</si>
  <si>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</si>
  <si>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</si>
  <si>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</si>
  <si>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</si>
  <si>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</si>
  <si>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</si>
  <si>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</si>
  <si>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</si>
  <si>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</si>
  <si>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</si>
  <si>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</si>
  <si>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</si>
  <si>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</si>
  <si>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</si>
  <si>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</si>
  <si>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</si>
  <si>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</si>
  <si>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</si>
  <si>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</si>
  <si>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</si>
  <si>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</si>
  <si>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</si>
  <si>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</si>
  <si>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</si>
  <si>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</si>
  <si>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</si>
  <si>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</si>
  <si>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</si>
  <si>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</si>
  <si>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</si>
  <si>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</si>
  <si>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</si>
  <si>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</si>
  <si>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</si>
  <si>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</si>
  <si>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</si>
  <si>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</si>
  <si>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</si>
  <si>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</si>
  <si>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</si>
  <si>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</si>
  <si>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</si>
  <si>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</si>
  <si>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</si>
  <si>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</si>
  <si>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</si>
  <si>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</si>
  <si>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</si>
  <si>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</si>
  <si>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</si>
  <si>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</si>
  <si>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</si>
  <si>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</si>
  <si>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</si>
  <si>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</si>
  <si>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</si>
  <si>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</si>
  <si>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</si>
  <si>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</si>
  <si>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</si>
  <si>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</si>
  <si>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</si>
  <si>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</si>
  <si>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</si>
  <si>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</si>
  <si>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</si>
  <si>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</si>
  <si>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</si>
  <si>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</si>
  <si>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</si>
  <si>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</si>
  <si>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</si>
  <si>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</si>
  <si>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</si>
  <si>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</si>
  <si>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</si>
  <si>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</si>
  <si>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</si>
  <si>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</si>
  <si>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</si>
  <si>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</si>
  <si>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</si>
  <si>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</si>
  <si>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</si>
  <si>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</si>
  <si>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</si>
  <si>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</si>
  <si>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</si>
  <si>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</si>
  <si>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</si>
  <si>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</si>
  <si>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</si>
  <si>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</si>
  <si>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</si>
  <si>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</si>
  <si>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</si>
  <si>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</si>
  <si>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</si>
  <si>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</si>
  <si>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</si>
  <si>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</si>
  <si>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</si>
  <si>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</si>
  <si>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</si>
  <si>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</si>
  <si>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</si>
  <si>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</si>
  <si>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</si>
  <si>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</si>
  <si>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</si>
  <si>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</si>
  <si>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</si>
  <si>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</si>
  <si>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</si>
  <si>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</si>
  <si>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</si>
  <si>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</si>
  <si>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</si>
  <si>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</si>
  <si>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</si>
  <si>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</si>
  <si>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</si>
  <si>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</si>
  <si>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</si>
  <si>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</si>
  <si>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</si>
  <si>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</si>
  <si>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</si>
  <si>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</si>
  <si>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</si>
  <si>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</si>
  <si>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</si>
  <si>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</si>
  <si>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</si>
  <si>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</si>
  <si>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</si>
  <si>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</si>
  <si>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</si>
  <si>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</si>
  <si>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</si>
  <si>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</si>
  <si>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</si>
  <si>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</si>
  <si>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</si>
  <si>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</si>
  <si>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</si>
  <si>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</si>
  <si>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</si>
  <si>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</si>
  <si>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</si>
  <si>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</si>
  <si>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</si>
  <si>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</si>
  <si>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</si>
  <si>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</si>
  <si>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</si>
  <si>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</si>
  <si>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</si>
  <si>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</si>
  <si>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</si>
  <si>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</si>
  <si>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</si>
  <si>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</si>
  <si>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</si>
  <si>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</si>
  <si>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</si>
  <si>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</si>
  <si>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</si>
  <si>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</si>
  <si>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</si>
  <si>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</si>
  <si>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</si>
  <si>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</si>
  <si>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</si>
  <si>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</si>
  <si>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</si>
  <si>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</si>
  <si>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</si>
  <si>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</si>
  <si>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</si>
  <si>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</si>
  <si>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</si>
  <si>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</si>
  <si>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</si>
  <si>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</si>
  <si>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</si>
  <si>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</si>
  <si>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</si>
  <si>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</si>
  <si>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</si>
  <si>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</si>
  <si>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</si>
  <si>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</si>
  <si>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</si>
  <si>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</si>
  <si>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</si>
  <si>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</si>
  <si>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</si>
  <si>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</si>
  <si>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</si>
  <si>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</si>
  <si>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</si>
  <si>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</si>
  <si>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</si>
  <si>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</si>
  <si>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</si>
  <si>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</si>
  <si>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</si>
  <si>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</si>
  <si>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</si>
  <si>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</si>
  <si>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</si>
  <si>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</si>
  <si>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</si>
  <si>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</si>
  <si>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</si>
  <si>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</si>
  <si>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</si>
  <si>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</si>
  <si>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</si>
  <si>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</si>
  <si>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</si>
  <si>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</si>
  <si>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</si>
  <si>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</si>
  <si>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</si>
  <si>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</si>
  <si>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</si>
  <si>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</si>
  <si>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</si>
  <si>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</si>
  <si>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</si>
  <si>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</si>
  <si>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</si>
  <si>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</si>
  <si>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</si>
  <si>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</si>
  <si>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</si>
  <si>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</si>
  <si>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</si>
  <si>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</si>
  <si>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</si>
  <si>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</si>
  <si>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</si>
  <si>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</si>
  <si>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</si>
  <si>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</si>
  <si>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</si>
  <si>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</si>
  <si>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</si>
  <si>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</si>
  <si>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</si>
  <si>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</si>
  <si>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</si>
  <si>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</si>
  <si>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</si>
  <si>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</si>
  <si>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</si>
  <si>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</si>
  <si>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</si>
  <si>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</si>
  <si>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</si>
  <si>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</si>
  <si>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</si>
  <si>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</si>
  <si>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</si>
  <si>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</si>
  <si>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</si>
  <si>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</si>
  <si>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</si>
  <si>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</si>
  <si>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</si>
  <si>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</si>
  <si>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</si>
  <si>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</si>
  <si>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</si>
  <si>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</si>
  <si>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</si>
  <si>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</si>
  <si>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</si>
  <si>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</si>
  <si>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</si>
  <si>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</si>
  <si>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</si>
  <si>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</si>
  <si>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</si>
  <si>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</si>
  <si>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</si>
  <si>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</si>
  <si>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</si>
  <si>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</si>
  <si>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</si>
  <si>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</si>
  <si>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</si>
  <si>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</si>
  <si>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</si>
  <si>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</si>
  <si>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</si>
  <si>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</si>
  <si>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</si>
  <si>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</si>
  <si>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</si>
  <si>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</si>
  <si>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</si>
  <si>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</si>
  <si>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</si>
  <si>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</si>
  <si>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</si>
  <si>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</si>
  <si>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</si>
  <si>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</si>
  <si>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</si>
  <si>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</si>
  <si>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</si>
  <si>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</si>
  <si>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</si>
  <si>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</si>
  <si>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</si>
  <si>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</si>
  <si>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</si>
  <si>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</si>
  <si>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</si>
  <si>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</si>
  <si>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</si>
  <si>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</si>
  <si>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</si>
  <si>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</si>
  <si>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</si>
  <si>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</si>
  <si>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</si>
  <si>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</si>
  <si>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</si>
  <si>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</si>
  <si>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</si>
  <si>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</si>
  <si>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</si>
  <si>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</si>
  <si>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</si>
  <si>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</si>
  <si>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</si>
  <si>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</si>
  <si>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</si>
  <si>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</si>
  <si>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</si>
  <si>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</si>
  <si>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</si>
  <si>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</si>
  <si>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</si>
  <si>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</si>
  <si>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</si>
  <si>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</si>
  <si>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</si>
  <si>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</si>
  <si>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</si>
  <si>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</si>
  <si>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</si>
  <si>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</si>
  <si>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</si>
  <si>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</si>
  <si>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</si>
  <si>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</si>
  <si>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</si>
  <si>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</si>
  <si>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</si>
  <si>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</si>
  <si>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</si>
  <si>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</si>
  <si>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</si>
  <si>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</si>
  <si>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</si>
  <si>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</si>
  <si>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</si>
  <si>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</si>
  <si>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</si>
  <si>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</si>
  <si>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</si>
  <si>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</si>
  <si>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</si>
  <si>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</si>
  <si>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</si>
  <si>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</si>
  <si>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</si>
  <si>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</si>
  <si>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</si>
  <si>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</si>
  <si>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</si>
  <si>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</si>
  <si>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</si>
  <si>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</si>
  <si>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</si>
  <si>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</si>
  <si>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</si>
  <si>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</si>
  <si>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</si>
  <si>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</si>
  <si>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</si>
  <si>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</si>
  <si>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</si>
  <si>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</si>
  <si>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</si>
  <si>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</si>
  <si>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</si>
  <si>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</si>
  <si>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</si>
  <si>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</si>
  <si>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</si>
  <si>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</si>
  <si>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</si>
  <si>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</si>
  <si>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</si>
  <si>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</si>
  <si>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</si>
  <si>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</si>
  <si>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</si>
  <si>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</si>
  <si>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</si>
  <si>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</si>
  <si>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</si>
  <si>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</si>
  <si>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</si>
  <si>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</si>
  <si>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</si>
  <si>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</si>
  <si>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</si>
  <si>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</si>
  <si>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</si>
  <si>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</si>
  <si>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</si>
  <si>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</si>
  <si>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</si>
  <si>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</si>
  <si>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</si>
  <si>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</si>
  <si>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</si>
  <si>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</si>
  <si>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</si>
  <si>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</si>
  <si>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</si>
  <si>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</si>
  <si>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</si>
  <si>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</si>
  <si>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</si>
  <si>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</si>
  <si>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</si>
  <si>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</si>
  <si>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</si>
  <si>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</si>
  <si>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</si>
  <si>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</si>
  <si>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</si>
  <si>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</si>
  <si>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</si>
  <si>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</si>
  <si>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</si>
  <si>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</si>
  <si>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</si>
  <si>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</si>
  <si>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</si>
  <si>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</si>
  <si>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</si>
  <si>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</si>
  <si>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</si>
  <si>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</si>
  <si>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</si>
  <si>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</si>
  <si>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</si>
  <si>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</si>
  <si>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</si>
  <si>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</si>
  <si>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</si>
  <si>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</si>
  <si>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</si>
  <si>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</si>
  <si>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</si>
  <si>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</si>
  <si>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</si>
  <si>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</si>
  <si>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</si>
  <si>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</si>
  <si>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</si>
  <si>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</si>
  <si>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</si>
  <si>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</si>
  <si>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</si>
  <si>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</si>
  <si>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</si>
  <si>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</si>
  <si>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</si>
  <si>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</si>
  <si>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</si>
  <si>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</si>
  <si>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</si>
  <si>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</si>
  <si>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</si>
  <si>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</si>
  <si>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</si>
  <si>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</si>
  <si>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</si>
  <si>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</si>
  <si>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</si>
  <si>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</si>
  <si>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</si>
  <si>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</si>
  <si>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</si>
  <si>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</si>
  <si>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</si>
  <si>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</si>
  <si>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</si>
  <si>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</si>
  <si>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</si>
  <si>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</si>
  <si>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</si>
  <si>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</si>
  <si>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</si>
  <si>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</si>
  <si>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</si>
  <si>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</si>
  <si>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</si>
  <si>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</si>
  <si>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</si>
  <si>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</si>
  <si>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</si>
  <si>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</si>
  <si>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</si>
  <si>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</si>
  <si>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</si>
  <si>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</si>
  <si>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</si>
  <si>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</si>
  <si>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</si>
  <si>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</si>
  <si>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</si>
  <si>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</si>
  <si>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</si>
  <si>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</si>
  <si>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</si>
  <si>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</si>
  <si>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</si>
  <si>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</si>
  <si>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</si>
  <si>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</si>
  <si>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</si>
  <si>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</si>
  <si>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</si>
  <si>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</si>
  <si>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</si>
  <si>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</si>
  <si>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</si>
  <si>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</si>
  <si>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</si>
  <si>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</si>
  <si>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</si>
  <si>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</si>
  <si>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</si>
  <si>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</si>
  <si>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</si>
  <si>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</si>
  <si>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</si>
  <si>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</si>
  <si>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</si>
  <si>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</si>
  <si>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</si>
  <si>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</si>
  <si>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</si>
  <si>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</si>
  <si>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</si>
  <si>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</si>
  <si>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</si>
  <si>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</si>
  <si>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</si>
  <si>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</si>
  <si>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</si>
  <si>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</si>
  <si>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</si>
  <si>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</si>
  <si>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</si>
  <si>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</si>
  <si>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</si>
  <si>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</si>
  <si>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</si>
  <si>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</si>
  <si>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</si>
  <si>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</si>
  <si>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</si>
  <si>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</si>
  <si>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</si>
  <si>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</si>
  <si>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</si>
  <si>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</si>
  <si>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</si>
  <si>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</si>
  <si>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</si>
  <si>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</si>
  <si>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</si>
  <si>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</si>
  <si>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</si>
  <si>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</si>
  <si>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</si>
  <si>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</si>
  <si>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</si>
  <si>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</si>
  <si>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</si>
  <si>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</si>
  <si>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</si>
  <si>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</si>
  <si>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</si>
  <si>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</si>
  <si>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</si>
  <si>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</si>
  <si>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</si>
  <si>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</si>
  <si>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</si>
  <si>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</si>
  <si>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</si>
  <si>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</si>
  <si>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</si>
  <si>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</si>
  <si>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</si>
  <si>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</si>
  <si>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</si>
  <si>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</si>
  <si>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</si>
  <si>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</si>
  <si>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</si>
  <si>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</si>
  <si>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</si>
  <si>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</si>
  <si>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</si>
  <si>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</si>
  <si>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</si>
  <si>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</si>
  <si>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</si>
  <si>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</si>
  <si>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</si>
  <si>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</si>
  <si>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</si>
  <si>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</si>
  <si>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</si>
  <si>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</si>
  <si>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</si>
  <si>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</si>
  <si>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</si>
  <si>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</si>
  <si>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</si>
  <si>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</si>
  <si>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</si>
  <si>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</si>
  <si>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</si>
  <si>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</si>
  <si>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</si>
  <si>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</si>
  <si>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</si>
  <si>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</si>
  <si>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</si>
  <si>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</si>
  <si>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</si>
  <si>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</si>
  <si>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</si>
  <si>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</si>
  <si>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</si>
  <si>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</si>
  <si>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</si>
  <si>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</si>
  <si>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</si>
  <si>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</si>
  <si>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</si>
  <si>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</si>
  <si>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</si>
  <si>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</si>
  <si>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</si>
  <si>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</si>
  <si>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</si>
  <si>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</si>
  <si>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</si>
  <si>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</si>
  <si>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</si>
  <si>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</si>
  <si>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</si>
  <si>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</si>
  <si>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</si>
  <si>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</si>
  <si>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</si>
  <si>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</si>
  <si>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</si>
  <si>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</si>
  <si>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</si>
  <si>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</si>
  <si>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</si>
  <si>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</si>
  <si>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</si>
  <si>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</si>
  <si>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</si>
  <si>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</si>
  <si>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</si>
  <si>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</si>
  <si>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</si>
  <si>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</si>
  <si>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</si>
  <si>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</si>
  <si>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</si>
  <si>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</si>
  <si>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</si>
  <si>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</si>
  <si>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</si>
  <si>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</si>
  <si>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</si>
  <si>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</si>
  <si>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</si>
  <si>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</si>
  <si>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</si>
  <si>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</si>
  <si>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</si>
  <si>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</si>
  <si>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</si>
  <si>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</si>
  <si>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</si>
  <si>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</si>
  <si>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</si>
  <si>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</si>
  <si>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</si>
  <si>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</si>
  <si>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</si>
  <si>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</si>
  <si>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</si>
  <si>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</si>
  <si>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</si>
  <si>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</si>
  <si>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</si>
  <si>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</si>
  <si>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</si>
  <si>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</si>
  <si>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</si>
  <si>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</si>
  <si>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</si>
  <si>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</si>
  <si>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</si>
  <si>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</si>
  <si>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</si>
  <si>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</si>
  <si>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</si>
  <si>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</si>
  <si>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</si>
  <si>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</si>
  <si>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</si>
  <si>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</si>
  <si>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</si>
  <si>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</si>
  <si>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</si>
  <si>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</si>
  <si>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</si>
  <si>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</si>
  <si>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</si>
  <si>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</si>
  <si>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</si>
  <si>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</si>
  <si>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</si>
  <si>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</si>
  <si>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</si>
  <si>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</si>
  <si>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</si>
  <si>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</si>
  <si>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</si>
  <si>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</si>
  <si>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</si>
  <si>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</si>
  <si>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</si>
  <si>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</si>
  <si>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</si>
  <si>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</si>
  <si>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</si>
  <si>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</si>
  <si>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</si>
  <si>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</si>
  <si>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</si>
  <si>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</si>
  <si>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</si>
  <si>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</si>
  <si>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</si>
  <si>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</si>
  <si>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</si>
  <si>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</si>
  <si>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</si>
  <si>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</si>
  <si>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</si>
  <si>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</si>
  <si>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</si>
  <si>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</si>
  <si>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</si>
  <si>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</si>
  <si>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</si>
  <si>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</si>
  <si>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</si>
  <si>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</si>
  <si>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</si>
  <si>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</si>
  <si>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</si>
  <si>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</si>
  <si>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</si>
  <si>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</si>
  <si>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</si>
  <si>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</si>
  <si>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</si>
  <si>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</si>
  <si>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</si>
  <si>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</si>
  <si>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</si>
  <si>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</si>
  <si>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</si>
  <si>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</si>
  <si>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</si>
  <si>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</si>
  <si>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</si>
  <si>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</si>
  <si>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</si>
  <si>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</si>
  <si>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</si>
  <si>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</si>
  <si>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</si>
  <si>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</si>
  <si>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</si>
  <si>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</si>
  <si>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</si>
  <si>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</si>
  <si>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</si>
  <si>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</si>
  <si>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</si>
  <si>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</si>
  <si>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</si>
  <si>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</si>
  <si>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</si>
  <si>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</si>
  <si>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</si>
  <si>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</si>
  <si>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</si>
  <si>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</si>
  <si>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</si>
  <si>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</si>
  <si>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</si>
  <si>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</si>
  <si>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</si>
  <si>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</si>
  <si>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</si>
  <si>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</si>
  <si>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</si>
  <si>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</si>
  <si>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</si>
  <si>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</si>
  <si>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</si>
  <si>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</si>
  <si>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</si>
  <si>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</si>
  <si>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</si>
  <si>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</si>
  <si>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</si>
  <si>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</si>
  <si>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</si>
  <si>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</si>
  <si>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</si>
  <si>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</si>
  <si>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</si>
  <si>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</si>
  <si>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</si>
  <si>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</si>
  <si>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</si>
  <si>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</si>
  <si>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</si>
  <si>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</si>
  <si>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</si>
  <si>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</si>
  <si>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</si>
  <si>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</si>
  <si>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</si>
  <si>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</si>
  <si>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</si>
  <si>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</si>
  <si>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</si>
  <si>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</si>
  <si>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</si>
  <si>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</si>
  <si>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</si>
  <si>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</si>
  <si>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</si>
  <si>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</si>
  <si>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</si>
  <si>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</si>
  <si>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</si>
  <si>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</si>
  <si>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</si>
  <si>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</si>
  <si>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</si>
  <si>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</si>
  <si>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</si>
  <si>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</si>
  <si>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</si>
  <si>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</si>
  <si>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</si>
  <si>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</si>
  <si>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</si>
  <si>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</si>
  <si>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</si>
  <si>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</si>
  <si>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</si>
  <si>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</si>
  <si>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</si>
  <si>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</si>
  <si>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</si>
  <si>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</si>
  <si>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</si>
  <si>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</si>
  <si>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</si>
  <si>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</si>
  <si>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</si>
  <si>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</si>
  <si>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</si>
  <si>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</si>
  <si>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</si>
  <si>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</si>
  <si>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</si>
  <si>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</si>
  <si>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</si>
  <si>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</si>
  <si>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</si>
  <si>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</si>
  <si>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</si>
  <si>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</si>
  <si>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</si>
  <si>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</si>
  <si>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</si>
  <si>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</si>
  <si>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</si>
  <si>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</si>
  <si>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</si>
  <si>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</si>
  <si>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</si>
  <si>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</si>
  <si>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</si>
  <si>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</si>
  <si>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</si>
  <si>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</si>
  <si>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</si>
  <si>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</si>
  <si>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</si>
  <si>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</si>
  <si>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</si>
  <si>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</si>
  <si>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</si>
  <si>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</si>
  <si>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</si>
  <si>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</si>
  <si>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</si>
  <si>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</si>
  <si>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</si>
  <si>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</si>
  <si>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</si>
  <si>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</si>
  <si>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</si>
  <si>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</si>
  <si>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</si>
  <si>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</si>
  <si>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</si>
  <si>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</si>
  <si>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</si>
  <si>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</si>
  <si>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</si>
  <si>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</si>
  <si>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</si>
  <si>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</si>
  <si>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</si>
  <si>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</si>
  <si>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</si>
  <si>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</si>
  <si>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</si>
  <si>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</si>
  <si>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</si>
  <si>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</si>
  <si>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</si>
  <si>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</si>
  <si>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</si>
  <si>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</si>
  <si>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</si>
  <si>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</si>
  <si>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</si>
  <si>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</si>
  <si>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</si>
  <si>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</si>
  <si>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</si>
  <si>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</si>
  <si>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</si>
  <si>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</si>
  <si>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</si>
  <si>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</si>
  <si>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</si>
  <si>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</si>
  <si>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</si>
  <si>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</si>
  <si>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</si>
  <si>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</si>
  <si>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</si>
  <si>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</si>
  <si>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</si>
  <si>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</si>
  <si>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</si>
  <si>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</si>
  <si>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</si>
  <si>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</si>
  <si>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</si>
  <si>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</si>
  <si>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</si>
  <si>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</si>
  <si>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</si>
  <si>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</si>
  <si>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</si>
  <si>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</si>
  <si>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</si>
  <si>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</si>
  <si>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</si>
  <si>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</si>
  <si>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</si>
  <si>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</si>
  <si>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</si>
  <si>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</si>
  <si>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</si>
  <si>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</si>
  <si>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</si>
  <si>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</si>
  <si>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</si>
  <si>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</si>
  <si>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</si>
  <si>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</si>
  <si>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</si>
  <si>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</si>
  <si>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</si>
  <si>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</si>
  <si>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</si>
  <si>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</si>
  <si>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</si>
  <si>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</si>
  <si>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</si>
  <si>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</si>
  <si>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</si>
  <si>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</si>
  <si>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</si>
  <si>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</si>
  <si>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</si>
  <si>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</si>
  <si>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</si>
  <si>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</si>
  <si>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</si>
  <si>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</si>
  <si>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</si>
  <si>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</si>
  <si>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</si>
  <si>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</si>
  <si>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</si>
  <si>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</si>
  <si>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</si>
  <si>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</si>
  <si>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</si>
  <si>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</si>
  <si>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</si>
  <si>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</si>
  <si>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</si>
  <si>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</si>
  <si>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</si>
  <si>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</si>
  <si>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</si>
  <si>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</si>
  <si>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</si>
  <si>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</si>
  <si>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</si>
  <si>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</si>
  <si>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</si>
  <si>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</si>
  <si>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</si>
  <si>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</si>
  <si>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</si>
  <si>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</si>
  <si>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</si>
  <si>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</si>
  <si>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</si>
  <si>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</si>
  <si>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</si>
  <si>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</si>
  <si>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</si>
  <si>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</si>
  <si>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</si>
  <si>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</si>
  <si>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</si>
  <si>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</si>
  <si>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</si>
  <si>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</si>
  <si>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</si>
  <si>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</si>
  <si>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</si>
  <si>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</si>
  <si>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</si>
  <si>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</si>
  <si>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</si>
  <si>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</si>
  <si>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</si>
  <si>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</si>
  <si>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</si>
  <si>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</si>
  <si>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</si>
  <si>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</si>
  <si>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</si>
  <si>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</si>
  <si>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</si>
  <si>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</si>
  <si>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</si>
  <si>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</si>
  <si>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</si>
  <si>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</si>
  <si>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</si>
  <si>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</si>
  <si>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</si>
  <si>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</si>
  <si>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</si>
  <si>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</si>
  <si>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</si>
  <si>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</si>
  <si>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</si>
  <si>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</si>
  <si>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</si>
  <si>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</si>
  <si>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</si>
  <si>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</si>
  <si>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</si>
  <si>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</si>
  <si>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</si>
  <si>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</si>
  <si>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</si>
  <si>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</si>
  <si>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</si>
  <si>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</si>
  <si>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</si>
  <si>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</si>
  <si>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</si>
  <si>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</si>
  <si>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</si>
  <si>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</si>
  <si>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</si>
  <si>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</si>
  <si>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</si>
  <si>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</si>
  <si>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</si>
  <si>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</si>
  <si>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</si>
  <si>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</si>
  <si>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</si>
  <si>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</si>
  <si>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</si>
  <si>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</si>
  <si>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</si>
  <si>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</si>
  <si>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</si>
  <si>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</si>
  <si>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</si>
  <si>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</si>
  <si>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</si>
  <si>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</si>
  <si>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</si>
  <si>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</si>
  <si>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</si>
  <si>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</si>
  <si>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</si>
  <si>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</si>
  <si>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</si>
  <si>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</si>
  <si>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</si>
  <si>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</si>
  <si>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</si>
  <si>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</si>
  <si>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</si>
  <si>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</si>
  <si>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</si>
  <si>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</si>
  <si>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</si>
  <si>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</si>
  <si>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</si>
  <si>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</si>
  <si>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</si>
  <si>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</si>
  <si>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</si>
  <si>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</si>
  <si>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</si>
  <si>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</si>
  <si>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</si>
  <si>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</si>
  <si>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</si>
  <si>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</si>
  <si>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</si>
  <si>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</si>
  <si>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</si>
  <si>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</si>
  <si>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</si>
  <si>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</si>
  <si>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</si>
  <si>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</si>
  <si>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</si>
  <si>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</si>
  <si>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</si>
  <si>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</si>
  <si>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</si>
  <si>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</si>
  <si>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</si>
  <si>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</si>
  <si>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</si>
  <si>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</si>
  <si>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</si>
  <si>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</si>
  <si>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</si>
  <si>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</si>
  <si>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</si>
  <si>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</si>
  <si>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</si>
  <si>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</si>
  <si>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</si>
  <si>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</si>
  <si>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</si>
  <si>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</si>
  <si>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</si>
  <si>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</si>
  <si>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</si>
  <si>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</si>
  <si>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</si>
  <si>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</si>
  <si>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</si>
  <si>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</si>
  <si>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</si>
  <si>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</si>
  <si>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</si>
  <si>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</si>
  <si>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</si>
  <si>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</si>
  <si>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</si>
  <si>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</si>
  <si>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</si>
  <si>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</si>
  <si>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</si>
  <si>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</si>
  <si>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</si>
  <si>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</si>
  <si>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</si>
  <si>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</si>
  <si>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</si>
  <si>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</si>
  <si>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</si>
  <si>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</si>
  <si>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</si>
  <si>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</si>
  <si>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</si>
  <si>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</si>
  <si>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</si>
  <si>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</si>
  <si>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</si>
  <si>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</si>
  <si>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</si>
  <si>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</si>
  <si>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</si>
  <si>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</si>
  <si>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</si>
  <si>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</si>
  <si>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</si>
  <si>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</si>
  <si>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</si>
  <si>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</si>
  <si>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</si>
  <si>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</si>
  <si>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</si>
  <si>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</si>
  <si>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</si>
  <si>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</si>
  <si>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</si>
  <si>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</si>
  <si>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</si>
  <si>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</si>
  <si>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</si>
  <si>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</si>
  <si>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</si>
  <si>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</si>
  <si>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</si>
  <si>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</si>
  <si>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</si>
  <si>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</si>
  <si>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</si>
  <si>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</si>
  <si>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</si>
  <si>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</si>
  <si>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</si>
  <si>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</si>
  <si>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</si>
  <si>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</si>
  <si>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</si>
  <si>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</si>
  <si>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</si>
  <si>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</si>
  <si>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</si>
  <si>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</si>
  <si>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</si>
  <si>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</si>
  <si>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</si>
  <si>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</si>
  <si>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</si>
  <si>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</si>
  <si>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</si>
  <si>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</si>
  <si>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</si>
  <si>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</si>
  <si>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</si>
  <si>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</si>
  <si>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</si>
  <si>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</si>
  <si>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</si>
  <si>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</si>
  <si>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</si>
  <si>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</si>
  <si>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</si>
  <si>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</si>
  <si>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</si>
  <si>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</si>
  <si>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</si>
  <si>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</si>
  <si>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</si>
  <si>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</si>
  <si>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</si>
  <si>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</si>
  <si>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</si>
  <si>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</si>
  <si>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</si>
  <si>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</si>
  <si>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</si>
  <si>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</si>
  <si>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</si>
  <si>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</si>
  <si>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</si>
  <si>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</si>
  <si>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</si>
  <si>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</si>
  <si>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</si>
  <si>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</si>
  <si>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</si>
  <si>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</si>
  <si>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</si>
  <si>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</si>
  <si>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</si>
  <si>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</si>
  <si>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</si>
  <si>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</si>
  <si>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</si>
  <si>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</si>
  <si>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</si>
  <si>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</si>
  <si>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</si>
  <si>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</si>
  <si>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</si>
  <si>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</si>
  <si>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</si>
  <si>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</si>
  <si>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</si>
  <si>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</si>
  <si>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</si>
  <si>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</si>
  <si>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</si>
  <si>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</si>
  <si>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</si>
  <si>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</si>
  <si>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</si>
  <si>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</si>
  <si>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</si>
  <si>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</si>
  <si>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</si>
  <si>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</si>
  <si>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</si>
  <si>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</si>
  <si>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</si>
  <si>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</si>
  <si>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</si>
  <si>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</si>
  <si>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</si>
  <si>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</si>
  <si>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</si>
  <si>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</si>
  <si>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</si>
  <si>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</si>
  <si>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</si>
  <si>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</si>
  <si>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</si>
  <si>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</si>
  <si>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</si>
  <si>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</si>
  <si>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</si>
  <si>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</si>
  <si>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</si>
  <si>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</si>
  <si>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</si>
  <si>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</si>
  <si>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</si>
  <si>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</si>
  <si>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</si>
  <si>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</si>
  <si>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</si>
  <si>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</si>
  <si>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</si>
  <si>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</si>
  <si>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</si>
  <si>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</si>
  <si>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</si>
  <si>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</si>
  <si>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</si>
  <si>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</si>
  <si>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</si>
  <si>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</si>
  <si>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</si>
  <si>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</si>
  <si>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</si>
  <si>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</si>
  <si>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</si>
  <si>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</si>
  <si>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</si>
  <si>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</si>
  <si>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</si>
  <si>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</si>
  <si>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</si>
  <si>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</si>
  <si>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</si>
  <si>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</si>
  <si>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</si>
  <si>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</si>
  <si>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</si>
  <si>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</si>
  <si>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</si>
  <si>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</si>
  <si>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</si>
  <si>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</si>
  <si>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</si>
  <si>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</si>
  <si>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</si>
  <si>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</si>
  <si>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</si>
  <si>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</si>
  <si>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</si>
  <si>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</si>
  <si>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</si>
  <si>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</si>
  <si>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</si>
  <si>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</si>
  <si>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</si>
  <si>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</si>
  <si>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</si>
  <si>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</si>
  <si>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</si>
  <si>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</si>
  <si>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</si>
  <si>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</si>
  <si>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</si>
  <si>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</si>
  <si>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</si>
  <si>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</si>
  <si>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</si>
  <si>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</si>
  <si>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</si>
  <si>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</si>
  <si>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</si>
  <si>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</si>
  <si>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</si>
  <si>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</si>
  <si>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</si>
  <si>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</si>
  <si>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</si>
  <si>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</si>
  <si>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</si>
  <si>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</si>
  <si>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</si>
  <si>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</si>
  <si>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</si>
  <si>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</si>
  <si>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</si>
  <si>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</si>
  <si>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</si>
  <si>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</si>
  <si>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</si>
  <si>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</si>
  <si>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</si>
  <si>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</si>
  <si>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</si>
  <si>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</si>
  <si>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</si>
  <si>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</si>
  <si>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</si>
  <si>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</si>
  <si>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</si>
  <si>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</si>
  <si>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</si>
  <si>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</si>
  <si>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</si>
  <si>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</si>
  <si>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</si>
  <si>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</si>
  <si>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</si>
  <si>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</si>
  <si>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</si>
  <si>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</si>
  <si>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</si>
  <si>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</si>
  <si>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</si>
  <si>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</si>
  <si>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</si>
  <si>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</si>
  <si>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</si>
  <si>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</si>
  <si>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</si>
  <si>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</si>
  <si>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</si>
  <si>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</si>
  <si>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</si>
  <si>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</si>
  <si>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</si>
  <si>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</si>
  <si>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</si>
  <si>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</si>
  <si>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</si>
  <si>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</si>
  <si>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</si>
  <si>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</si>
  <si>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</si>
  <si>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</si>
  <si>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</si>
  <si>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</si>
  <si>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</si>
  <si>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</si>
  <si>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</si>
  <si>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</si>
  <si>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</si>
  <si>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</si>
  <si>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</si>
  <si>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</si>
  <si>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</si>
  <si>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</si>
  <si>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</si>
  <si>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</si>
  <si>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</si>
  <si>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</si>
  <si>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</si>
  <si>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</si>
  <si>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</si>
  <si>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</si>
  <si>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</si>
  <si>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</si>
  <si>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</si>
  <si>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</si>
  <si>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</si>
  <si>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</si>
  <si>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</si>
  <si>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</si>
  <si>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</si>
  <si>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</si>
  <si>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</si>
  <si>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</si>
  <si>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</si>
  <si>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</si>
  <si>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</si>
  <si>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</si>
  <si>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</si>
  <si>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</si>
  <si>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</si>
  <si>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</si>
  <si>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</si>
  <si>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</si>
  <si>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</si>
  <si>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</si>
  <si>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</si>
  <si>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</si>
  <si>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</si>
  <si>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</si>
  <si>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</si>
  <si>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</si>
  <si>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</si>
  <si>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</si>
  <si>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</si>
  <si>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</si>
  <si>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</si>
  <si>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</si>
  <si>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</si>
  <si>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</si>
  <si>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</si>
  <si>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</si>
  <si>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</si>
  <si>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</si>
  <si>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</si>
  <si>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</si>
  <si>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</si>
  <si>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</si>
  <si>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</si>
  <si>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</si>
  <si>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</si>
  <si>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</si>
  <si>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</si>
  <si>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</si>
  <si>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</si>
  <si>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</si>
  <si>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</si>
  <si>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</si>
  <si>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</si>
  <si>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</si>
  <si>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</si>
  <si>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</si>
  <si>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</si>
  <si>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</si>
  <si>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</si>
  <si>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</si>
  <si>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</si>
  <si>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</si>
  <si>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</si>
  <si>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</si>
  <si>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</si>
  <si>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</si>
  <si>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</si>
  <si>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</si>
  <si>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</si>
  <si>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</si>
  <si>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</si>
  <si>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</si>
  <si>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</si>
  <si>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</si>
  <si>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</si>
  <si>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</si>
  <si>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</si>
  <si>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</si>
  <si>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</si>
  <si>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</si>
  <si>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</si>
  <si>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</si>
  <si>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</si>
  <si>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</si>
  <si>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</si>
  <si>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</si>
  <si>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</si>
  <si>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</si>
  <si>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</si>
  <si>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</si>
  <si>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</si>
  <si>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</si>
  <si>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</si>
  <si>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</si>
  <si>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</si>
  <si>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</si>
  <si>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</si>
  <si>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</si>
  <si>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</si>
  <si>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</si>
  <si>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</si>
  <si>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</si>
  <si>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</si>
  <si>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</si>
  <si>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</si>
  <si>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</si>
  <si>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</si>
  <si>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</si>
  <si>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</si>
  <si>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</si>
  <si>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</si>
  <si>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</si>
  <si>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</si>
  <si>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</si>
  <si>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</si>
  <si>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</si>
  <si>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</si>
  <si>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</si>
  <si>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</si>
  <si>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</si>
  <si>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</si>
  <si>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</si>
  <si>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</si>
  <si>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</si>
  <si>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</si>
  <si>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</si>
  <si>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</si>
  <si>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</si>
  <si>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</si>
  <si>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</si>
  <si>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</si>
  <si>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</si>
  <si>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</si>
  <si>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</si>
  <si>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</si>
  <si>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</si>
  <si>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</si>
  <si>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</si>
  <si>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</si>
  <si>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</si>
  <si>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</si>
  <si>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</si>
  <si>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</si>
  <si>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</si>
  <si>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</si>
  <si>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</si>
  <si>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</si>
  <si>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</si>
  <si>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</si>
  <si>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</si>
  <si>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</si>
  <si>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</si>
  <si>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</si>
  <si>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</si>
  <si>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</si>
  <si>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</si>
  <si>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</si>
  <si>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</si>
  <si>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</si>
  <si>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</si>
  <si>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</si>
  <si>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</si>
  <si>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</si>
  <si>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</si>
  <si>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</si>
  <si>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</si>
  <si>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</si>
  <si>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</si>
  <si>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</si>
  <si>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</si>
  <si>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</si>
  <si>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</si>
  <si>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</si>
  <si>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</si>
  <si>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</si>
  <si>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</si>
  <si>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</si>
  <si>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</si>
  <si>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</si>
  <si>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</si>
  <si>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</si>
  <si>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</si>
  <si>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</si>
  <si>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</si>
  <si>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</si>
  <si>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</si>
  <si>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</si>
  <si>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</si>
  <si>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</si>
  <si>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</si>
  <si>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</si>
  <si>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</si>
  <si>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</si>
  <si>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</si>
  <si>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</si>
  <si>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</si>
  <si>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</si>
  <si>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</si>
  <si>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</si>
  <si>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</si>
  <si>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</si>
  <si>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</si>
  <si>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</si>
  <si>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</si>
  <si>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</si>
  <si>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</si>
  <si>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</si>
  <si>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</si>
  <si>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</si>
  <si>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</si>
  <si>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</si>
  <si>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</si>
  <si>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</si>
  <si>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</si>
  <si>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</si>
  <si>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</si>
  <si>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</si>
  <si>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</si>
  <si>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</si>
  <si>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</si>
  <si>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</si>
  <si>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</si>
  <si>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</si>
  <si>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</si>
  <si>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</si>
  <si>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</si>
  <si>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</si>
  <si>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</si>
  <si>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</si>
  <si>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</si>
  <si>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</si>
  <si>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</si>
  <si>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</si>
  <si>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</si>
  <si>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</si>
  <si>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</si>
  <si>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</si>
  <si>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</si>
  <si>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</si>
  <si>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</si>
  <si>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</si>
  <si>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</si>
  <si>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</si>
  <si>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</si>
  <si>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</si>
  <si>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</si>
  <si>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</si>
  <si>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</si>
  <si>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</si>
  <si>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</si>
  <si>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</si>
  <si>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</si>
  <si>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</si>
  <si>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</si>
  <si>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</si>
  <si>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</si>
  <si>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</si>
  <si>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</si>
  <si>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</si>
  <si>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</si>
  <si>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</si>
  <si>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</si>
  <si>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</si>
  <si>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</si>
  <si>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</si>
  <si>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</si>
  <si>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</si>
  <si>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</si>
  <si>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</si>
  <si>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</si>
  <si>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</si>
  <si>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</si>
  <si>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</si>
  <si>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</si>
  <si>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</si>
  <si>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</si>
  <si>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</si>
  <si>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</si>
  <si>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</si>
  <si>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</si>
  <si>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</si>
  <si>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</si>
  <si>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</si>
  <si>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</si>
  <si>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</si>
  <si>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</si>
  <si>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</si>
  <si>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</si>
  <si>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</si>
  <si>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</si>
  <si>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</si>
  <si>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</si>
  <si>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</si>
  <si>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</si>
  <si>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</si>
  <si>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</si>
  <si>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</si>
  <si>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</si>
  <si>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</si>
  <si>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</si>
  <si>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</si>
  <si>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</si>
  <si>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</si>
  <si>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</si>
  <si>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</si>
  <si>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</si>
  <si>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</si>
  <si>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</si>
  <si>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</si>
  <si>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</si>
  <si>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</si>
  <si>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</si>
  <si>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</si>
  <si>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</si>
  <si>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</si>
  <si>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</si>
  <si>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</si>
  <si>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</si>
  <si>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</si>
  <si>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</si>
  <si>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</si>
  <si>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</si>
  <si>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</si>
  <si>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</si>
  <si>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</si>
  <si>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</si>
  <si>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</si>
  <si>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</si>
  <si>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</si>
  <si>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</si>
  <si>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</si>
  <si>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</si>
  <si>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</si>
  <si>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</si>
  <si>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</si>
  <si>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</si>
  <si>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</si>
  <si>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</si>
  <si>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</si>
  <si>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</si>
  <si>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</si>
  <si>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</si>
  <si>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</si>
  <si>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</si>
  <si>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</si>
  <si>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</si>
  <si>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</si>
  <si>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</si>
  <si>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</si>
  <si>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</si>
  <si>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</si>
  <si>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</si>
  <si>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</si>
  <si>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</si>
  <si>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</si>
  <si>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</si>
  <si>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</si>
  <si>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</si>
  <si>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</si>
  <si>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</si>
  <si>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</si>
  <si>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</si>
  <si>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</si>
  <si>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</si>
  <si>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</si>
  <si>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</si>
  <si>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</si>
  <si>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</si>
  <si>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</si>
  <si>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</si>
  <si>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</si>
  <si>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</si>
  <si>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</si>
  <si>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</si>
  <si>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</si>
  <si>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</si>
  <si>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</si>
  <si>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</si>
  <si>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</si>
  <si>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</si>
  <si>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</si>
  <si>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</si>
  <si>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</si>
  <si>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</si>
  <si>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</si>
  <si>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</si>
  <si>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</si>
  <si>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</si>
  <si>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</si>
  <si>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</si>
  <si>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</si>
  <si>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</si>
  <si>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</si>
  <si>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</si>
  <si>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</si>
  <si>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</si>
  <si>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</si>
  <si>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</si>
  <si>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</si>
  <si>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</si>
  <si>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</si>
  <si>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</si>
  <si>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</si>
  <si>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</si>
  <si>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</si>
  <si>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</si>
  <si>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</si>
  <si>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</si>
  <si>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</si>
  <si>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</si>
  <si>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</si>
  <si>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</si>
  <si>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</si>
  <si>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</si>
  <si>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</si>
  <si>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</si>
  <si>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</si>
  <si>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</si>
  <si>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</si>
  <si>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</si>
  <si>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</si>
  <si>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</si>
  <si>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</si>
  <si>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</si>
  <si>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</si>
  <si>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</si>
  <si>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</si>
  <si>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</si>
  <si>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</si>
  <si>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</si>
  <si>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</si>
  <si>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</si>
  <si>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</si>
  <si>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</si>
  <si>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</si>
  <si>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</si>
  <si>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</si>
  <si>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</si>
  <si>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</si>
  <si>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</si>
  <si>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</si>
  <si>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</si>
  <si>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</si>
  <si>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</si>
  <si>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</si>
  <si>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</si>
  <si>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</si>
  <si>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</si>
  <si>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</si>
  <si>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</si>
  <si>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</si>
  <si>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</si>
  <si>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</si>
  <si>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</si>
  <si>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</si>
  <si>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</si>
  <si>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</si>
  <si>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</si>
  <si>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</si>
  <si>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</si>
  <si>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</si>
  <si>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</si>
  <si>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</si>
  <si>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</si>
  <si>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</si>
  <si>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</si>
  <si>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</si>
  <si>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</si>
  <si>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</si>
  <si>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</si>
  <si>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</si>
  <si>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</si>
  <si>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</si>
  <si>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</si>
  <si>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</si>
  <si>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</si>
  <si>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</si>
  <si>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</si>
  <si>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</si>
  <si>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</si>
  <si>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</si>
  <si>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</si>
  <si>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</si>
  <si>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</si>
  <si>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</si>
  <si>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</si>
  <si>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</si>
  <si>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</si>
  <si>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</si>
  <si>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</si>
  <si>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</si>
  <si>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</si>
  <si>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</si>
  <si>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</si>
  <si>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</si>
  <si>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</si>
  <si>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</si>
  <si>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</si>
  <si>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</si>
  <si>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</si>
  <si>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</si>
  <si>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</si>
  <si>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</si>
  <si>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</si>
  <si>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</si>
  <si>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</si>
  <si>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</si>
  <si>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</si>
  <si>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</si>
  <si>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</si>
  <si>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</si>
  <si>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</si>
  <si>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</si>
  <si>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</si>
  <si>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</si>
  <si>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</si>
  <si>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</si>
  <si>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</si>
  <si>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</si>
  <si>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</si>
  <si>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</si>
  <si>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</si>
  <si>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</si>
  <si>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</si>
  <si>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</si>
  <si>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</si>
  <si>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</si>
  <si>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</si>
  <si>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</si>
  <si>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</si>
  <si>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</si>
  <si>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</si>
  <si>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</si>
  <si>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</si>
  <si>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</si>
  <si>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</si>
  <si>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</si>
  <si>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</si>
  <si>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</si>
  <si>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</si>
  <si>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</si>
  <si>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</si>
  <si>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</si>
  <si>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</si>
  <si>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</si>
  <si>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</si>
  <si>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</si>
  <si>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</si>
  <si>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</si>
  <si>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</si>
  <si>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</si>
  <si>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</si>
  <si>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</si>
  <si>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</si>
  <si>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</si>
  <si>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</si>
  <si>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</si>
  <si>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</si>
  <si>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</si>
  <si>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</si>
  <si>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</si>
  <si>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</si>
  <si>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</si>
  <si>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</si>
  <si>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</si>
  <si>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</si>
  <si>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</si>
  <si>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</si>
  <si>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</si>
  <si>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</si>
  <si>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</si>
  <si>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</si>
  <si>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</si>
  <si>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</si>
  <si>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</si>
  <si>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</si>
  <si>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</si>
  <si>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</si>
  <si>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</si>
  <si>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</si>
  <si>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</si>
  <si>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</si>
  <si>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</si>
  <si>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</si>
  <si>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</si>
  <si>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</si>
  <si>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</si>
  <si>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</si>
  <si>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</si>
  <si>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</si>
  <si>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</si>
  <si>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</si>
  <si>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</si>
  <si>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</si>
  <si>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</si>
  <si>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</si>
  <si>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</si>
  <si>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</si>
  <si>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</si>
  <si>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</si>
  <si>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</si>
  <si>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</si>
  <si>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</si>
  <si>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</si>
  <si>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</si>
  <si>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</si>
  <si>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</si>
  <si>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</si>
  <si>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</si>
  <si>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</si>
  <si>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</si>
  <si>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</si>
  <si>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</si>
  <si>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</si>
  <si>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</si>
  <si>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</si>
  <si>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</si>
  <si>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</si>
  <si>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</si>
  <si>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</si>
  <si>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</si>
  <si>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</si>
  <si>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</si>
  <si>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</si>
  <si>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</si>
  <si>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</si>
  <si>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</si>
  <si>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</si>
  <si>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</si>
  <si>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</si>
  <si>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</si>
  <si>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</si>
  <si>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</si>
  <si>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</si>
  <si>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</si>
  <si>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</si>
  <si>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</si>
  <si>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</si>
  <si>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</si>
  <si>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</si>
  <si>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</si>
  <si>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</si>
  <si>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</si>
  <si>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</si>
  <si>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</si>
  <si>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</si>
  <si>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</si>
  <si>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</si>
  <si>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</si>
  <si>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</si>
  <si>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</si>
  <si>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</si>
  <si>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</si>
  <si>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</si>
  <si>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</si>
  <si>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</si>
  <si>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</si>
  <si>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</si>
  <si>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</si>
  <si>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</si>
  <si>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</si>
  <si>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</si>
  <si>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</si>
  <si>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</si>
  <si>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</si>
  <si>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</si>
  <si>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</si>
  <si>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</si>
  <si>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</si>
  <si>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</si>
  <si>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</si>
  <si>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</si>
  <si>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</si>
  <si>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</si>
  <si>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</si>
  <si>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</si>
  <si>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</si>
  <si>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</si>
  <si>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</si>
  <si>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</si>
  <si>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</si>
  <si>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</si>
  <si>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</si>
  <si>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</si>
  <si>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</si>
  <si>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</si>
  <si>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</si>
  <si>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</si>
  <si>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</si>
  <si>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</si>
  <si>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</si>
  <si>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</si>
  <si>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</si>
  <si>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</si>
  <si>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</si>
  <si>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</si>
  <si>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</si>
  <si>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</si>
  <si>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</si>
  <si>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</si>
  <si>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</si>
  <si>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</si>
  <si>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</si>
  <si>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</si>
  <si>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</si>
  <si>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</si>
  <si>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</si>
  <si>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</si>
  <si>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</si>
  <si>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</si>
  <si>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</si>
  <si>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</si>
  <si>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</si>
  <si>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</si>
  <si>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</si>
  <si>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</si>
  <si>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</si>
  <si>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</si>
  <si>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</si>
  <si>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</si>
  <si>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</si>
  <si>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</si>
  <si>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</si>
  <si>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</si>
  <si>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</si>
  <si>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</si>
  <si>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</si>
  <si>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</si>
  <si>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</si>
  <si>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</si>
  <si>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</si>
  <si>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</si>
  <si>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</si>
  <si>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</si>
  <si>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</si>
  <si>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</si>
  <si>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</si>
  <si>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</si>
  <si>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</si>
  <si>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</si>
  <si>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</si>
  <si>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</si>
  <si>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</si>
  <si>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</si>
  <si>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</si>
  <si>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</si>
  <si>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</si>
  <si>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</si>
  <si>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</si>
  <si>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</si>
  <si>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</si>
  <si>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</si>
  <si>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</si>
  <si>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</si>
  <si>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</si>
  <si>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</si>
  <si>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</si>
  <si>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</si>
  <si>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</si>
  <si>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</si>
  <si>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</si>
  <si>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</si>
  <si>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</si>
  <si>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</si>
  <si>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</si>
  <si>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</si>
  <si>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</si>
  <si>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</si>
  <si>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</si>
  <si>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</si>
  <si>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</si>
  <si>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</si>
  <si>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</si>
  <si>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</si>
  <si>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</si>
  <si>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</si>
  <si>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</si>
  <si>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</si>
  <si>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</si>
  <si>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</si>
  <si>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</si>
  <si>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</si>
  <si>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</si>
  <si>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</si>
  <si>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</si>
  <si>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</si>
  <si>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</si>
  <si>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</si>
  <si>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</si>
  <si>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</si>
  <si>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</si>
  <si>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</si>
  <si>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</si>
  <si>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</si>
  <si>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</si>
  <si>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</si>
  <si>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</si>
  <si>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</si>
  <si>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</si>
  <si>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</si>
  <si>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</si>
  <si>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</si>
  <si>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</si>
  <si>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</si>
  <si>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</si>
  <si>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</si>
  <si>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</si>
  <si>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</si>
  <si>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</si>
  <si>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</si>
  <si>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</si>
  <si>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</si>
  <si>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</si>
  <si>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</si>
  <si>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</si>
  <si>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</si>
  <si>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</si>
  <si>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</si>
  <si>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</si>
  <si>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</si>
  <si>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</si>
  <si>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</si>
  <si>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</si>
  <si>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</si>
  <si>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</si>
  <si>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</si>
  <si>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</si>
  <si>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</si>
  <si>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</si>
  <si>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</si>
  <si>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</si>
  <si>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</si>
  <si>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</si>
  <si>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</si>
  <si>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</si>
  <si>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</si>
  <si>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</si>
  <si>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</si>
  <si>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</si>
  <si>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</si>
  <si>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</si>
  <si>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</si>
  <si>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</si>
  <si>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</si>
  <si>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</si>
  <si>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</si>
  <si>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</si>
  <si>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</si>
  <si>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</si>
  <si>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</si>
  <si>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</si>
  <si>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</si>
  <si>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</si>
  <si>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</si>
  <si>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</si>
  <si>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</si>
  <si>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</si>
  <si>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</si>
  <si>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</si>
  <si>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</si>
  <si>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</si>
  <si>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</si>
  <si>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</si>
  <si>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</si>
  <si>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</si>
  <si>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</si>
  <si>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</si>
  <si>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</si>
  <si>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</si>
  <si>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</si>
  <si>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</si>
  <si>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</si>
  <si>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</si>
  <si>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</si>
  <si>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</si>
  <si>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</si>
  <si>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</si>
  <si>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</si>
  <si>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</si>
  <si>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</si>
  <si>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</si>
  <si>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</si>
  <si>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</si>
  <si>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</si>
  <si>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</si>
  <si>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</si>
  <si>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</si>
  <si>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</si>
  <si>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</si>
  <si>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</si>
  <si>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</si>
  <si>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</si>
  <si>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</si>
  <si>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</si>
  <si>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</si>
  <si>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</si>
  <si>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</si>
  <si>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</si>
  <si>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</si>
  <si>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</si>
  <si>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</si>
  <si>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</si>
  <si>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</si>
  <si>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</si>
  <si>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</si>
  <si>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</si>
  <si>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</si>
  <si>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</si>
  <si>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</si>
  <si>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</si>
  <si>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</si>
  <si>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</si>
  <si>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</si>
  <si>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</si>
  <si>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</si>
  <si>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</si>
  <si>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</si>
  <si>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</si>
  <si>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</si>
  <si>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</si>
  <si>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</si>
  <si>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</si>
  <si>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</si>
  <si>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</si>
  <si>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</si>
  <si>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</si>
  <si>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</si>
  <si>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</si>
  <si>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</si>
  <si>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</si>
  <si>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</si>
  <si>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</si>
  <si>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</si>
  <si>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</si>
  <si>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</si>
  <si>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</si>
  <si>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</si>
  <si>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</si>
  <si>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</si>
  <si>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</si>
  <si>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</si>
  <si>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</si>
  <si>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</si>
  <si>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</si>
  <si>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</si>
  <si>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</si>
  <si>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</si>
  <si>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</si>
  <si>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</si>
  <si>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</si>
  <si>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</si>
  <si>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</si>
  <si>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</si>
  <si>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</si>
  <si>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</si>
  <si>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</si>
  <si>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</si>
  <si>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</si>
  <si>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</si>
  <si>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</si>
  <si>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</si>
  <si>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</si>
  <si>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</si>
  <si>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</si>
  <si>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</si>
  <si>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</si>
  <si>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</si>
  <si>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</si>
  <si>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</si>
  <si>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</si>
  <si>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</si>
  <si>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</si>
  <si>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</si>
  <si>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</si>
  <si>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</si>
  <si>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</si>
  <si>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</si>
  <si>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</si>
  <si>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</si>
  <si>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</si>
  <si>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</si>
  <si>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</si>
  <si>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</si>
  <si>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</si>
  <si>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</si>
  <si>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</si>
  <si>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</si>
  <si>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</si>
  <si>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</si>
  <si>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</si>
  <si>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</si>
  <si>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</si>
  <si>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</si>
  <si>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</si>
  <si>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</si>
  <si>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</si>
  <si>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</si>
  <si>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</si>
  <si>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</si>
  <si>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</si>
  <si>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</si>
  <si>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</si>
  <si>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</si>
  <si>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</si>
  <si>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</si>
  <si>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</si>
  <si>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</si>
  <si>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</si>
  <si>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</si>
  <si>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</si>
  <si>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</si>
  <si>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</si>
  <si>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</si>
  <si>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</si>
  <si>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</si>
  <si>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</si>
  <si>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</si>
  <si>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</si>
  <si>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</si>
  <si>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</si>
  <si>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</si>
  <si>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</si>
  <si>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</si>
  <si>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</si>
  <si>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</si>
  <si>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</si>
  <si>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</si>
  <si>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</si>
  <si>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</si>
  <si>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</si>
  <si>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</si>
  <si>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</si>
  <si>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</si>
  <si>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</si>
  <si>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</si>
  <si>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</si>
  <si>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</si>
  <si>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</si>
  <si>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</si>
  <si>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</si>
  <si>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</si>
  <si>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</si>
  <si>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</si>
  <si>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</si>
  <si>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</si>
  <si>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</si>
  <si>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</si>
  <si>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</si>
  <si>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</si>
  <si>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</si>
  <si>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</si>
  <si>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</si>
  <si>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</si>
  <si>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</si>
  <si>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</si>
  <si>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</si>
  <si>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</si>
  <si>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</si>
  <si>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</si>
  <si>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</si>
  <si>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</si>
  <si>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</si>
  <si>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</si>
  <si>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</si>
  <si>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</si>
  <si>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</si>
  <si>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</si>
  <si>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</si>
  <si>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</si>
  <si>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</si>
  <si>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</si>
  <si>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</si>
  <si>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</si>
  <si>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</si>
  <si>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</si>
  <si>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</si>
  <si>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</si>
  <si>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</si>
  <si>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</si>
  <si>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</si>
  <si>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</si>
  <si>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</si>
  <si>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</si>
  <si>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</si>
  <si>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</si>
  <si>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</si>
  <si>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</si>
  <si>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</si>
  <si>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</si>
  <si>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</si>
  <si>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</si>
  <si>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</si>
  <si>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</si>
  <si>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</si>
  <si>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</si>
  <si>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</si>
  <si>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</si>
  <si>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</si>
  <si>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</si>
  <si>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</si>
  <si>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</si>
  <si>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</si>
  <si>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</si>
  <si>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</si>
  <si>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</si>
  <si>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</si>
  <si>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</si>
  <si>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</si>
  <si>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</si>
  <si>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</si>
  <si>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</si>
  <si>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</si>
  <si>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</si>
  <si>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</si>
  <si>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</si>
  <si>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</si>
  <si>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</si>
  <si>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</si>
  <si>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</si>
  <si>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</si>
  <si>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</si>
  <si>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</si>
  <si>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</si>
  <si>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</si>
  <si>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</si>
  <si>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</si>
  <si>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</si>
  <si>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</si>
  <si>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</si>
  <si>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</si>
  <si>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</si>
  <si>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</si>
  <si>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</si>
  <si>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</si>
  <si>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</si>
  <si>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</si>
  <si>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</si>
  <si>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</si>
  <si>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</si>
  <si>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</si>
  <si>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</si>
  <si>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</si>
  <si>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</si>
  <si>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</si>
  <si>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</si>
  <si>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</si>
  <si>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</si>
  <si>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</si>
  <si>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</si>
  <si>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</si>
  <si>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</si>
  <si>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</si>
  <si>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</si>
  <si>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</si>
  <si>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</si>
  <si>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</si>
  <si>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</si>
  <si>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</si>
  <si>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</si>
  <si>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</si>
  <si>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</si>
  <si>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</si>
  <si>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</si>
  <si>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</si>
  <si>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</si>
  <si>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</si>
  <si>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</si>
  <si>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</si>
  <si>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</si>
  <si>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</si>
  <si>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</si>
  <si>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</si>
  <si>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</si>
  <si>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</si>
  <si>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</si>
  <si>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</si>
  <si>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</si>
  <si>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</si>
  <si>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</si>
  <si>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</si>
  <si>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</si>
  <si>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</si>
  <si>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</si>
  <si>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</si>
  <si>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</si>
  <si>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</si>
  <si>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</si>
  <si>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</si>
  <si>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</si>
  <si>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</si>
  <si>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</si>
  <si>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</si>
  <si>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</si>
  <si>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</si>
  <si>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</si>
  <si>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</si>
  <si>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</si>
  <si>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</si>
  <si>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</si>
  <si>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</si>
  <si>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</si>
  <si>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</si>
  <si>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</si>
  <si>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</si>
  <si>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</si>
  <si>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</si>
  <si>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</si>
  <si>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</si>
  <si>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</si>
  <si>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</si>
  <si>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</si>
  <si>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</si>
  <si>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</si>
  <si>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</si>
  <si>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</si>
  <si>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</si>
  <si>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</si>
  <si>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</si>
  <si>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</si>
  <si>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</si>
  <si>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</si>
  <si>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</si>
  <si>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</si>
  <si>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</si>
  <si>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</si>
  <si>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</si>
  <si>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</si>
  <si>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</si>
  <si>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</si>
  <si>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</si>
  <si>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</si>
  <si>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</si>
  <si>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</si>
  <si>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</si>
  <si>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</si>
  <si>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</si>
  <si>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</si>
  <si>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</si>
  <si>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</si>
  <si>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</si>
  <si>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</si>
  <si>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</si>
  <si>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</si>
  <si>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</si>
  <si>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</si>
  <si>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</si>
  <si>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</si>
  <si>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</si>
  <si>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</si>
  <si>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</si>
  <si>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</si>
  <si>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</si>
  <si>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</si>
  <si>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</si>
  <si>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</si>
  <si>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</si>
  <si>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</si>
  <si>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</si>
  <si>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</si>
  <si>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</si>
  <si>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</si>
  <si>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</si>
  <si>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</si>
  <si>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</si>
  <si>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</si>
  <si>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</si>
  <si>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</si>
  <si>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</si>
  <si>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</si>
  <si>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</si>
  <si>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</si>
  <si>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</si>
  <si>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</si>
  <si>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</si>
  <si>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</si>
  <si>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</si>
  <si>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</si>
  <si>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</si>
  <si>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</si>
  <si>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</si>
  <si>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</si>
  <si>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</si>
  <si>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</si>
  <si>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</si>
  <si>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</si>
  <si>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</si>
  <si>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</si>
  <si>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</si>
  <si>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</si>
  <si>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</si>
  <si>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</si>
  <si>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</si>
  <si>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</si>
  <si>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</si>
  <si>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</si>
  <si>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</si>
  <si>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</si>
  <si>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</si>
  <si>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</si>
  <si>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</si>
  <si>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</si>
  <si>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</si>
  <si>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</si>
  <si>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</si>
  <si>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</si>
  <si>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</si>
  <si>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</si>
  <si>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</si>
  <si>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</si>
  <si>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</si>
  <si>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</si>
  <si>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</si>
  <si>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</si>
  <si>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</si>
  <si>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</si>
  <si>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</si>
  <si>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</si>
  <si>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</si>
  <si>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</si>
  <si>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</si>
  <si>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</si>
  <si>
    <t>精装</t>
    <phoneticPr fontId="26" type="noConversion"/>
  </si>
  <si>
    <t>中区</t>
    <phoneticPr fontId="26" type="noConversion"/>
  </si>
  <si>
    <t>高区</t>
    <phoneticPr fontId="26" type="noConversion"/>
  </si>
  <si>
    <t>比较法-办公</t>
  </si>
  <si>
    <r>
      <t>市调本项目成交价为1</t>
    </r>
    <r>
      <rPr>
        <sz val="11"/>
        <color theme="1"/>
        <rFont val="宋体"/>
        <family val="3"/>
        <charset val="134"/>
        <scheme val="minor"/>
      </rPr>
      <t>.8-2万/平米</t>
    </r>
    <phoneticPr fontId="146" type="noConversion"/>
  </si>
  <si>
    <t>自然人</t>
  </si>
  <si>
    <t>中国银行</t>
    <phoneticPr fontId="7" type="noConversion"/>
  </si>
  <si>
    <t>办公</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</si>
</sst>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2"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6"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估价对象为北京市房地产，为所有。根据《》[]，估价对象建筑面积为70.74平方米。根据《》[]，估价对象（分摊）出让国有建设用地使用权面积为平方米。估价对象用途为。</v>
      </c>
    </row>
    <row r="8" spans="1:2">
      <c r="A8" s="1179" t="s">
        <v>1045</v>
      </c>
      <c r="B8" s="1166" t="str">
        <f>'预评函-1'!A8</f>
        <v>为估价委托人在向中国银行办理贷款手续过程中，确定房地产抵押贷款额度提供参考依据而评估房地产抵押价值。</v>
      </c>
    </row>
    <row r="9" spans="1:2">
      <c r="A9" s="1179" t="s">
        <v>1046</v>
      </c>
      <c r="B9" s="1166" t="str">
        <f>'预评函-1'!A10</f>
        <v>2022年8月4日（评估专业人员实地查勘之日）</v>
      </c>
    </row>
    <row r="10" spans="1:2">
      <c r="A10" s="1179" t="s">
        <v>1047</v>
      </c>
      <c r="B10" s="1166" t="str">
        <f>'预评函-1'!A13</f>
        <v>本次估价的“房地产价值”是指在正常市场情况下，在价值时点2022年8月4日，估价对象规划用途为，假定未设立法定优先受偿款下的房地产市场价值。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70.739999999999995</v>
      </c>
    </row>
    <row r="19" spans="1:2">
      <c r="A19" s="1179" t="s">
        <v>1056</v>
      </c>
      <c r="B19" s="1166">
        <f ca="1">'预评函-2（1）'!D7</f>
        <v>129</v>
      </c>
    </row>
    <row r="20" spans="1:2">
      <c r="A20" s="1179" t="s">
        <v>1094</v>
      </c>
      <c r="B20" s="1166" t="str">
        <f>'预评函-2（1）'!C7</f>
        <v>总价（万元）</v>
      </c>
    </row>
    <row r="21" spans="1:2">
      <c r="A21" s="1179" t="s">
        <v>1057</v>
      </c>
      <c r="B21" s="1166">
        <f ca="1">'预评函-2（1）'!D9</f>
        <v>18236</v>
      </c>
    </row>
    <row r="22" spans="1:2">
      <c r="A22" s="1179" t="s">
        <v>1058</v>
      </c>
      <c r="B22" s="1166" t="str">
        <f ca="1">'预评函-2（1）'!D8</f>
        <v>壹佰贰拾玖万元整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129</v>
      </c>
    </row>
    <row r="30" spans="1:2">
      <c r="A30" s="1179" t="s">
        <v>1064</v>
      </c>
      <c r="B30" s="1166" t="str">
        <f ca="1">'预评函-2（1）'!D16</f>
        <v>壹佰贰拾玖万元整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92</v>
      </c>
    </row>
    <row r="38" spans="1:2">
      <c r="A38" s="1179" t="s">
        <v>1072</v>
      </c>
      <c r="B38" s="1166">
        <f ca="1">'预评函-2（2）'!E4</f>
        <v>13005</v>
      </c>
    </row>
    <row r="39" spans="1:2">
      <c r="A39" s="1179" t="s">
        <v>1073</v>
      </c>
      <c r="B39" s="1166" t="str">
        <f ca="1">'预评函-2（2）'!D5</f>
        <v>玖拾贰万元整</v>
      </c>
    </row>
    <row r="40" spans="1:2">
      <c r="A40" s="1179" t="s">
        <v>1074</v>
      </c>
      <c r="B40" s="1166">
        <f ca="1">'预评函-2（2）'!F4</f>
        <v>37</v>
      </c>
    </row>
    <row r="41" spans="1:2">
      <c r="A41" s="1179" t="s">
        <v>1075</v>
      </c>
      <c r="B41" s="1166">
        <f ca="1">'预评函-2（2）'!G4</f>
        <v>5230</v>
      </c>
    </row>
    <row r="42" spans="1:2" s="1176" customFormat="1" ht="15.75" thickBot="1">
      <c r="A42" s="1180" t="s">
        <v>1076</v>
      </c>
      <c r="B42" s="1168" t="str">
        <f ca="1">'预评函-2（2）'!F5</f>
        <v>叁拾柒万元整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18236</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6"/>
  </cols>
  <sheetData>
    <row r="1" spans="1:17" ht="13.5" thickBot="1">
      <c r="A1" s="2557" t="s">
        <v>1470</v>
      </c>
      <c r="B1" s="2558" t="str">
        <f>IF(B6="北京市","北京市",C6)&amp;IF(E12="房屋所有权证",B29,E29)&amp;D5&amp;"预评估"</f>
        <v>北京市房地产抵押价值预评估</v>
      </c>
      <c r="C1" s="822"/>
      <c r="D1" s="822"/>
      <c r="E1" s="822"/>
      <c r="F1" s="1394" t="s">
        <v>1471</v>
      </c>
      <c r="G1" s="1160"/>
      <c r="I1" s="2885" t="str">
        <f>IF(B6="北京市","北京市",C6)&amp;IF(E12="房屋所有权证",B29,E29)&amp;"房地产"</f>
        <v>北京市房地产</v>
      </c>
      <c r="J1" s="799"/>
      <c r="K1" s="2887"/>
      <c r="L1" s="2887"/>
      <c r="M1" s="2887"/>
      <c r="N1" s="799"/>
      <c r="O1" s="799"/>
      <c r="P1" s="799"/>
      <c r="Q1" s="799"/>
    </row>
    <row r="2" spans="1:17" ht="13.5" thickTop="1">
      <c r="A2" s="1395" t="s">
        <v>1472</v>
      </c>
      <c r="B2" s="2559">
        <v>44777</v>
      </c>
      <c r="C2" s="2857" t="s">
        <v>1473</v>
      </c>
      <c r="D2" s="2559">
        <f>B2</f>
        <v>44777</v>
      </c>
      <c r="E2" s="823"/>
      <c r="F2" s="823"/>
      <c r="G2" s="1161"/>
      <c r="H2" s="2869"/>
    </row>
    <row r="3" spans="1:17" ht="13.5" thickBot="1">
      <c r="A3" s="2560" t="s">
        <v>1474</v>
      </c>
      <c r="B3" s="2561"/>
      <c r="C3" s="2562">
        <f>SUMIF(注册房地产估价师,B3,估价师及机构信息!B3:B16)</f>
        <v>0</v>
      </c>
      <c r="D3" s="2561"/>
      <c r="E3" s="2563">
        <f>SUMIF(注册房地产估价师,D3,估价师及机构信息!B3:B16)</f>
        <v>0</v>
      </c>
      <c r="F3" s="824"/>
      <c r="G3" s="1162"/>
      <c r="H3" s="2869"/>
    </row>
    <row r="4" spans="1:17" ht="13.5" customHeight="1" thickTop="1">
      <c r="A4" s="1395" t="s">
        <v>1475</v>
      </c>
      <c r="B4" s="1396" t="s">
        <v>2661</v>
      </c>
      <c r="C4" s="2858" t="s">
        <v>1476</v>
      </c>
      <c r="D4" s="1397" t="s">
        <v>2981</v>
      </c>
      <c r="E4" s="823"/>
      <c r="F4" s="823"/>
      <c r="G4" s="1161"/>
    </row>
    <row r="5" spans="1:17">
      <c r="A5" s="1398" t="s">
        <v>1477</v>
      </c>
      <c r="B5" s="3343" t="s">
        <v>3105</v>
      </c>
      <c r="C5" s="2859" t="s">
        <v>1478</v>
      </c>
      <c r="D5" s="1400" t="s">
        <v>2982</v>
      </c>
      <c r="E5" s="2860" t="s">
        <v>1479</v>
      </c>
      <c r="F5" s="1400" t="s">
        <v>2982</v>
      </c>
      <c r="G5" s="1401"/>
      <c r="I5" s="2885" t="str">
        <f>IF(C16="否","截至估价时点，估价对象抵押权未见登记。","截至价值时点，估价对象已设定抵押。")</f>
        <v>截至价值时点，估价对象已设定抵押。</v>
      </c>
      <c r="J5" s="799"/>
      <c r="K5" s="2887"/>
      <c r="L5" s="2887"/>
      <c r="M5" s="2887"/>
      <c r="N5" s="799"/>
      <c r="O5" s="799"/>
      <c r="P5" s="799"/>
      <c r="Q5" s="799"/>
    </row>
    <row r="6" spans="1:17">
      <c r="A6" s="2861" t="s">
        <v>1480</v>
      </c>
      <c r="B6" s="2564" t="s">
        <v>2977</v>
      </c>
      <c r="C6" s="2565"/>
      <c r="D6" s="2566" t="s">
        <v>1481</v>
      </c>
      <c r="E6" s="810"/>
      <c r="F6" s="810"/>
      <c r="G6" s="829"/>
      <c r="I6" s="799" t="str">
        <f>IF(COUNTIF(B5,"*上海银行*"),"上海银行","")</f>
        <v/>
      </c>
      <c r="J6" s="799"/>
      <c r="K6" s="2887"/>
      <c r="L6" s="2887"/>
      <c r="M6" s="2887"/>
      <c r="N6" s="799"/>
      <c r="O6" s="799"/>
      <c r="P6" s="799"/>
      <c r="Q6" s="799"/>
    </row>
    <row r="7" spans="1:17" ht="13.5" thickBot="1">
      <c r="A7" s="2862" t="s">
        <v>1482</v>
      </c>
      <c r="B7" s="2567" t="s">
        <v>3104</v>
      </c>
      <c r="C7" s="1492" t="str">
        <f>IF(B7="自然人","姓名","名称")</f>
        <v>姓名</v>
      </c>
      <c r="D7" s="1405"/>
      <c r="E7" s="824"/>
      <c r="F7" s="824"/>
      <c r="G7" s="1162"/>
    </row>
    <row r="8" spans="1:17" ht="13.5" thickTop="1">
      <c r="A8" s="3406" t="s">
        <v>1483</v>
      </c>
      <c r="B8" s="1406" t="s">
        <v>1484</v>
      </c>
      <c r="C8" s="3418">
        <v>1102</v>
      </c>
      <c r="D8" s="3419"/>
      <c r="E8" s="2568" t="s">
        <v>1485</v>
      </c>
      <c r="F8" s="2569" t="s">
        <v>1486</v>
      </c>
      <c r="G8" s="2570">
        <f>C6</f>
        <v>0</v>
      </c>
    </row>
    <row r="9" spans="1:17" ht="25.5">
      <c r="A9" s="3406"/>
      <c r="B9" s="259" t="s">
        <v>1487</v>
      </c>
      <c r="C9" s="3343" t="s">
        <v>3106</v>
      </c>
      <c r="D9" s="1407" t="s">
        <v>2978</v>
      </c>
      <c r="E9" s="2863" t="s">
        <v>1488</v>
      </c>
      <c r="F9" s="2571"/>
      <c r="G9" s="2572"/>
    </row>
    <row r="10" spans="1:17" ht="13.5" thickBot="1">
      <c r="A10" s="3406"/>
      <c r="B10" s="259" t="s">
        <v>1489</v>
      </c>
      <c r="C10" s="3420"/>
      <c r="D10" s="3421"/>
      <c r="E10" s="2864" t="s">
        <v>1490</v>
      </c>
      <c r="F10" s="2573"/>
      <c r="G10" s="2574"/>
    </row>
    <row r="11" spans="1:17" ht="13.5" thickBot="1">
      <c r="A11" s="3406"/>
      <c r="B11" s="1409" t="s">
        <v>1491</v>
      </c>
      <c r="C11" s="3422"/>
      <c r="D11" s="3423"/>
      <c r="E11" s="810"/>
      <c r="F11" s="810"/>
      <c r="G11" s="829"/>
    </row>
    <row r="12" spans="1:17" ht="13.5" thickBot="1">
      <c r="A12" s="3409" t="s">
        <v>2768</v>
      </c>
      <c r="B12" s="2865" t="s">
        <v>1492</v>
      </c>
      <c r="C12" s="807">
        <v>70.739999999999995</v>
      </c>
      <c r="D12" s="1410" t="s">
        <v>1493</v>
      </c>
      <c r="E12" s="1411"/>
      <c r="F12" s="1412"/>
      <c r="G12" s="829"/>
    </row>
    <row r="13" spans="1:17" ht="21" customHeight="1" thickBot="1">
      <c r="A13" s="3410"/>
      <c r="B13" s="2866" t="s">
        <v>1494</v>
      </c>
      <c r="C13" s="808"/>
      <c r="D13" s="1413" t="s">
        <v>1495</v>
      </c>
      <c r="E13" s="1414"/>
      <c r="F13" s="810"/>
      <c r="G13" s="829"/>
      <c r="I13" s="3395" t="s">
        <v>1496</v>
      </c>
      <c r="J13" s="2886" t="str">
        <f>"根据估价对象"&amp;IF(B19="——",B18&amp;C18,B18&amp;C18&amp;"、"&amp;B19&amp;C19)&amp;"，"&amp;IF(C16="是","截至价值时点，估价对象已设定抵押。","截至价值时点，估价对象抵押权未见登记。")</f>
        <v>根据估价对象、，截至价值时点，估价对象已设定抵押。</v>
      </c>
      <c r="K13" s="2887"/>
      <c r="L13" s="2887"/>
      <c r="M13" s="2887"/>
      <c r="N13" s="799"/>
      <c r="O13" s="799"/>
      <c r="P13" s="799"/>
      <c r="Q13" s="799"/>
    </row>
    <row r="14" spans="1:17" ht="13.5" thickBot="1">
      <c r="A14" s="2575"/>
      <c r="B14" s="2880" t="s">
        <v>2769</v>
      </c>
      <c r="C14" s="2576"/>
      <c r="D14" s="810"/>
      <c r="E14" s="810"/>
      <c r="F14" s="810"/>
      <c r="G14" s="829"/>
      <c r="I14" s="3395"/>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7"/>
      <c r="L14" s="2887"/>
      <c r="M14" s="2887"/>
      <c r="N14" s="799"/>
      <c r="O14" s="799"/>
      <c r="P14" s="799"/>
      <c r="Q14" s="799"/>
    </row>
    <row r="15" spans="1:17" ht="13.5" thickBot="1">
      <c r="A15" s="2577"/>
      <c r="B15" s="2867" t="s">
        <v>1497</v>
      </c>
      <c r="C15" s="825">
        <v>2.5</v>
      </c>
      <c r="D15" s="824"/>
      <c r="E15" s="824"/>
      <c r="F15" s="824"/>
      <c r="G15" s="1162"/>
      <c r="I15" s="3395"/>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799"/>
      <c r="O15" s="799"/>
      <c r="P15" s="799"/>
      <c r="Q15" s="799"/>
    </row>
    <row r="16" spans="1:17" ht="27" thickTop="1" thickBot="1">
      <c r="A16" s="2575" t="s">
        <v>1498</v>
      </c>
      <c r="B16" s="1415" t="s">
        <v>1499</v>
      </c>
      <c r="C16" s="2578" t="s">
        <v>2979</v>
      </c>
      <c r="D16" s="1408" t="s">
        <v>1500</v>
      </c>
      <c r="E16" s="2579" t="s">
        <v>2980</v>
      </c>
      <c r="F16" s="1416" t="str">
        <f>IF(AND(C16="是",E16="否"),"是否提供他项权证或相关说明","")</f>
        <v>是否提供他项权证或相关说明</v>
      </c>
      <c r="G16" s="2579"/>
      <c r="J16" s="2869"/>
    </row>
    <row r="17" spans="1:66" ht="13.5" customHeight="1">
      <c r="A17" s="1422" t="s">
        <v>1501</v>
      </c>
      <c r="B17" s="3424" t="s">
        <v>1502</v>
      </c>
      <c r="C17" s="3425"/>
      <c r="D17" s="3426" t="s">
        <v>1503</v>
      </c>
      <c r="E17" s="3427"/>
      <c r="F17" s="1417" t="s">
        <v>1504</v>
      </c>
      <c r="G17" s="1418"/>
      <c r="J17" s="2869"/>
    </row>
    <row r="18" spans="1:66" ht="24">
      <c r="A18" s="1422"/>
      <c r="B18" s="2580"/>
      <c r="C18" s="1401"/>
      <c r="D18" s="1419" t="s">
        <v>1505</v>
      </c>
      <c r="E18" s="1420"/>
      <c r="F18" s="1421"/>
      <c r="G18" s="1285"/>
      <c r="H18" s="2869"/>
      <c r="J18" s="2869"/>
    </row>
    <row r="19" spans="1:66" ht="21.75" customHeight="1" thickBot="1">
      <c r="A19" s="1422"/>
      <c r="B19" s="2581"/>
      <c r="C19" s="1414"/>
      <c r="D19" s="1422"/>
      <c r="E19" s="810"/>
      <c r="F19" s="810"/>
      <c r="G19" s="1285"/>
    </row>
    <row r="20" spans="1:66">
      <c r="A20" s="1418" t="s">
        <v>1506</v>
      </c>
      <c r="B20" s="2582" t="s">
        <v>1507</v>
      </c>
      <c r="C20" s="2583"/>
      <c r="D20" s="2584" t="s">
        <v>1507</v>
      </c>
      <c r="E20" s="2583"/>
      <c r="F20" s="810"/>
      <c r="G20" s="1285"/>
    </row>
    <row r="21" spans="1:66">
      <c r="A21" s="1285"/>
      <c r="B21" s="2585" t="s">
        <v>1508</v>
      </c>
      <c r="C21" s="2852"/>
      <c r="D21" s="1422" t="s">
        <v>1508</v>
      </c>
      <c r="E21" s="2586"/>
      <c r="F21" s="810"/>
      <c r="G21" s="1285"/>
    </row>
    <row r="22" spans="1:66">
      <c r="A22" s="1285"/>
      <c r="B22" s="810" t="s">
        <v>1509</v>
      </c>
      <c r="C22" s="2587"/>
      <c r="D22" s="810" t="s">
        <v>1509</v>
      </c>
      <c r="E22" s="2586"/>
      <c r="F22" s="810"/>
      <c r="G22" s="1285"/>
    </row>
    <row r="23" spans="1:66" s="2851" customFormat="1" ht="16.5" thickBot="1">
      <c r="A23" s="1286"/>
      <c r="B23" s="828" t="s">
        <v>1510</v>
      </c>
      <c r="C23" s="808"/>
      <c r="D23" s="828" t="s">
        <v>1511</v>
      </c>
      <c r="E23" s="2588"/>
      <c r="F23" s="828"/>
      <c r="G23" s="1286"/>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405" t="s">
        <v>2767</v>
      </c>
      <c r="B24" s="3405"/>
      <c r="C24" s="3405"/>
      <c r="D24" s="3405"/>
      <c r="E24" s="3405"/>
      <c r="F24" s="3405"/>
      <c r="G24" s="3405"/>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7" t="s">
        <v>1512</v>
      </c>
      <c r="B25" s="810"/>
      <c r="C25" s="810"/>
      <c r="D25" s="810"/>
      <c r="E25" s="810"/>
      <c r="F25" s="810"/>
      <c r="G25" s="1286"/>
      <c r="K25" s="2870"/>
    </row>
    <row r="26" spans="1:66" s="835" customFormat="1" ht="13.5" thickBot="1">
      <c r="A26" s="2589"/>
      <c r="B26" s="806" t="s">
        <v>1513</v>
      </c>
      <c r="C26" s="2589"/>
      <c r="D26" s="806"/>
      <c r="E26" s="2590" t="s">
        <v>1514</v>
      </c>
      <c r="F26" s="2589"/>
      <c r="G26" s="2591"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5" customFormat="1" ht="13.5" thickBot="1">
      <c r="A27" s="2589"/>
      <c r="B27" s="2592"/>
      <c r="C27" s="2589"/>
      <c r="D27" s="806"/>
      <c r="E27" s="2592"/>
      <c r="F27" s="2589"/>
      <c r="G27" s="2593"/>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2" t="s">
        <v>1516</v>
      </c>
      <c r="B28" s="800"/>
      <c r="C28" s="3412" t="s">
        <v>1516</v>
      </c>
      <c r="D28" s="3413"/>
      <c r="E28" s="800"/>
      <c r="F28" s="802" t="s">
        <v>1516</v>
      </c>
      <c r="G28" s="800"/>
      <c r="K28" s="2870"/>
    </row>
    <row r="29" spans="1:66">
      <c r="A29" s="803" t="s">
        <v>1517</v>
      </c>
      <c r="B29" s="797"/>
      <c r="C29" s="3414" t="s">
        <v>1518</v>
      </c>
      <c r="D29" s="3415"/>
      <c r="E29" s="797"/>
      <c r="F29" s="803" t="s">
        <v>1518</v>
      </c>
      <c r="G29" s="797"/>
      <c r="K29" s="2870"/>
    </row>
    <row r="30" spans="1:66">
      <c r="A30" s="803" t="s">
        <v>1519</v>
      </c>
      <c r="B30" s="797"/>
      <c r="C30" s="3414" t="s">
        <v>1519</v>
      </c>
      <c r="D30" s="3415"/>
      <c r="E30" s="797"/>
      <c r="F30" s="803" t="s">
        <v>1520</v>
      </c>
      <c r="G30" s="797"/>
      <c r="K30" s="2870"/>
    </row>
    <row r="31" spans="1:66">
      <c r="A31" s="803" t="s">
        <v>1521</v>
      </c>
      <c r="B31" s="797"/>
      <c r="C31" s="3402" t="s">
        <v>1522</v>
      </c>
      <c r="D31" s="810"/>
      <c r="E31" s="2594" t="str">
        <f>E32&amp;" "&amp;E33&amp;" "&amp;E34&amp;" "&amp;E35</f>
        <v xml:space="preserve">   </v>
      </c>
      <c r="F31" s="803" t="s">
        <v>1523</v>
      </c>
      <c r="G31" s="797"/>
    </row>
    <row r="32" spans="1:66">
      <c r="A32" s="803" t="s">
        <v>1524</v>
      </c>
      <c r="B32" s="797"/>
      <c r="C32" s="3403"/>
      <c r="D32" s="259" t="s">
        <v>1525</v>
      </c>
      <c r="E32" s="797"/>
      <c r="F32" s="803" t="s">
        <v>1526</v>
      </c>
      <c r="G32" s="797"/>
    </row>
    <row r="33" spans="1:7" ht="24.75" thickBot="1">
      <c r="A33" s="804" t="s">
        <v>1527</v>
      </c>
      <c r="B33" s="801"/>
      <c r="C33" s="3403"/>
      <c r="D33" s="259" t="s">
        <v>1528</v>
      </c>
      <c r="E33" s="797"/>
      <c r="F33" s="803" t="s">
        <v>1529</v>
      </c>
      <c r="G33" s="797"/>
    </row>
    <row r="34" spans="1:7">
      <c r="A34" s="802" t="s">
        <v>1530</v>
      </c>
      <c r="B34" s="800"/>
      <c r="C34" s="3403"/>
      <c r="D34" s="259" t="s">
        <v>1531</v>
      </c>
      <c r="E34" s="797"/>
      <c r="F34" s="803" t="s">
        <v>1532</v>
      </c>
      <c r="G34" s="797"/>
    </row>
    <row r="35" spans="1:7" ht="13.5" thickBot="1">
      <c r="A35" s="803" t="s">
        <v>1533</v>
      </c>
      <c r="B35" s="797"/>
      <c r="C35" s="3404"/>
      <c r="D35" s="259" t="s">
        <v>1534</v>
      </c>
      <c r="E35" s="797"/>
      <c r="F35" s="804" t="s">
        <v>1535</v>
      </c>
      <c r="G35" s="2595"/>
    </row>
    <row r="36" spans="1:7">
      <c r="A36" s="803" t="s">
        <v>1492</v>
      </c>
      <c r="B36" s="797"/>
      <c r="C36" s="3414" t="s">
        <v>1536</v>
      </c>
      <c r="D36" s="3415"/>
      <c r="E36" s="797"/>
      <c r="F36" s="2596" t="s">
        <v>1537</v>
      </c>
      <c r="G36" s="800"/>
    </row>
    <row r="37" spans="1:7" ht="13.5" thickBot="1">
      <c r="A37" s="803" t="s">
        <v>1538</v>
      </c>
      <c r="B37" s="797"/>
      <c r="C37" s="3416" t="s">
        <v>1539</v>
      </c>
      <c r="D37" s="3417"/>
      <c r="E37" s="801"/>
      <c r="F37" s="1430" t="s">
        <v>1540</v>
      </c>
      <c r="G37" s="797"/>
    </row>
    <row r="38" spans="1:7" ht="13.5" thickBot="1">
      <c r="A38" s="803" t="s">
        <v>1541</v>
      </c>
      <c r="B38" s="797"/>
      <c r="C38" s="3400" t="s">
        <v>1542</v>
      </c>
      <c r="D38" s="1410" t="s">
        <v>1526</v>
      </c>
      <c r="E38" s="800"/>
      <c r="F38" s="804" t="s">
        <v>1543</v>
      </c>
      <c r="G38" s="801"/>
    </row>
    <row r="39" spans="1:7">
      <c r="A39" s="803" t="s">
        <v>1544</v>
      </c>
      <c r="B39" s="797"/>
      <c r="C39" s="3407"/>
      <c r="D39" s="259" t="s">
        <v>1533</v>
      </c>
      <c r="E39" s="797"/>
      <c r="F39" s="802" t="s">
        <v>1545</v>
      </c>
      <c r="G39" s="800"/>
    </row>
    <row r="40" spans="1:7">
      <c r="A40" s="803" t="s">
        <v>1546</v>
      </c>
      <c r="B40" s="797"/>
      <c r="C40" s="3407" t="s">
        <v>1547</v>
      </c>
      <c r="D40" s="259" t="s">
        <v>1492</v>
      </c>
      <c r="E40" s="797"/>
      <c r="F40" s="803" t="s">
        <v>1548</v>
      </c>
      <c r="G40" s="797"/>
    </row>
    <row r="41" spans="1:7" ht="24.75" customHeight="1" thickBot="1">
      <c r="A41" s="804" t="s">
        <v>1549</v>
      </c>
      <c r="B41" s="801"/>
      <c r="C41" s="3408"/>
      <c r="D41" s="1413" t="s">
        <v>1494</v>
      </c>
      <c r="E41" s="801"/>
      <c r="F41" s="804" t="s">
        <v>1550</v>
      </c>
      <c r="G41" s="801"/>
    </row>
    <row r="42" spans="1:7">
      <c r="A42" s="805" t="s">
        <v>1551</v>
      </c>
      <c r="B42" s="2597"/>
      <c r="C42" s="3396" t="s">
        <v>1551</v>
      </c>
      <c r="D42" s="3397"/>
      <c r="E42" s="2597"/>
      <c r="F42" s="802" t="s">
        <v>1552</v>
      </c>
      <c r="G42" s="2597"/>
    </row>
    <row r="43" spans="1:7">
      <c r="A43" s="820" t="s">
        <v>1553</v>
      </c>
      <c r="B43" s="2598"/>
      <c r="C43" s="1422"/>
      <c r="D43" s="2585"/>
      <c r="E43" s="2598"/>
      <c r="F43" s="820"/>
      <c r="G43" s="2598"/>
    </row>
    <row r="44" spans="1:7">
      <c r="A44" s="820" t="s">
        <v>1507</v>
      </c>
      <c r="B44" s="821"/>
      <c r="C44" s="1422"/>
      <c r="D44" s="1488" t="s">
        <v>1507</v>
      </c>
      <c r="E44" s="821"/>
      <c r="F44" s="820" t="s">
        <v>1507</v>
      </c>
      <c r="G44" s="821"/>
    </row>
    <row r="45" spans="1:7">
      <c r="A45" s="820" t="s">
        <v>1508</v>
      </c>
      <c r="B45" s="821"/>
      <c r="C45" s="1422"/>
      <c r="D45" s="2585" t="s">
        <v>1508</v>
      </c>
      <c r="E45" s="821"/>
      <c r="F45" s="820" t="s">
        <v>1508</v>
      </c>
      <c r="G45" s="821"/>
    </row>
    <row r="46" spans="1:7">
      <c r="A46" s="820" t="s">
        <v>1509</v>
      </c>
      <c r="B46" s="821"/>
      <c r="C46" s="1422"/>
      <c r="D46" s="2585" t="s">
        <v>1509</v>
      </c>
      <c r="E46" s="821"/>
      <c r="F46" s="820" t="s">
        <v>1509</v>
      </c>
      <c r="G46" s="821"/>
    </row>
    <row r="47" spans="1:7">
      <c r="A47" s="820" t="s">
        <v>1510</v>
      </c>
      <c r="B47" s="821"/>
      <c r="C47" s="1422"/>
      <c r="D47" s="2585" t="s">
        <v>1510</v>
      </c>
      <c r="E47" s="821"/>
      <c r="F47" s="820" t="s">
        <v>1510</v>
      </c>
      <c r="G47" s="821"/>
    </row>
    <row r="48" spans="1:7">
      <c r="A48" s="820"/>
      <c r="B48" s="821"/>
      <c r="C48" s="1422"/>
      <c r="D48" s="2585"/>
      <c r="E48" s="821"/>
      <c r="F48" s="820"/>
      <c r="G48" s="821"/>
    </row>
    <row r="49" spans="1:66" ht="13.5" thickBot="1">
      <c r="A49" s="804" t="s">
        <v>1554</v>
      </c>
      <c r="B49" s="801"/>
      <c r="C49" s="3398" t="s">
        <v>1554</v>
      </c>
      <c r="D49" s="3399"/>
      <c r="E49" s="819"/>
      <c r="F49" s="804" t="s">
        <v>1555</v>
      </c>
      <c r="G49" s="801"/>
    </row>
    <row r="50" spans="1:66">
      <c r="A50" s="803" t="s">
        <v>1556</v>
      </c>
      <c r="B50" s="818"/>
      <c r="C50" s="3400" t="s">
        <v>1557</v>
      </c>
      <c r="D50" s="3401"/>
      <c r="E50" s="2599"/>
      <c r="F50" s="836"/>
      <c r="G50" s="837"/>
    </row>
    <row r="51" spans="1:66" ht="13.5" thickBot="1">
      <c r="A51" s="803" t="s">
        <v>1558</v>
      </c>
      <c r="B51" s="818"/>
      <c r="C51" s="3408" t="s">
        <v>1559</v>
      </c>
      <c r="D51" s="3411"/>
      <c r="E51" s="801"/>
      <c r="F51" s="810"/>
      <c r="G51" s="829"/>
    </row>
    <row r="52" spans="1:66">
      <c r="A52" s="803" t="s">
        <v>1537</v>
      </c>
      <c r="B52" s="797"/>
      <c r="C52" s="810"/>
      <c r="D52" s="810"/>
      <c r="E52" s="810"/>
      <c r="F52" s="810"/>
      <c r="G52" s="829"/>
    </row>
    <row r="53" spans="1:66" ht="24.75" thickBot="1">
      <c r="A53" s="804" t="s">
        <v>1560</v>
      </c>
      <c r="B53" s="2595"/>
      <c r="C53" s="828"/>
      <c r="D53" s="828"/>
      <c r="E53" s="828"/>
      <c r="F53" s="828"/>
      <c r="G53" s="830"/>
    </row>
    <row r="57" spans="1:66" s="809"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09"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09"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09"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09"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09"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09"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36"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55" customWidth="1"/>
    <col min="2" max="2" width="16.75" style="2601" customWidth="1"/>
    <col min="3" max="3" width="18.25" style="2641" customWidth="1"/>
    <col min="4" max="4" width="34.125" style="2656" customWidth="1"/>
    <col min="5" max="5" width="17.625" style="2656" customWidth="1"/>
    <col min="6" max="6" width="15.5" style="2600" customWidth="1"/>
    <col min="7" max="8" width="9.125" style="2934"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1"/>
  </cols>
  <sheetData>
    <row r="1" spans="1:41" ht="19.5" thickBot="1">
      <c r="A1" s="2888" t="s">
        <v>1561</v>
      </c>
      <c r="B1" s="945"/>
      <c r="D1" s="2600"/>
      <c r="E1" s="2600"/>
    </row>
    <row r="2" spans="1:41" s="2604" customFormat="1" ht="15.75" thickBot="1">
      <c r="A2" s="2889" t="s">
        <v>1562</v>
      </c>
      <c r="B2" s="2890">
        <f>项目基本情况!D2</f>
        <v>44777</v>
      </c>
      <c r="C2" s="1652"/>
      <c r="D2" s="3430" t="s">
        <v>1563</v>
      </c>
      <c r="E2" s="2602"/>
      <c r="F2" s="2603"/>
      <c r="G2" s="2935"/>
      <c r="H2" s="2935"/>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3033</v>
      </c>
      <c r="C3" s="1652"/>
      <c r="D3" s="3431"/>
      <c r="E3" s="2606" t="s">
        <v>2980</v>
      </c>
      <c r="F3" s="2603"/>
      <c r="G3" s="2935"/>
      <c r="H3" s="2935"/>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2983</v>
      </c>
      <c r="C4" s="1652"/>
      <c r="D4" s="3431"/>
      <c r="E4" s="2606"/>
      <c r="F4" s="2603"/>
      <c r="G4" s="2935"/>
      <c r="H4" s="2935"/>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70.739999999999995</v>
      </c>
      <c r="C5" s="1652"/>
      <c r="D5" s="2891" t="s">
        <v>1567</v>
      </c>
      <c r="E5" s="2609">
        <f>B5</f>
        <v>70.739999999999995</v>
      </c>
      <c r="F5" s="2603"/>
      <c r="G5" s="2935"/>
      <c r="H5" s="2935"/>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1" t="s">
        <v>1569</v>
      </c>
      <c r="E6" s="2609"/>
      <c r="F6" s="2603"/>
      <c r="G6" s="2935"/>
      <c r="H6" s="2935"/>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7"/>
      <c r="D7" s="2938"/>
      <c r="E7" s="2938"/>
      <c r="F7" s="2935"/>
      <c r="G7" s="2935"/>
      <c r="H7" s="2935"/>
    </row>
    <row r="8" spans="1:41" s="1652" customFormat="1" ht="15" hidden="1">
      <c r="A8" s="2937"/>
      <c r="D8" s="2938"/>
      <c r="E8" s="2938"/>
      <c r="F8" s="2935"/>
      <c r="G8" s="2935"/>
      <c r="H8" s="2935"/>
    </row>
    <row r="9" spans="1:41" s="1652" customFormat="1" ht="15" hidden="1" thickBot="1">
      <c r="C9" s="3057"/>
      <c r="D9" s="2935"/>
      <c r="E9" s="2935"/>
      <c r="F9" s="2935"/>
      <c r="G9" s="2935"/>
      <c r="H9" s="2935"/>
    </row>
    <row r="10" spans="1:41" s="2604" customFormat="1" ht="15" thickBot="1">
      <c r="A10" s="2892" t="s">
        <v>1570</v>
      </c>
      <c r="B10" s="2613" t="s">
        <v>3088</v>
      </c>
      <c r="C10" s="1652"/>
      <c r="D10" s="2889" t="s">
        <v>1571</v>
      </c>
      <c r="E10" s="2893" t="s">
        <v>1572</v>
      </c>
      <c r="F10" s="3058"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4" t="s">
        <v>1573</v>
      </c>
      <c r="B11" s="2615">
        <v>50</v>
      </c>
      <c r="C11" s="1652"/>
      <c r="D11" s="2895" t="s">
        <v>1574</v>
      </c>
      <c r="E11" s="2616"/>
      <c r="F11" s="1280" t="s">
        <v>1575</v>
      </c>
      <c r="G11" s="1652"/>
      <c r="H11" s="1652"/>
      <c r="I11" s="1652"/>
      <c r="J11" s="1652"/>
      <c r="K11" s="1652"/>
      <c r="L11" s="2677"/>
      <c r="M11" s="2677"/>
      <c r="N11" s="2677"/>
      <c r="O11" s="2677"/>
      <c r="P11" s="2677"/>
      <c r="Q11" s="2677"/>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6" t="s">
        <v>1576</v>
      </c>
      <c r="B12" s="2618">
        <v>59636</v>
      </c>
      <c r="C12" s="1652"/>
      <c r="D12" s="2896" t="s">
        <v>1577</v>
      </c>
      <c r="E12" s="2619">
        <v>200</v>
      </c>
      <c r="F12" s="1279"/>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7" t="s">
        <v>1578</v>
      </c>
      <c r="B13" s="2898">
        <f>IF(B12="",B11-(YEAR($B$2)-B27+B24),ROUNDDOWN(MIN((B12-$B$2)/365,B11),2))</f>
        <v>40.700000000000003</v>
      </c>
      <c r="C13" s="2933"/>
      <c r="D13" s="2899" t="s">
        <v>1579</v>
      </c>
      <c r="E13" s="2620"/>
      <c r="F13" s="1278"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6" t="s">
        <v>1581</v>
      </c>
      <c r="B14" s="2900">
        <f>IF(ISERROR(ROUND(POWER(1+B15,B11-B13)*(POWER(1+B15,B13)-1)/(POWER(1+B15,B11)-1),3)),0,ROUND(POWER(1+B15,B11-B13)*(POWER(1+B15,B13)-1)/(POWER(1+B15,B11)-1),3))</f>
        <v>0.94499999999999995</v>
      </c>
      <c r="C14" s="1652"/>
      <c r="D14" s="2901" t="s">
        <v>1582</v>
      </c>
      <c r="E14" s="2621">
        <v>200</v>
      </c>
      <c r="F14" s="1279"/>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6" t="s">
        <v>1583</v>
      </c>
      <c r="B15" s="2622">
        <v>0.05</v>
      </c>
      <c r="C15" s="2530" t="s">
        <v>2779</v>
      </c>
      <c r="D15" s="2896" t="s">
        <v>1584</v>
      </c>
      <c r="E15" s="2902">
        <f>E14-E16</f>
        <v>200</v>
      </c>
      <c r="F15" s="1279"/>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6" t="s">
        <v>1585</v>
      </c>
      <c r="B16" s="2622">
        <v>5.5E-2</v>
      </c>
      <c r="C16" s="2530" t="s">
        <v>2780</v>
      </c>
      <c r="D16" s="2903" t="s">
        <v>1586</v>
      </c>
      <c r="E16" s="2623">
        <v>0</v>
      </c>
      <c r="F16" s="1278"/>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3" t="s">
        <v>2777</v>
      </c>
      <c r="B17" s="3056">
        <v>7.4999999999999997E-2</v>
      </c>
      <c r="C17" s="2530" t="s">
        <v>2781</v>
      </c>
      <c r="D17" s="2892" t="s">
        <v>1588</v>
      </c>
      <c r="E17" s="3339">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4" t="s">
        <v>1587</v>
      </c>
      <c r="B18" s="3064"/>
      <c r="C18" s="1652"/>
      <c r="D18" s="2905" t="str">
        <f>IF(B26=0,"建安总额","在建建安")</f>
        <v>建安总额</v>
      </c>
      <c r="E18" s="2906">
        <f>ROUND(B5*E17*IF(B26=0,1,E20),0)</f>
        <v>247590</v>
      </c>
      <c r="F18" s="2624">
        <f>ROUND(E5*E17*IF(B26=0,1,E20),0)</f>
        <v>247590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79"/>
      <c r="B19" s="1279"/>
      <c r="C19" s="1652"/>
      <c r="D19" s="2905" t="str">
        <f>IF(B26=0,"——","续建建安")</f>
        <v>——</v>
      </c>
      <c r="E19" s="2906" t="str">
        <f>IF(B26=0,"——",ROUND(B5*E17*(1-E20),0))</f>
        <v>——</v>
      </c>
      <c r="F19" s="2624"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7" t="s">
        <v>1589</v>
      </c>
      <c r="B20" s="1279"/>
      <c r="C20" s="1652"/>
      <c r="D20" s="2909" t="str">
        <f>IF(B26=0,"成新率","工程进度")</f>
        <v>成新率</v>
      </c>
      <c r="E20" s="2626">
        <f>F20</f>
        <v>0.88</v>
      </c>
      <c r="F20" s="945">
        <f>ROUND(1-(2022-B27)/60,2)</f>
        <v>0.88</v>
      </c>
      <c r="G20" s="1652">
        <v>0.9</v>
      </c>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8" t="s">
        <v>1590</v>
      </c>
      <c r="B21" s="2625">
        <v>0</v>
      </c>
      <c r="C21" s="1652"/>
      <c r="D21" s="2896" t="s">
        <v>1592</v>
      </c>
      <c r="E21" s="2628">
        <v>0.05</v>
      </c>
      <c r="F21" s="2639"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0" t="s">
        <v>1591</v>
      </c>
      <c r="B22" s="2627">
        <v>2</v>
      </c>
      <c r="C22" s="1652"/>
      <c r="D22" s="2896" t="s">
        <v>1594</v>
      </c>
      <c r="E22" s="2631"/>
      <c r="F22" s="2639"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1" t="s">
        <v>1593</v>
      </c>
      <c r="B23" s="2630">
        <v>2</v>
      </c>
      <c r="C23" s="1652"/>
      <c r="D23" s="2896" t="s">
        <v>1596</v>
      </c>
      <c r="E23" s="2619">
        <v>200</v>
      </c>
      <c r="F23" s="2639"/>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2" t="s">
        <v>1595</v>
      </c>
      <c r="B24" s="2913">
        <f>B21+B22</f>
        <v>2</v>
      </c>
      <c r="C24" s="1652"/>
      <c r="D24" s="2903" t="s">
        <v>1598</v>
      </c>
      <c r="E24" s="2632">
        <v>1.4999999999999999E-2</v>
      </c>
      <c r="F24" s="2639"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4" t="s">
        <v>1597</v>
      </c>
      <c r="B25" s="2915">
        <f>B21+B23</f>
        <v>2</v>
      </c>
      <c r="C25" s="1652"/>
      <c r="D25" s="2895" t="s">
        <v>1600</v>
      </c>
      <c r="E25" s="2628">
        <v>0.03</v>
      </c>
      <c r="F25" s="2639" t="s">
        <v>2786</v>
      </c>
      <c r="I25" s="2934"/>
    </row>
    <row r="26" spans="1:41" ht="15" thickBot="1">
      <c r="A26" s="2912" t="s">
        <v>1599</v>
      </c>
      <c r="B26" s="2916">
        <f>B22-B23</f>
        <v>0</v>
      </c>
      <c r="D26" s="2896" t="s">
        <v>1602</v>
      </c>
      <c r="E26" s="2631">
        <v>0.03</v>
      </c>
      <c r="F26" s="2639" t="s">
        <v>2786</v>
      </c>
      <c r="G26" s="2935"/>
      <c r="H26" s="2935"/>
      <c r="I26" s="1652"/>
      <c r="J26" s="1652"/>
      <c r="K26" s="1652"/>
      <c r="L26" s="1652"/>
      <c r="M26" s="1652"/>
      <c r="N26" s="1652"/>
    </row>
    <row r="27" spans="1:41" ht="15.75" thickBot="1">
      <c r="A27" s="2917" t="s">
        <v>1601</v>
      </c>
      <c r="B27" s="2633">
        <v>2015</v>
      </c>
      <c r="C27" s="1652"/>
      <c r="D27" s="3123" t="s">
        <v>2985</v>
      </c>
      <c r="E27" s="2918">
        <f ca="1">IF(D27="利息：取LPR",存贷款利率!G1,存贷款利率!G1+F27)</f>
        <v>4.2000000000000003E-2</v>
      </c>
      <c r="F27" s="3124">
        <v>3.5000000000000001E-3</v>
      </c>
      <c r="G27" s="2935"/>
      <c r="H27" s="2935"/>
      <c r="K27" s="1652"/>
      <c r="N27" s="1652"/>
    </row>
    <row r="28" spans="1:41" ht="15" thickBot="1">
      <c r="A28" s="945"/>
      <c r="B28" s="945"/>
      <c r="D28" s="2899" t="s">
        <v>1604</v>
      </c>
      <c r="E28" s="2635">
        <v>0.2</v>
      </c>
      <c r="G28" s="2935"/>
      <c r="H28" s="2935"/>
      <c r="K28" s="1652"/>
      <c r="N28" s="1652"/>
    </row>
    <row r="29" spans="1:41" ht="14.25">
      <c r="A29" s="2919" t="s">
        <v>1603</v>
      </c>
      <c r="B29" s="2634" t="s">
        <v>2984</v>
      </c>
      <c r="D29" s="2901" t="s">
        <v>1605</v>
      </c>
      <c r="E29" s="2920">
        <f>E30+E31</f>
        <v>5.5000000000000007E-2</v>
      </c>
      <c r="F29" s="1278"/>
      <c r="G29" s="2935"/>
      <c r="H29" s="2935"/>
      <c r="K29" s="1652"/>
      <c r="N29" s="1652"/>
    </row>
    <row r="30" spans="1:41" ht="14.25">
      <c r="A30" s="2896" t="str">
        <f>IF(B29="租赁期内按合同租金","合同租金","市场租金")</f>
        <v>市场租金</v>
      </c>
      <c r="B30" s="2636">
        <v>2.5</v>
      </c>
      <c r="D30" s="2903" t="s">
        <v>1607</v>
      </c>
      <c r="E30" s="2637">
        <v>0.05</v>
      </c>
      <c r="F30" s="2922">
        <f>IF(B2&lt;DATE(2016,5,1),0,E30)</f>
        <v>0.05</v>
      </c>
      <c r="G30" s="2935"/>
      <c r="H30" s="2935"/>
      <c r="K30" s="1652"/>
      <c r="N30" s="1652"/>
    </row>
    <row r="31" spans="1:41" ht="14.25">
      <c r="A31" s="2896" t="s">
        <v>1606</v>
      </c>
      <c r="B31" s="2921">
        <f ca="1">存贷款利率!I1</f>
        <v>1.4999999999999999E-2</v>
      </c>
      <c r="D31" s="2903" t="s">
        <v>1609</v>
      </c>
      <c r="E31" s="2923">
        <f>E30*(E32+E33+E34)+E35</f>
        <v>5.000000000000001E-3</v>
      </c>
      <c r="F31" s="1278"/>
      <c r="G31" s="2935"/>
      <c r="H31" s="2935"/>
      <c r="K31" s="1652"/>
      <c r="N31" s="1652"/>
    </row>
    <row r="32" spans="1:41" ht="14.25">
      <c r="A32" s="2896" t="s">
        <v>1608</v>
      </c>
      <c r="B32" s="2622">
        <v>0.03</v>
      </c>
      <c r="D32" s="2903" t="s">
        <v>1611</v>
      </c>
      <c r="E32" s="2638">
        <v>0.05</v>
      </c>
      <c r="F32" s="2639" t="s">
        <v>2672</v>
      </c>
      <c r="G32" s="2935"/>
      <c r="H32" s="2935"/>
      <c r="K32" s="1652"/>
      <c r="L32" s="1652"/>
      <c r="M32" s="1652"/>
      <c r="N32" s="1652"/>
    </row>
    <row r="33" spans="1:14" ht="14.25">
      <c r="A33" s="2896" t="s">
        <v>1610</v>
      </c>
      <c r="B33" s="2622">
        <v>0.1</v>
      </c>
      <c r="D33" s="2903" t="s">
        <v>1613</v>
      </c>
      <c r="E33" s="2637">
        <v>0.03</v>
      </c>
      <c r="F33" s="1277" t="s">
        <v>1614</v>
      </c>
      <c r="G33" s="2935"/>
      <c r="H33" s="2935"/>
      <c r="K33" s="1652"/>
      <c r="L33" s="1652"/>
      <c r="M33" s="1652"/>
      <c r="N33" s="1652"/>
    </row>
    <row r="34" spans="1:14" s="2641" customFormat="1" ht="14.25">
      <c r="A34" s="2896" t="s">
        <v>1612</v>
      </c>
      <c r="B34" s="2924">
        <f>收益法!J54</f>
        <v>40.700000000000003</v>
      </c>
      <c r="D34" s="2903" t="s">
        <v>1615</v>
      </c>
      <c r="E34" s="2637">
        <v>0.02</v>
      </c>
      <c r="F34" s="1277" t="s">
        <v>1616</v>
      </c>
      <c r="G34" s="2935"/>
      <c r="H34" s="2935"/>
      <c r="I34" s="1652"/>
      <c r="J34" s="1652"/>
      <c r="K34" s="1652"/>
      <c r="L34" s="1652"/>
      <c r="M34" s="1652"/>
      <c r="N34" s="1652"/>
    </row>
    <row r="35" spans="1:14" s="2641" customFormat="1" ht="15" thickBot="1">
      <c r="A35" s="2903" t="str">
        <f>IF(B29="租赁期内按合同租金","剩余租赁期","——")</f>
        <v>——</v>
      </c>
      <c r="B35" s="2640"/>
      <c r="D35" s="2899" t="s">
        <v>1618</v>
      </c>
      <c r="E35" s="2643"/>
      <c r="F35" s="1280" t="s">
        <v>1619</v>
      </c>
      <c r="G35" s="2935"/>
      <c r="H35" s="2935"/>
      <c r="I35" s="1652"/>
      <c r="J35" s="1652"/>
      <c r="K35" s="1652"/>
      <c r="L35" s="1652"/>
      <c r="M35" s="1652"/>
      <c r="N35" s="1652"/>
    </row>
    <row r="36" spans="1:14" s="2641" customFormat="1" ht="15">
      <c r="A36" s="2925" t="s">
        <v>1617</v>
      </c>
      <c r="B36" s="2926"/>
      <c r="D36" s="2927" t="s">
        <v>1620</v>
      </c>
      <c r="E36" s="2645">
        <v>0.03</v>
      </c>
      <c r="F36" s="1279" t="s">
        <v>1621</v>
      </c>
      <c r="G36" s="2935"/>
      <c r="H36" s="2935"/>
      <c r="I36" s="1652"/>
      <c r="J36" s="1652"/>
      <c r="K36" s="1652"/>
      <c r="L36" s="1652"/>
      <c r="M36" s="1652"/>
      <c r="N36" s="1652"/>
    </row>
    <row r="37" spans="1:14" s="2641" customFormat="1" ht="15" thickBot="1">
      <c r="A37" s="2901" t="str">
        <f>IF(B29="租赁期内按合同租金","租金","——")</f>
        <v>——</v>
      </c>
      <c r="B37" s="2644"/>
      <c r="D37" s="2903" t="s">
        <v>1622</v>
      </c>
      <c r="E37" s="2637">
        <v>5.0000000000000001E-4</v>
      </c>
      <c r="F37" s="1279" t="s">
        <v>1623</v>
      </c>
      <c r="G37" s="2935"/>
      <c r="H37" s="2935"/>
      <c r="I37" s="1652"/>
      <c r="J37" s="1652"/>
      <c r="K37" s="1652"/>
      <c r="L37" s="1652"/>
      <c r="M37" s="1652"/>
      <c r="N37" s="1652"/>
    </row>
    <row r="38" spans="1:14" s="2641" customFormat="1" ht="14.25">
      <c r="A38" s="2896" t="str">
        <f>IF(B29="租赁期内按合同租金","年租金增长率","——")</f>
        <v>——</v>
      </c>
      <c r="B38" s="2622"/>
      <c r="D38" s="2928" t="s">
        <v>1624</v>
      </c>
      <c r="E38" s="2929">
        <v>1.2E-2</v>
      </c>
      <c r="F38" s="1279"/>
      <c r="G38" s="2934"/>
      <c r="H38" s="2934"/>
      <c r="I38" s="2935"/>
      <c r="J38" s="1652"/>
      <c r="K38" s="1652"/>
      <c r="L38" s="1652"/>
      <c r="M38" s="1652"/>
      <c r="N38" s="1652"/>
    </row>
    <row r="39" spans="1:14" s="2641" customFormat="1" ht="15" thickBot="1">
      <c r="A39" s="2896" t="str">
        <f>IF(B29="租赁期内按合同租金","空置率","——")</f>
        <v>——</v>
      </c>
      <c r="B39" s="2622"/>
      <c r="D39" s="2899" t="s">
        <v>1625</v>
      </c>
      <c r="E39" s="2930">
        <v>0.12</v>
      </c>
      <c r="F39" s="1279"/>
      <c r="G39" s="2935"/>
      <c r="H39" s="2935"/>
      <c r="I39" s="1652"/>
      <c r="J39" s="1652"/>
      <c r="K39" s="1652"/>
      <c r="L39" s="1652"/>
      <c r="M39" s="1652"/>
      <c r="N39" s="1652"/>
    </row>
    <row r="40" spans="1:14" ht="14.25">
      <c r="A40" s="2896" t="str">
        <f>IF(B29="租赁期内按合同租金","成新率","——")</f>
        <v>——</v>
      </c>
      <c r="B40" s="2622"/>
      <c r="D40" s="2928" t="s">
        <v>1626</v>
      </c>
      <c r="E40" s="2932">
        <f>SUMIF(D42:D51,E41,E42:E51)</f>
        <v>0</v>
      </c>
      <c r="F40" s="1279"/>
      <c r="G40" s="2935"/>
      <c r="H40" s="2935"/>
      <c r="I40" s="1652"/>
      <c r="J40" s="1652"/>
      <c r="K40" s="1652"/>
      <c r="L40" s="1652"/>
      <c r="M40" s="1652"/>
      <c r="N40" s="1652"/>
    </row>
    <row r="41" spans="1:14" ht="15" thickBot="1">
      <c r="A41" s="2903" t="str">
        <f>IF(B29="租赁期内按合同租金","租赁期外收益期","——")</f>
        <v>——</v>
      </c>
      <c r="B41" s="2931" t="str">
        <f>IF(B29="租赁期内按合同租金",B34-B35,"——")</f>
        <v>——</v>
      </c>
      <c r="D41" s="2896" t="s">
        <v>1628</v>
      </c>
      <c r="E41" s="2647"/>
      <c r="F41" s="1279" t="s">
        <v>1629</v>
      </c>
      <c r="G41" s="1739" t="s">
        <v>1630</v>
      </c>
      <c r="H41" s="2935"/>
      <c r="I41" s="1652"/>
      <c r="J41" s="1652"/>
      <c r="K41" s="1652"/>
      <c r="L41" s="1652"/>
      <c r="M41" s="1652"/>
      <c r="N41" s="1652"/>
    </row>
    <row r="42" spans="1:14" ht="14.25">
      <c r="A42" s="2895" t="s">
        <v>1627</v>
      </c>
      <c r="B42" s="2646"/>
      <c r="D42" s="2649" t="s">
        <v>1632</v>
      </c>
      <c r="E42" s="2636"/>
      <c r="F42" s="1279">
        <v>30</v>
      </c>
      <c r="G42" s="2935"/>
      <c r="H42" s="2935"/>
      <c r="I42" s="1652"/>
      <c r="J42" s="1652"/>
      <c r="K42" s="1652"/>
      <c r="L42" s="1652"/>
      <c r="M42" s="1652"/>
      <c r="N42" s="1652"/>
    </row>
    <row r="43" spans="1:14" ht="14.25">
      <c r="A43" s="2896" t="s">
        <v>1631</v>
      </c>
      <c r="B43" s="2648">
        <v>365</v>
      </c>
      <c r="D43" s="2649" t="s">
        <v>1634</v>
      </c>
      <c r="E43" s="2636"/>
      <c r="F43" s="1279">
        <v>24</v>
      </c>
      <c r="G43" s="2935"/>
      <c r="H43" s="2935"/>
      <c r="I43" s="1652"/>
      <c r="J43" s="1652"/>
      <c r="K43" s="1652"/>
      <c r="L43" s="1652"/>
      <c r="M43" s="1652"/>
      <c r="N43" s="1652"/>
    </row>
    <row r="44" spans="1:14" ht="14.25">
      <c r="A44" s="2896" t="s">
        <v>1633</v>
      </c>
      <c r="B44" s="2636"/>
      <c r="D44" s="2649" t="s">
        <v>1636</v>
      </c>
      <c r="E44" s="2636"/>
      <c r="F44" s="1279">
        <v>18</v>
      </c>
      <c r="G44" s="2641"/>
      <c r="H44" s="2641"/>
      <c r="I44" s="2935"/>
      <c r="J44" s="1652"/>
      <c r="K44" s="1652"/>
      <c r="L44" s="1652"/>
      <c r="M44" s="1652"/>
      <c r="N44" s="1652"/>
    </row>
    <row r="45" spans="1:14" ht="14.25">
      <c r="A45" s="2896" t="s">
        <v>1635</v>
      </c>
      <c r="B45" s="2650">
        <v>1.4999999999999999E-2</v>
      </c>
      <c r="C45" s="2530" t="s">
        <v>2784</v>
      </c>
      <c r="D45" s="2649" t="s">
        <v>1638</v>
      </c>
      <c r="E45" s="2636"/>
      <c r="F45" s="1279">
        <v>12</v>
      </c>
      <c r="G45" s="2641"/>
      <c r="H45" s="2641"/>
      <c r="M45" s="1652"/>
      <c r="N45" s="1652"/>
    </row>
    <row r="46" spans="1:14" ht="14.25">
      <c r="A46" s="2896" t="s">
        <v>1637</v>
      </c>
      <c r="B46" s="2651">
        <v>1E-3</v>
      </c>
      <c r="C46" s="2530" t="s">
        <v>2782</v>
      </c>
      <c r="D46" s="2649" t="s">
        <v>1400</v>
      </c>
      <c r="E46" s="2636"/>
      <c r="F46" s="1279">
        <v>3</v>
      </c>
      <c r="G46" s="2641"/>
      <c r="H46" s="2641"/>
      <c r="M46" s="1652"/>
      <c r="N46" s="1652"/>
    </row>
    <row r="47" spans="1:14" ht="15" thickBot="1">
      <c r="A47" s="2899" t="s">
        <v>1639</v>
      </c>
      <c r="B47" s="2652">
        <v>0.01</v>
      </c>
      <c r="C47" s="2530" t="s">
        <v>2783</v>
      </c>
      <c r="D47" s="2649" t="s">
        <v>1640</v>
      </c>
      <c r="E47" s="2636"/>
      <c r="F47" s="1279">
        <v>1.5</v>
      </c>
      <c r="G47" s="2641"/>
      <c r="H47" s="2641"/>
      <c r="M47" s="1652"/>
      <c r="N47" s="1652"/>
    </row>
    <row r="48" spans="1:14" ht="14.25">
      <c r="A48" s="2641"/>
      <c r="B48" s="2641"/>
      <c r="D48" s="2649" t="s">
        <v>1641</v>
      </c>
      <c r="E48" s="2636"/>
      <c r="F48" s="1279"/>
      <c r="G48" s="2641"/>
      <c r="H48" s="2641"/>
      <c r="M48" s="1652"/>
      <c r="N48" s="1652"/>
    </row>
    <row r="49" spans="1:41" ht="14.25">
      <c r="A49" s="2641"/>
      <c r="B49" s="2641"/>
      <c r="D49" s="2649" t="s">
        <v>1642</v>
      </c>
      <c r="E49" s="2636"/>
      <c r="F49" s="1279"/>
      <c r="G49" s="2641"/>
      <c r="H49" s="2641"/>
      <c r="M49" s="1652"/>
      <c r="N49" s="1652"/>
    </row>
    <row r="50" spans="1:41" ht="14.25">
      <c r="A50" s="2641"/>
      <c r="B50" s="2641"/>
      <c r="D50" s="2649" t="s">
        <v>1643</v>
      </c>
      <c r="E50" s="2636"/>
      <c r="F50" s="1279"/>
      <c r="G50" s="2641"/>
      <c r="H50" s="2641"/>
      <c r="M50" s="1652"/>
      <c r="N50" s="1652"/>
    </row>
    <row r="51" spans="1:41" s="945" customFormat="1" ht="15" thickBot="1">
      <c r="A51" s="2641"/>
      <c r="B51" s="2641"/>
      <c r="C51" s="2641"/>
      <c r="D51" s="2653" t="s">
        <v>1644</v>
      </c>
      <c r="E51" s="2654"/>
      <c r="F51" s="1279"/>
      <c r="G51" s="2641"/>
      <c r="H51" s="2641"/>
      <c r="I51" s="2641"/>
      <c r="J51" s="2641"/>
      <c r="K51" s="2641"/>
      <c r="L51" s="2641"/>
      <c r="M51" s="1652"/>
      <c r="N51" s="1652"/>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5"/>
      <c r="E52" s="2935"/>
      <c r="F52" s="2935"/>
      <c r="G52" s="2935"/>
      <c r="H52" s="2935"/>
      <c r="I52" s="1652"/>
      <c r="J52" s="1652"/>
      <c r="K52" s="1652"/>
      <c r="L52" s="1652"/>
      <c r="M52" s="1652"/>
      <c r="N52" s="1652"/>
    </row>
    <row r="53" spans="1:41" s="2641" customFormat="1" ht="14.25">
      <c r="D53" s="2935"/>
      <c r="E53" s="2935"/>
      <c r="F53" s="2935"/>
      <c r="G53" s="2935"/>
      <c r="H53" s="2935"/>
      <c r="I53" s="1652"/>
      <c r="J53" s="1652"/>
      <c r="K53" s="1652"/>
      <c r="L53" s="1652"/>
      <c r="M53" s="1652"/>
      <c r="N53" s="1652"/>
    </row>
    <row r="54" spans="1:41" s="2641" customFormat="1" ht="14.25">
      <c r="D54" s="2935"/>
      <c r="E54" s="2935"/>
      <c r="F54" s="2935"/>
      <c r="G54" s="2935"/>
      <c r="H54" s="2935"/>
      <c r="I54" s="1652"/>
      <c r="J54" s="1652"/>
      <c r="K54" s="1652"/>
      <c r="L54" s="1652"/>
      <c r="M54" s="1652"/>
      <c r="N54" s="1652"/>
    </row>
    <row r="55" spans="1:41" s="2641" customFormat="1" ht="14.25">
      <c r="D55" s="2935"/>
      <c r="E55" s="2935"/>
      <c r="F55" s="2935"/>
      <c r="G55" s="2935"/>
      <c r="H55" s="2935"/>
      <c r="I55" s="1652"/>
      <c r="J55" s="1652"/>
      <c r="K55" s="1652"/>
      <c r="L55" s="1652"/>
      <c r="M55" s="1652"/>
      <c r="N55" s="1652"/>
    </row>
    <row r="56" spans="1:41" s="2641" customFormat="1" ht="14.25">
      <c r="D56" s="2935"/>
      <c r="E56" s="2935"/>
      <c r="F56" s="2935"/>
      <c r="G56" s="2935"/>
      <c r="H56" s="2935"/>
      <c r="I56" s="1652"/>
      <c r="J56" s="1652"/>
      <c r="K56" s="1652"/>
      <c r="L56" s="1652"/>
      <c r="M56" s="1652"/>
      <c r="N56" s="1652"/>
    </row>
    <row r="57" spans="1:41" s="2641" customFormat="1" ht="14.25">
      <c r="D57" s="2935"/>
      <c r="E57" s="2935"/>
      <c r="F57" s="2935"/>
      <c r="G57" s="2935"/>
      <c r="H57" s="2935"/>
      <c r="I57" s="1652"/>
      <c r="J57" s="1652"/>
      <c r="K57" s="1652"/>
      <c r="L57" s="1652"/>
      <c r="M57" s="1652"/>
      <c r="N57" s="1652"/>
    </row>
    <row r="58" spans="1:41" s="2641" customFormat="1" ht="14.25">
      <c r="D58" s="2935"/>
      <c r="E58" s="2935"/>
      <c r="F58" s="2935"/>
      <c r="G58" s="2935"/>
      <c r="H58" s="2935"/>
      <c r="I58" s="1652"/>
      <c r="J58" s="1652"/>
      <c r="K58" s="1652"/>
      <c r="L58" s="1652"/>
      <c r="M58" s="1652"/>
      <c r="N58" s="1652"/>
    </row>
    <row r="59" spans="1:41" s="2641" customFormat="1" ht="14.25">
      <c r="D59" s="2935"/>
      <c r="E59" s="2935"/>
      <c r="F59" s="2935"/>
      <c r="G59" s="2935"/>
      <c r="H59" s="2935"/>
      <c r="I59" s="1652"/>
      <c r="J59" s="1652"/>
      <c r="K59" s="1652"/>
      <c r="L59" s="1652"/>
      <c r="M59" s="2936"/>
      <c r="N59" s="1652"/>
    </row>
    <row r="60" spans="1:41" s="2641" customFormat="1" ht="14.25">
      <c r="D60" s="2935"/>
      <c r="E60" s="2935"/>
      <c r="F60" s="2935"/>
      <c r="G60" s="2935"/>
      <c r="H60" s="2935"/>
      <c r="I60" s="1652"/>
      <c r="J60" s="1652"/>
      <c r="K60" s="1652"/>
      <c r="L60" s="1652"/>
      <c r="M60" s="1652"/>
      <c r="N60" s="1652"/>
    </row>
    <row r="61" spans="1:41" s="2641" customFormat="1" ht="14.25">
      <c r="D61" s="2935"/>
      <c r="E61" s="2935"/>
      <c r="F61" s="2935"/>
      <c r="G61" s="2935"/>
      <c r="H61" s="2935"/>
      <c r="I61" s="1652"/>
      <c r="J61" s="1652"/>
      <c r="K61" s="1652"/>
      <c r="L61" s="1652"/>
      <c r="M61" s="1652"/>
      <c r="N61" s="1652"/>
    </row>
    <row r="62" spans="1:41" s="2641" customFormat="1" ht="14.25">
      <c r="D62" s="2935"/>
      <c r="E62" s="2935"/>
      <c r="F62" s="2935"/>
      <c r="G62" s="2935"/>
      <c r="H62" s="2935"/>
      <c r="I62" s="1652"/>
      <c r="J62" s="1652"/>
      <c r="K62" s="1652"/>
      <c r="L62" s="1652"/>
      <c r="M62" s="1652"/>
      <c r="N62" s="1652"/>
    </row>
    <row r="63" spans="1:41" s="2641" customFormat="1" ht="14.25">
      <c r="D63" s="2935"/>
      <c r="E63" s="2935"/>
      <c r="F63" s="2935"/>
      <c r="G63" s="2935"/>
      <c r="H63" s="2935"/>
      <c r="I63" s="1652"/>
      <c r="J63" s="1652"/>
      <c r="K63" s="1652"/>
      <c r="L63" s="1652"/>
      <c r="M63" s="1652"/>
      <c r="N63" s="1652"/>
    </row>
    <row r="64" spans="1:41" s="2641" customFormat="1" ht="14.25">
      <c r="D64" s="2935"/>
      <c r="E64" s="2935"/>
      <c r="F64" s="2935"/>
      <c r="G64" s="2935"/>
      <c r="H64" s="2935"/>
      <c r="I64" s="1652"/>
      <c r="J64" s="1652"/>
      <c r="K64" s="1652"/>
      <c r="L64" s="1652"/>
      <c r="M64" s="1652"/>
      <c r="N64" s="1652"/>
    </row>
    <row r="65" spans="1:14" s="2641" customFormat="1" ht="14.25">
      <c r="D65" s="2935"/>
      <c r="E65" s="2935"/>
      <c r="F65" s="2935"/>
      <c r="G65" s="2935"/>
      <c r="H65" s="2935"/>
      <c r="I65" s="1652"/>
      <c r="J65" s="1652"/>
      <c r="K65" s="1652"/>
      <c r="L65" s="1652"/>
      <c r="M65" s="1652"/>
      <c r="N65" s="1652"/>
    </row>
    <row r="66" spans="1:14" s="2641" customFormat="1" ht="14.25">
      <c r="D66" s="2935"/>
      <c r="E66" s="2935"/>
      <c r="F66" s="2935"/>
      <c r="G66" s="2935"/>
      <c r="H66" s="2935"/>
      <c r="I66" s="1652"/>
      <c r="J66" s="1652"/>
      <c r="K66" s="1652"/>
      <c r="L66" s="1652"/>
      <c r="M66" s="1652"/>
      <c r="N66" s="1652"/>
    </row>
    <row r="67" spans="1:14" s="2641" customFormat="1" ht="14.25">
      <c r="A67" s="2939"/>
      <c r="D67" s="2935"/>
      <c r="E67" s="2935"/>
      <c r="F67" s="2935"/>
      <c r="G67" s="2935"/>
      <c r="H67" s="2935"/>
      <c r="I67" s="1652"/>
      <c r="J67" s="1652"/>
      <c r="K67" s="1652"/>
      <c r="L67" s="1652"/>
      <c r="M67" s="1652"/>
      <c r="N67" s="1652"/>
    </row>
    <row r="68" spans="1:14" s="2641" customFormat="1" ht="14.25">
      <c r="A68" s="2939"/>
      <c r="D68" s="2935"/>
      <c r="E68" s="2935"/>
      <c r="F68" s="2935"/>
      <c r="G68" s="2934"/>
      <c r="H68" s="2934"/>
    </row>
    <row r="69" spans="1:14" s="2641" customFormat="1">
      <c r="A69" s="2939"/>
      <c r="D69" s="2934"/>
      <c r="E69" s="2934"/>
      <c r="F69" s="2934"/>
      <c r="G69" s="2934"/>
      <c r="H69" s="2934"/>
    </row>
    <row r="70" spans="1:14" s="2641" customFormat="1">
      <c r="A70" s="2939"/>
      <c r="D70" s="2934"/>
      <c r="E70" s="2934"/>
      <c r="F70" s="2934"/>
      <c r="G70" s="2934"/>
      <c r="H70" s="2934"/>
    </row>
    <row r="71" spans="1:14" s="2641" customFormat="1">
      <c r="A71" s="2939"/>
      <c r="D71" s="2934"/>
      <c r="E71" s="2934"/>
      <c r="F71" s="2934"/>
      <c r="G71" s="2934"/>
      <c r="H71" s="2934"/>
    </row>
    <row r="72" spans="1:14" s="2641" customFormat="1">
      <c r="A72" s="2939"/>
      <c r="D72" s="2934"/>
      <c r="E72" s="2934"/>
      <c r="F72" s="2934"/>
      <c r="G72" s="2934"/>
      <c r="H72" s="2934"/>
    </row>
    <row r="73" spans="1:14" s="2641" customFormat="1">
      <c r="A73" s="2939"/>
      <c r="D73" s="2934"/>
      <c r="E73" s="2934"/>
      <c r="F73" s="2934"/>
      <c r="G73" s="2934"/>
      <c r="H73" s="2934"/>
    </row>
    <row r="74" spans="1:14" s="2641" customFormat="1">
      <c r="A74" s="2939"/>
      <c r="D74" s="2934"/>
      <c r="E74" s="2934"/>
      <c r="F74" s="2934"/>
      <c r="G74" s="2934"/>
      <c r="H74" s="2934"/>
    </row>
    <row r="75" spans="1:14" s="2641" customFormat="1">
      <c r="A75" s="2939"/>
      <c r="D75" s="2934"/>
      <c r="E75" s="2934"/>
      <c r="F75" s="2934"/>
      <c r="G75" s="2934"/>
      <c r="H75" s="2934"/>
    </row>
    <row r="76" spans="1:14" s="2641" customFormat="1">
      <c r="A76" s="2939"/>
      <c r="D76" s="2934"/>
      <c r="E76" s="2934"/>
      <c r="F76" s="2934"/>
      <c r="G76" s="2934"/>
      <c r="H76" s="2934"/>
    </row>
    <row r="77" spans="1:14" s="2641" customFormat="1">
      <c r="A77" s="2939"/>
      <c r="D77" s="2934"/>
      <c r="E77" s="2934"/>
      <c r="F77" s="2934"/>
      <c r="G77" s="2934"/>
      <c r="H77" s="2934"/>
    </row>
    <row r="78" spans="1:14" s="2641" customFormat="1">
      <c r="A78" s="2939"/>
      <c r="D78" s="2934"/>
      <c r="E78" s="2934"/>
      <c r="F78" s="2934"/>
      <c r="G78" s="2934"/>
      <c r="H78" s="2934"/>
    </row>
    <row r="79" spans="1:14" s="2641" customFormat="1">
      <c r="A79" s="2939"/>
      <c r="D79" s="2934"/>
      <c r="E79" s="2934"/>
      <c r="F79" s="2934"/>
      <c r="G79" s="2934"/>
      <c r="H79" s="2934"/>
    </row>
    <row r="80" spans="1:14" s="2641" customFormat="1">
      <c r="A80" s="2939"/>
      <c r="D80" s="2934"/>
      <c r="E80" s="2934"/>
      <c r="F80" s="2934"/>
      <c r="G80" s="2934"/>
      <c r="H80" s="2934"/>
    </row>
    <row r="81" spans="1:8" s="2641" customFormat="1">
      <c r="A81" s="2939"/>
      <c r="D81" s="2934"/>
      <c r="E81" s="2934"/>
      <c r="F81" s="2934"/>
      <c r="G81" s="2934"/>
      <c r="H81" s="2934"/>
    </row>
    <row r="82" spans="1:8" s="2641" customFormat="1">
      <c r="A82" s="2939"/>
      <c r="D82" s="2934"/>
      <c r="E82" s="2934"/>
      <c r="F82" s="2934"/>
      <c r="G82" s="2934"/>
      <c r="H82" s="2934"/>
    </row>
    <row r="83" spans="1:8" s="2641" customFormat="1">
      <c r="A83" s="2939"/>
      <c r="D83" s="2934"/>
      <c r="E83" s="2934"/>
      <c r="F83" s="2934"/>
      <c r="G83" s="2934"/>
      <c r="H83" s="2934"/>
    </row>
    <row r="84" spans="1:8" s="2641" customFormat="1">
      <c r="A84" s="2939"/>
      <c r="D84" s="2934"/>
      <c r="E84" s="2934"/>
      <c r="F84" s="2934"/>
      <c r="G84" s="2934"/>
      <c r="H84" s="2934"/>
    </row>
    <row r="85" spans="1:8" s="2641" customFormat="1">
      <c r="A85" s="2939"/>
      <c r="D85" s="2934"/>
      <c r="E85" s="2934"/>
      <c r="F85" s="2934"/>
      <c r="G85" s="2934"/>
      <c r="H85" s="2934"/>
    </row>
    <row r="86" spans="1:8" s="2641" customFormat="1">
      <c r="A86" s="2939"/>
      <c r="D86" s="2934"/>
      <c r="E86" s="2934"/>
      <c r="F86" s="2934"/>
      <c r="G86" s="2934"/>
      <c r="H86" s="2934"/>
    </row>
    <row r="87" spans="1:8" s="2641" customFormat="1">
      <c r="A87" s="2939"/>
      <c r="D87" s="2934"/>
      <c r="E87" s="2934"/>
      <c r="F87" s="2934"/>
      <c r="G87" s="2934"/>
      <c r="H87" s="2934"/>
    </row>
    <row r="88" spans="1:8" s="2641" customFormat="1">
      <c r="A88" s="2939"/>
      <c r="D88" s="2934"/>
      <c r="E88" s="2934"/>
      <c r="F88" s="2934"/>
      <c r="G88" s="2934"/>
      <c r="H88" s="2934"/>
    </row>
    <row r="89" spans="1:8" s="2641" customFormat="1">
      <c r="A89" s="2939"/>
      <c r="D89" s="2934"/>
      <c r="E89" s="2934"/>
      <c r="F89" s="2934"/>
      <c r="G89" s="2934"/>
      <c r="H89" s="2934"/>
    </row>
    <row r="90" spans="1:8" s="2641" customFormat="1">
      <c r="A90" s="2939"/>
      <c r="D90" s="2934"/>
      <c r="E90" s="2934"/>
      <c r="F90" s="2934"/>
      <c r="G90" s="2934"/>
      <c r="H90" s="2934"/>
    </row>
    <row r="91" spans="1:8" s="2641" customFormat="1">
      <c r="A91" s="2939"/>
      <c r="D91" s="2934"/>
      <c r="E91" s="2934"/>
      <c r="F91" s="2934"/>
      <c r="G91" s="2934"/>
      <c r="H91" s="2934"/>
    </row>
    <row r="92" spans="1:8" s="2641" customFormat="1">
      <c r="A92" s="2939"/>
      <c r="D92" s="2934"/>
      <c r="E92" s="2934"/>
      <c r="F92" s="2934"/>
      <c r="G92" s="2934"/>
      <c r="H92" s="2934"/>
    </row>
    <row r="93" spans="1:8" s="2641" customFormat="1">
      <c r="A93" s="2939"/>
      <c r="D93" s="2934"/>
      <c r="E93" s="2934"/>
      <c r="F93" s="2934"/>
      <c r="G93" s="2934"/>
      <c r="H93" s="2934"/>
    </row>
    <row r="94" spans="1:8" s="2641" customFormat="1">
      <c r="A94" s="2939"/>
      <c r="D94" s="2934"/>
      <c r="E94" s="2934"/>
      <c r="F94" s="2934"/>
      <c r="G94" s="2934"/>
      <c r="H94" s="2934"/>
    </row>
    <row r="95" spans="1:8" s="2641" customFormat="1">
      <c r="A95" s="2939"/>
      <c r="D95" s="2934"/>
      <c r="E95" s="2934"/>
      <c r="F95" s="2934"/>
      <c r="G95" s="2934"/>
      <c r="H95" s="2934"/>
    </row>
    <row r="96" spans="1:8" s="2641" customFormat="1">
      <c r="A96" s="2939"/>
      <c r="D96" s="2934"/>
      <c r="E96" s="2934"/>
      <c r="F96" s="2934"/>
      <c r="G96" s="2934"/>
      <c r="H96" s="2934"/>
    </row>
    <row r="97" spans="1:8" s="2641" customFormat="1">
      <c r="A97" s="2939"/>
      <c r="D97" s="2934"/>
      <c r="E97" s="2934"/>
      <c r="F97" s="2934"/>
      <c r="G97" s="2934"/>
      <c r="H97" s="2934"/>
    </row>
    <row r="98" spans="1:8" s="2641" customFormat="1">
      <c r="A98" s="2939"/>
      <c r="D98" s="2934"/>
      <c r="E98" s="2934"/>
      <c r="F98" s="2934"/>
      <c r="G98" s="2934"/>
      <c r="H98" s="2934"/>
    </row>
    <row r="99" spans="1:8" s="2641" customFormat="1">
      <c r="A99" s="2939"/>
      <c r="D99" s="2934"/>
      <c r="E99" s="2934"/>
      <c r="F99" s="2934"/>
      <c r="G99" s="2934"/>
      <c r="H99" s="2934"/>
    </row>
    <row r="100" spans="1:8" s="2641" customFormat="1">
      <c r="A100" s="2939"/>
      <c r="D100" s="2934"/>
      <c r="E100" s="2934"/>
      <c r="F100" s="2934"/>
      <c r="G100" s="2934"/>
      <c r="H100" s="2934"/>
    </row>
    <row r="101" spans="1:8" s="2641" customFormat="1">
      <c r="A101" s="2939"/>
      <c r="D101" s="2934"/>
      <c r="E101" s="2934"/>
      <c r="F101" s="2934"/>
      <c r="G101" s="2934"/>
      <c r="H101" s="2934"/>
    </row>
    <row r="102" spans="1:8" s="2641" customFormat="1">
      <c r="A102" s="2939"/>
      <c r="D102" s="2934"/>
      <c r="E102" s="2934"/>
      <c r="F102" s="2934"/>
      <c r="G102" s="2934"/>
      <c r="H102" s="2934"/>
    </row>
    <row r="103" spans="1:8" s="2641" customFormat="1">
      <c r="A103" s="2939"/>
      <c r="D103" s="2934"/>
      <c r="E103" s="2934"/>
      <c r="F103" s="2934"/>
      <c r="G103" s="2934"/>
      <c r="H103" s="2934"/>
    </row>
    <row r="104" spans="1:8" s="2641" customFormat="1">
      <c r="A104" s="2939"/>
      <c r="D104" s="2934"/>
      <c r="E104" s="2934"/>
      <c r="F104" s="2934"/>
      <c r="G104" s="2934"/>
      <c r="H104" s="2934"/>
    </row>
    <row r="105" spans="1:8" s="2641" customFormat="1">
      <c r="A105" s="2939"/>
      <c r="D105" s="2934"/>
      <c r="E105" s="2934"/>
      <c r="F105" s="2934"/>
      <c r="G105" s="2934"/>
      <c r="H105" s="2934"/>
    </row>
    <row r="106" spans="1:8" s="2641" customFormat="1">
      <c r="A106" s="2939"/>
      <c r="D106" s="2934"/>
      <c r="E106" s="2934"/>
      <c r="F106" s="2934"/>
      <c r="G106" s="2934"/>
      <c r="H106" s="2934"/>
    </row>
    <row r="107" spans="1:8" s="2641" customFormat="1">
      <c r="A107" s="2939"/>
      <c r="D107" s="2934"/>
      <c r="E107" s="2934"/>
      <c r="F107" s="2934"/>
      <c r="G107" s="2934"/>
      <c r="H107" s="2934"/>
    </row>
    <row r="108" spans="1:8" s="2641" customFormat="1">
      <c r="A108" s="2939"/>
      <c r="D108" s="2934"/>
      <c r="E108" s="2934"/>
      <c r="F108" s="2934"/>
      <c r="G108" s="2934"/>
      <c r="H108" s="2934"/>
    </row>
    <row r="109" spans="1:8" s="2641" customFormat="1">
      <c r="A109" s="2939"/>
      <c r="D109" s="2934"/>
      <c r="E109" s="2934"/>
      <c r="F109" s="2934"/>
      <c r="G109" s="2934"/>
      <c r="H109" s="2934"/>
    </row>
    <row r="110" spans="1:8" s="2641" customFormat="1">
      <c r="A110" s="2939"/>
      <c r="D110" s="2934"/>
      <c r="E110" s="2934"/>
      <c r="F110" s="2934"/>
      <c r="G110" s="2934"/>
      <c r="H110" s="2934"/>
    </row>
    <row r="111" spans="1:8" s="2641" customFormat="1">
      <c r="A111" s="2939"/>
      <c r="D111" s="2934"/>
      <c r="E111" s="2934"/>
      <c r="F111" s="2934"/>
      <c r="G111" s="2934"/>
      <c r="H111" s="2934"/>
    </row>
    <row r="112" spans="1:8" s="2641" customFormat="1">
      <c r="A112" s="2939"/>
      <c r="D112" s="2934"/>
      <c r="E112" s="2934"/>
      <c r="F112" s="2934"/>
      <c r="G112" s="2934"/>
      <c r="H112" s="2934"/>
    </row>
    <row r="113" spans="1:8" s="2641" customFormat="1">
      <c r="A113" s="2939"/>
      <c r="D113" s="2934"/>
      <c r="E113" s="2934"/>
      <c r="F113" s="2934"/>
      <c r="G113" s="2934"/>
      <c r="H113" s="2934"/>
    </row>
    <row r="114" spans="1:8" s="2641" customFormat="1">
      <c r="A114" s="2939"/>
      <c r="D114" s="2934"/>
      <c r="E114" s="2934"/>
      <c r="F114" s="2934"/>
      <c r="G114" s="2934"/>
      <c r="H114" s="2934"/>
    </row>
    <row r="115" spans="1:8" s="2641" customFormat="1">
      <c r="A115" s="2939"/>
      <c r="D115" s="2934"/>
      <c r="E115" s="2934"/>
      <c r="F115" s="2934"/>
      <c r="G115" s="2934"/>
      <c r="H115" s="2934"/>
    </row>
    <row r="116" spans="1:8" s="2641" customFormat="1">
      <c r="A116" s="2939"/>
      <c r="D116" s="2934"/>
      <c r="E116" s="2934"/>
      <c r="F116" s="2934"/>
      <c r="G116" s="2934"/>
      <c r="H116" s="2934"/>
    </row>
    <row r="117" spans="1:8" s="2641" customFormat="1">
      <c r="A117" s="2939"/>
      <c r="D117" s="2934"/>
      <c r="E117" s="2934"/>
      <c r="F117" s="2934"/>
      <c r="G117" s="2934"/>
      <c r="H117" s="2934"/>
    </row>
    <row r="118" spans="1:8" s="2641" customFormat="1">
      <c r="A118" s="2939"/>
      <c r="D118" s="2934"/>
      <c r="E118" s="2934"/>
      <c r="F118" s="2934"/>
      <c r="G118" s="2934"/>
      <c r="H118" s="2934"/>
    </row>
    <row r="119" spans="1:8" s="2641" customFormat="1">
      <c r="A119" s="2939"/>
      <c r="D119" s="2934"/>
      <c r="E119" s="2934"/>
      <c r="F119" s="2934"/>
      <c r="G119" s="2934"/>
      <c r="H119" s="2934"/>
    </row>
    <row r="120" spans="1:8" s="2641" customFormat="1">
      <c r="A120" s="2939"/>
      <c r="D120" s="2934"/>
      <c r="E120" s="2934"/>
      <c r="F120" s="2934"/>
      <c r="G120" s="2934"/>
      <c r="H120" s="2934"/>
    </row>
    <row r="121" spans="1:8" s="2641" customFormat="1">
      <c r="A121" s="2939"/>
      <c r="D121" s="2934"/>
      <c r="E121" s="2934"/>
      <c r="F121" s="2934"/>
      <c r="G121" s="2934"/>
      <c r="H121" s="2934"/>
    </row>
    <row r="122" spans="1:8" s="2641" customFormat="1">
      <c r="A122" s="2939"/>
      <c r="D122" s="2934"/>
      <c r="E122" s="2934"/>
      <c r="F122" s="2934"/>
      <c r="G122" s="2934"/>
      <c r="H122" s="2934"/>
    </row>
    <row r="123" spans="1:8" s="2641" customFormat="1">
      <c r="A123" s="2939"/>
      <c r="D123" s="2934"/>
      <c r="E123" s="2934"/>
      <c r="F123" s="2934"/>
      <c r="G123" s="2934"/>
      <c r="H123" s="2934"/>
    </row>
    <row r="124" spans="1:8" s="2641" customFormat="1">
      <c r="A124" s="2939"/>
      <c r="D124" s="2934"/>
      <c r="E124" s="2934"/>
      <c r="F124" s="2934"/>
      <c r="G124" s="2934"/>
      <c r="H124" s="2934"/>
    </row>
    <row r="125" spans="1:8" s="2641" customFormat="1">
      <c r="A125" s="2939"/>
      <c r="D125" s="2934"/>
      <c r="E125" s="2934"/>
      <c r="F125" s="2934"/>
      <c r="G125" s="2934"/>
      <c r="H125" s="2934"/>
    </row>
    <row r="126" spans="1:8" s="2641" customFormat="1">
      <c r="A126" s="2939"/>
      <c r="D126" s="2934"/>
      <c r="E126" s="2934"/>
      <c r="F126" s="2934"/>
      <c r="G126" s="2934"/>
      <c r="H126" s="2934"/>
    </row>
    <row r="127" spans="1:8" s="2641" customFormat="1">
      <c r="A127" s="2939"/>
      <c r="D127" s="2934"/>
      <c r="E127" s="2934"/>
      <c r="F127" s="2934"/>
      <c r="G127" s="2934"/>
      <c r="H127" s="2934"/>
    </row>
    <row r="128" spans="1:8" s="2641" customFormat="1">
      <c r="A128" s="2939"/>
      <c r="D128" s="2934"/>
      <c r="E128" s="2934"/>
      <c r="F128" s="2934"/>
      <c r="G128" s="2934"/>
      <c r="H128" s="2934"/>
    </row>
    <row r="129" spans="1:8" s="2641" customFormat="1">
      <c r="A129" s="2939"/>
      <c r="D129" s="2934"/>
      <c r="E129" s="2934"/>
      <c r="F129" s="2934"/>
      <c r="G129" s="2934"/>
      <c r="H129" s="2934"/>
    </row>
    <row r="130" spans="1:8" s="2641" customFormat="1">
      <c r="A130" s="2939"/>
      <c r="D130" s="2934"/>
      <c r="E130" s="2934"/>
      <c r="F130" s="2934"/>
      <c r="G130" s="2934"/>
      <c r="H130" s="2934"/>
    </row>
    <row r="131" spans="1:8" s="2641" customFormat="1">
      <c r="A131" s="2939"/>
      <c r="D131" s="2934"/>
      <c r="E131" s="2934"/>
      <c r="F131" s="2934"/>
      <c r="G131" s="2934"/>
      <c r="H131" s="2934"/>
    </row>
    <row r="132" spans="1:8" s="2641" customFormat="1">
      <c r="A132" s="2939"/>
      <c r="D132" s="2934"/>
      <c r="E132" s="2934"/>
      <c r="F132" s="2934"/>
      <c r="G132" s="2934"/>
      <c r="H132" s="2934"/>
    </row>
    <row r="133" spans="1:8" s="2641" customFormat="1">
      <c r="A133" s="2939"/>
      <c r="D133" s="2934"/>
      <c r="E133" s="2934"/>
      <c r="F133" s="2934"/>
      <c r="G133" s="2934"/>
      <c r="H133" s="2934"/>
    </row>
    <row r="134" spans="1:8" s="2641" customFormat="1">
      <c r="A134" s="2939"/>
      <c r="D134" s="2934"/>
      <c r="E134" s="2934"/>
      <c r="F134" s="2934"/>
      <c r="G134" s="2934"/>
      <c r="H134" s="2934"/>
    </row>
    <row r="135" spans="1:8" s="2641" customFormat="1">
      <c r="A135" s="2939"/>
      <c r="D135" s="2934"/>
      <c r="E135" s="2934"/>
      <c r="F135" s="2934"/>
      <c r="G135" s="2934"/>
      <c r="H135" s="2934"/>
    </row>
    <row r="136" spans="1:8" s="2641" customFormat="1">
      <c r="A136" s="2939"/>
      <c r="D136" s="2934"/>
      <c r="E136" s="2934"/>
      <c r="F136" s="2934"/>
      <c r="G136" s="2934"/>
      <c r="H136" s="2934"/>
    </row>
    <row r="137" spans="1:8" s="2641" customFormat="1">
      <c r="A137" s="2939"/>
      <c r="D137" s="2934"/>
      <c r="E137" s="2934"/>
      <c r="F137" s="2934"/>
      <c r="G137" s="2934"/>
      <c r="H137" s="2934"/>
    </row>
    <row r="138" spans="1:8" s="2641" customFormat="1">
      <c r="A138" s="2939"/>
      <c r="D138" s="2934"/>
      <c r="E138" s="2934"/>
      <c r="F138" s="2934"/>
      <c r="G138" s="2934"/>
      <c r="H138" s="2934"/>
    </row>
    <row r="139" spans="1:8" s="2641" customFormat="1">
      <c r="A139" s="2939"/>
      <c r="D139" s="2934"/>
      <c r="E139" s="2934"/>
      <c r="F139" s="2934"/>
      <c r="G139" s="2934"/>
      <c r="H139" s="2934"/>
    </row>
    <row r="140" spans="1:8" s="2641" customFormat="1">
      <c r="A140" s="2939"/>
      <c r="D140" s="2934"/>
      <c r="E140" s="2934"/>
      <c r="F140" s="2934"/>
      <c r="G140" s="2934"/>
      <c r="H140" s="2934"/>
    </row>
    <row r="141" spans="1:8" s="2641" customFormat="1">
      <c r="A141" s="2939"/>
      <c r="D141" s="2934"/>
      <c r="E141" s="2934"/>
      <c r="F141" s="2934"/>
      <c r="G141" s="2934"/>
      <c r="H141" s="2934"/>
    </row>
    <row r="142" spans="1:8" s="2641" customFormat="1">
      <c r="A142" s="2939"/>
      <c r="D142" s="2934"/>
      <c r="E142" s="2934"/>
      <c r="F142" s="2934"/>
      <c r="G142" s="2934"/>
      <c r="H142" s="2934"/>
    </row>
    <row r="143" spans="1:8" s="2641" customFormat="1">
      <c r="A143" s="2939"/>
      <c r="D143" s="2934"/>
      <c r="E143" s="2934"/>
      <c r="F143" s="2934"/>
      <c r="G143" s="2934"/>
      <c r="H143" s="2934"/>
    </row>
    <row r="144" spans="1:8" s="2641" customFormat="1">
      <c r="A144" s="2939"/>
      <c r="D144" s="2934"/>
      <c r="E144" s="2934"/>
      <c r="F144" s="2934"/>
      <c r="G144" s="2934"/>
      <c r="H144" s="2934"/>
    </row>
    <row r="145" spans="1:8" s="2641" customFormat="1">
      <c r="A145" s="2939"/>
      <c r="D145" s="2934"/>
      <c r="E145" s="2934"/>
      <c r="F145" s="2934"/>
      <c r="G145" s="2934"/>
      <c r="H145" s="2934"/>
    </row>
    <row r="146" spans="1:8" s="2641" customFormat="1">
      <c r="A146" s="2939"/>
      <c r="D146" s="2934"/>
      <c r="E146" s="2934"/>
      <c r="F146" s="2934"/>
      <c r="G146" s="2934"/>
      <c r="H146" s="2934"/>
    </row>
    <row r="147" spans="1:8" s="2641" customFormat="1">
      <c r="A147" s="2939"/>
      <c r="D147" s="2934"/>
      <c r="E147" s="2934"/>
      <c r="F147" s="2934"/>
      <c r="G147" s="2934"/>
      <c r="H147" s="2934"/>
    </row>
    <row r="148" spans="1:8" s="2641" customFormat="1">
      <c r="A148" s="2939"/>
      <c r="D148" s="2934"/>
      <c r="E148" s="2934"/>
      <c r="F148" s="2934"/>
      <c r="G148" s="2934"/>
      <c r="H148" s="2934"/>
    </row>
    <row r="149" spans="1:8" s="2641" customFormat="1">
      <c r="A149" s="2939"/>
      <c r="D149" s="2934"/>
      <c r="E149" s="2934"/>
      <c r="F149" s="2934"/>
      <c r="G149" s="2934"/>
      <c r="H149" s="2934"/>
    </row>
    <row r="150" spans="1:8" s="2641" customFormat="1">
      <c r="A150" s="2939"/>
      <c r="D150" s="2934"/>
      <c r="E150" s="2934"/>
      <c r="F150" s="2934"/>
      <c r="G150" s="2934"/>
      <c r="H150" s="2934"/>
    </row>
    <row r="151" spans="1:8" s="2641" customFormat="1">
      <c r="A151" s="2939"/>
      <c r="D151" s="2934"/>
      <c r="E151" s="2934"/>
      <c r="F151" s="2934"/>
      <c r="G151" s="2934"/>
      <c r="H151" s="2934"/>
    </row>
    <row r="152" spans="1:8" s="2641" customFormat="1">
      <c r="A152" s="2939"/>
      <c r="D152" s="2934"/>
      <c r="E152" s="2934"/>
      <c r="F152" s="2934"/>
      <c r="G152" s="2934"/>
      <c r="H152" s="2934"/>
    </row>
    <row r="153" spans="1:8" s="2641" customFormat="1">
      <c r="A153" s="2939"/>
      <c r="D153" s="2934"/>
      <c r="E153" s="2934"/>
      <c r="F153" s="2934"/>
      <c r="G153" s="2934"/>
      <c r="H153" s="2934"/>
    </row>
    <row r="154" spans="1:8" s="2641" customFormat="1">
      <c r="A154" s="2939"/>
      <c r="D154" s="2934"/>
      <c r="E154" s="2934"/>
      <c r="F154" s="2934"/>
      <c r="G154" s="2934"/>
      <c r="H154" s="2934"/>
    </row>
    <row r="155" spans="1:8" s="2641" customFormat="1">
      <c r="A155" s="2939"/>
      <c r="D155" s="2934"/>
      <c r="E155" s="2934"/>
      <c r="F155" s="2934"/>
      <c r="G155" s="2934"/>
      <c r="H155" s="2934"/>
    </row>
    <row r="156" spans="1:8" s="2641" customFormat="1">
      <c r="A156" s="2939"/>
      <c r="D156" s="2934"/>
      <c r="E156" s="2934"/>
      <c r="F156" s="2934"/>
      <c r="G156" s="2934"/>
      <c r="H156" s="2934"/>
    </row>
    <row r="157" spans="1:8" s="2641" customFormat="1">
      <c r="A157" s="2939"/>
      <c r="D157" s="2934"/>
      <c r="E157" s="2934"/>
      <c r="F157" s="2934"/>
      <c r="G157" s="2934"/>
      <c r="H157" s="2934"/>
    </row>
    <row r="158" spans="1:8">
      <c r="A158" s="2939"/>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7" customWidth="1"/>
    <col min="4" max="4" width="2.625" style="2677" customWidth="1"/>
    <col min="5" max="5" width="5.875" style="2677" customWidth="1"/>
    <col min="6" max="6" width="27" style="2617"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4"/>
  </cols>
  <sheetData>
    <row r="1" spans="1:29" s="2662" customFormat="1" ht="19.5" thickBot="1">
      <c r="A1" s="3432" t="s">
        <v>1645</v>
      </c>
      <c r="B1" s="3433"/>
      <c r="C1" s="3433"/>
      <c r="D1" s="3433"/>
      <c r="E1" s="3433"/>
      <c r="F1" s="3433"/>
      <c r="G1" s="3433"/>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1" customFormat="1" ht="13.5" thickBot="1">
      <c r="A2" s="3065"/>
      <c r="B2" s="3066"/>
      <c r="C2" s="3067" t="s">
        <v>2789</v>
      </c>
      <c r="D2" s="3068"/>
      <c r="E2" s="3065"/>
      <c r="F2" s="3069"/>
      <c r="G2" s="3067" t="s">
        <v>2790</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1" customFormat="1" ht="36">
      <c r="A3" s="3071" t="s">
        <v>2791</v>
      </c>
      <c r="B3" s="3072" t="s">
        <v>2792</v>
      </c>
      <c r="C3" s="3073" t="s">
        <v>2793</v>
      </c>
      <c r="D3" s="3074"/>
      <c r="E3" s="3075" t="s">
        <v>2791</v>
      </c>
      <c r="F3" s="3076" t="s">
        <v>2794</v>
      </c>
      <c r="G3" s="3077" t="s">
        <v>2795</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1" customFormat="1" ht="24.75">
      <c r="A4" s="3075"/>
      <c r="B4" s="3059" t="s">
        <v>2796</v>
      </c>
      <c r="C4" s="3078" t="s">
        <v>2797</v>
      </c>
      <c r="D4" s="3074"/>
      <c r="E4" s="3079"/>
      <c r="F4" s="3061" t="s">
        <v>2798</v>
      </c>
      <c r="G4" s="3080" t="s">
        <v>2799</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1" customFormat="1" ht="24.75">
      <c r="A5" s="3075"/>
      <c r="B5" s="3059" t="s">
        <v>2800</v>
      </c>
      <c r="C5" s="3078" t="s">
        <v>2801</v>
      </c>
      <c r="D5" s="3074"/>
      <c r="E5" s="3079"/>
      <c r="F5" s="3059" t="s">
        <v>2802</v>
      </c>
      <c r="G5" s="3080" t="s">
        <v>2803</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1" customFormat="1" ht="36">
      <c r="A6" s="3075"/>
      <c r="B6" s="3059" t="s">
        <v>2804</v>
      </c>
      <c r="C6" s="3080" t="s">
        <v>2799</v>
      </c>
      <c r="D6" s="3074"/>
      <c r="E6" s="3079"/>
      <c r="F6" s="3059" t="s">
        <v>2805</v>
      </c>
      <c r="G6" s="3080" t="s">
        <v>2806</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1" customFormat="1" ht="24.75" thickBot="1">
      <c r="A7" s="3075"/>
      <c r="B7" s="3059" t="s">
        <v>2802</v>
      </c>
      <c r="C7" s="3080" t="s">
        <v>2803</v>
      </c>
      <c r="D7" s="2948"/>
      <c r="E7" s="3081"/>
      <c r="F7" s="3082" t="s">
        <v>2807</v>
      </c>
      <c r="G7" s="3083" t="s">
        <v>2808</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1" customFormat="1" ht="12.75">
      <c r="A8" s="3075"/>
      <c r="B8" s="3059" t="s">
        <v>2805</v>
      </c>
      <c r="C8" s="3080" t="s">
        <v>2806</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1" customFormat="1" ht="24">
      <c r="A9" s="3075"/>
      <c r="B9" s="3059" t="s">
        <v>2809</v>
      </c>
      <c r="C9" s="3078" t="s">
        <v>2810</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1" customFormat="1" ht="13.5" thickBot="1">
      <c r="A10" s="3084"/>
      <c r="B10" s="3063" t="s">
        <v>2811</v>
      </c>
      <c r="C10" s="3085"/>
      <c r="D10" s="3074"/>
      <c r="E10" s="3074"/>
      <c r="F10" s="2943"/>
      <c r="G10" s="2943"/>
      <c r="H10" s="1465"/>
      <c r="I10" s="3086"/>
      <c r="J10" s="3087"/>
      <c r="K10" s="1465"/>
      <c r="L10" s="3086"/>
      <c r="M10" s="3087"/>
      <c r="N10" s="1465"/>
      <c r="O10" s="3086"/>
      <c r="P10" s="3087"/>
      <c r="Q10" s="1465"/>
      <c r="R10" s="3086"/>
      <c r="S10" s="3070"/>
      <c r="T10" s="3070"/>
      <c r="U10" s="3070"/>
      <c r="V10" s="3070"/>
      <c r="W10" s="3070"/>
      <c r="X10" s="3070"/>
      <c r="Y10" s="3070"/>
      <c r="Z10" s="3070"/>
      <c r="AA10" s="3070"/>
      <c r="AB10" s="3070"/>
      <c r="AC10" s="3070"/>
    </row>
    <row r="11" spans="1:29" s="2641" customFormat="1" ht="12.75">
      <c r="A11" s="3088"/>
      <c r="B11" s="2948"/>
      <c r="C11" s="3074"/>
      <c r="D11" s="3074"/>
      <c r="E11" s="3074"/>
      <c r="F11" s="2948"/>
      <c r="G11" s="3089"/>
      <c r="H11" s="1465"/>
      <c r="I11" s="3086"/>
      <c r="J11" s="3087"/>
      <c r="K11" s="1465"/>
      <c r="L11" s="3086"/>
      <c r="M11" s="3087"/>
      <c r="N11" s="1465"/>
      <c r="O11" s="3086"/>
      <c r="P11" s="3087"/>
      <c r="Q11" s="1465"/>
      <c r="R11" s="3086"/>
      <c r="S11" s="3070"/>
      <c r="T11" s="3070"/>
      <c r="U11" s="3070"/>
      <c r="V11" s="3070"/>
      <c r="W11" s="3070"/>
      <c r="X11" s="3070"/>
      <c r="Y11" s="3070"/>
      <c r="Z11" s="3070"/>
      <c r="AA11" s="3070"/>
      <c r="AB11" s="3070"/>
      <c r="AC11" s="3070"/>
    </row>
    <row r="12" spans="1:29" s="2662" customFormat="1" ht="18">
      <c r="A12" s="2612"/>
      <c r="B12" s="2666"/>
      <c r="C12" s="2665"/>
      <c r="D12" s="2667"/>
      <c r="E12" s="2665"/>
      <c r="F12" s="2666"/>
      <c r="G12" s="1810"/>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1" customFormat="1" ht="13.5" thickBot="1">
      <c r="A14" s="3090"/>
      <c r="B14" s="3090"/>
      <c r="C14" s="3091" t="s">
        <v>2812</v>
      </c>
      <c r="D14" s="3074"/>
      <c r="E14" s="3092"/>
      <c r="F14" s="3092"/>
      <c r="G14" s="3067" t="s">
        <v>2813</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1" customFormat="1" ht="38.25">
      <c r="A15" s="3096" t="s">
        <v>2814</v>
      </c>
      <c r="B15" s="3097" t="s">
        <v>2792</v>
      </c>
      <c r="C15" s="3098" t="str">
        <f>C3</f>
        <v>估价对象周边居住用地比例、居住小区规模和社区发展完善程度，综合评价居住社区成熟度一般</v>
      </c>
      <c r="D15" s="3074"/>
      <c r="E15" s="3099" t="s">
        <v>2815</v>
      </c>
      <c r="F15" s="3097" t="s">
        <v>2816</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1" customFormat="1" ht="25.5">
      <c r="A16" s="3101"/>
      <c r="B16" s="2541" t="s">
        <v>2796</v>
      </c>
      <c r="C16" s="3102" t="str">
        <f>C4</f>
        <v>估价对象位于XX商圈，周边商业氛围成熟，人流量大，商业繁华度好</v>
      </c>
      <c r="D16" s="3074"/>
      <c r="E16" s="3103"/>
      <c r="F16" s="3060" t="s">
        <v>2798</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1" customFormat="1" ht="25.5">
      <c r="A17" s="3101"/>
      <c r="B17" s="2541" t="s">
        <v>2800</v>
      </c>
      <c r="C17" s="3102" t="str">
        <f>C5</f>
        <v>估价对象位于XX商圈，周边办公楼项目较多，入驻率高，办公集聚程度较好</v>
      </c>
      <c r="D17" s="2948"/>
      <c r="E17" s="3103"/>
      <c r="F17" s="3060" t="s">
        <v>2817</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1" customFormat="1" ht="38.25">
      <c r="A18" s="3101"/>
      <c r="B18" s="3060" t="s">
        <v>2804</v>
      </c>
      <c r="C18" s="3104" t="str">
        <f>C6</f>
        <v>估价对象周边道路状况、公共交通通达情况、停车便捷程度，综合评价交通便捷度较好</v>
      </c>
      <c r="D18" s="2948"/>
      <c r="E18" s="3103"/>
      <c r="F18" s="3060" t="s">
        <v>2807</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1" customFormat="1" ht="12.75">
      <c r="A19" s="3101"/>
      <c r="B19" s="3060" t="s">
        <v>2818</v>
      </c>
      <c r="C19" s="3105"/>
      <c r="D19" s="3074"/>
      <c r="E19" s="3103"/>
      <c r="F19" s="3059" t="s">
        <v>2802</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1" customFormat="1" ht="25.5">
      <c r="A20" s="3101"/>
      <c r="B20" s="3060" t="s">
        <v>2819</v>
      </c>
      <c r="C20" s="3102" t="str">
        <f>C9</f>
        <v>区域自然环境：；人文环境；综合评价环境状况一般</v>
      </c>
      <c r="D20" s="2948"/>
      <c r="E20" s="3103"/>
      <c r="F20" s="3059" t="s">
        <v>2805</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1" customFormat="1" ht="25.5">
      <c r="A21" s="3101"/>
      <c r="B21" s="3059" t="s">
        <v>2802</v>
      </c>
      <c r="C21" s="3104" t="str">
        <f>C7</f>
        <v>估价对象所在区域公共配套设施齐备情况</v>
      </c>
      <c r="D21" s="3074"/>
      <c r="E21" s="3103"/>
      <c r="F21" s="3060" t="s">
        <v>2820</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1" customFormat="1" ht="12.75">
      <c r="A22" s="3101"/>
      <c r="B22" s="3059" t="s">
        <v>2805</v>
      </c>
      <c r="C22" s="3104" t="str">
        <f>C8</f>
        <v>估价对象所在区域基础设施水平</v>
      </c>
      <c r="D22" s="3074"/>
      <c r="E22" s="3103"/>
      <c r="F22" s="3060" t="s">
        <v>2811</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2820</v>
      </c>
      <c r="C23" s="3106"/>
      <c r="D23" s="3093"/>
      <c r="E23" s="3108"/>
      <c r="F23" s="3062" t="s">
        <v>2821</v>
      </c>
      <c r="G23" s="3109"/>
      <c r="H23" s="3093"/>
      <c r="I23" s="3094"/>
      <c r="J23" s="3093"/>
      <c r="K23" s="3093"/>
      <c r="L23" s="3094"/>
      <c r="M23" s="3093"/>
      <c r="N23" s="3093"/>
      <c r="O23" s="3094"/>
      <c r="P23" s="3093"/>
      <c r="Q23" s="3093"/>
      <c r="R23" s="3095"/>
    </row>
    <row r="24" spans="1:29" s="3070" customFormat="1" ht="13.5" thickBot="1">
      <c r="A24" s="3110"/>
      <c r="B24" s="3062" t="s">
        <v>2822</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E9" sqref="E9"/>
    </sheetView>
  </sheetViews>
  <sheetFormatPr defaultColWidth="14.625" defaultRowHeight="13.5"/>
  <cols>
    <col min="1" max="1" width="24.375" style="2550" customWidth="1"/>
    <col min="2" max="16384" width="14.625" style="2550"/>
  </cols>
  <sheetData>
    <row r="1" spans="1:9" ht="16.5">
      <c r="A1" s="2548" t="s">
        <v>1155</v>
      </c>
      <c r="B1" s="2548">
        <f>SUM(B14:B23)</f>
        <v>70.739999999999995</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44777</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129</v>
      </c>
      <c r="C5" s="2548">
        <f ca="1">ROUND(B5*10000/$B$1,0)</f>
        <v>18236</v>
      </c>
      <c r="D5" s="2548" t="e">
        <f ca="1">ROUND(B5*10000/$B$2,0)</f>
        <v>#DIV/0!</v>
      </c>
      <c r="E5" s="1601"/>
      <c r="F5" s="2549"/>
      <c r="G5" s="2549"/>
    </row>
    <row r="6" spans="1:9" ht="16.5">
      <c r="A6" s="2548" t="s">
        <v>1163</v>
      </c>
      <c r="B6" s="2548">
        <f ca="1">SUM(G14:G23)</f>
        <v>129</v>
      </c>
      <c r="C6" s="2548">
        <f t="shared" ref="C6:C8" ca="1" si="0">ROUND(B6*10000/$B$1,0)</f>
        <v>18236</v>
      </c>
      <c r="D6" s="2548" t="e">
        <f t="shared" ref="D6:D8" ca="1" si="1">ROUND(B6*10000/$B$2,0)</f>
        <v>#DIV/0!</v>
      </c>
      <c r="E6" s="1601"/>
      <c r="F6" s="2549"/>
      <c r="G6" s="2549"/>
    </row>
    <row r="7" spans="1:9" ht="16.5">
      <c r="A7" s="2548" t="s">
        <v>1164</v>
      </c>
      <c r="B7" s="2548">
        <f>SUM(H14:H23)</f>
        <v>0</v>
      </c>
      <c r="C7" s="2548">
        <f>ROUND(B7*10000/$B$1,0)</f>
        <v>0</v>
      </c>
      <c r="D7" s="2548" t="e">
        <f t="shared" si="1"/>
        <v>#DIV/0!</v>
      </c>
      <c r="E7" s="1601"/>
      <c r="F7" s="2549"/>
      <c r="G7" s="2549"/>
    </row>
    <row r="8" spans="1:9" ht="16.5">
      <c r="A8" s="2548" t="s">
        <v>1165</v>
      </c>
      <c r="B8" s="2548">
        <f>SUM(I14:I23)</f>
        <v>0</v>
      </c>
      <c r="C8" s="2548">
        <f t="shared" si="0"/>
        <v>0</v>
      </c>
      <c r="D8" s="2548" t="e">
        <f t="shared" si="1"/>
        <v>#DIV/0!</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3" t="s">
        <v>3050</v>
      </c>
      <c r="B14" s="2883">
        <f>'数据-取费表'!B5</f>
        <v>70.739999999999995</v>
      </c>
      <c r="C14" s="2883">
        <f>项目基本情况!C13</f>
        <v>0</v>
      </c>
      <c r="D14" s="2883">
        <f ca="1">IF('数据-取费表'!B3="万元",IF(A14="估价对象1（结果表）",结果表!H121,'结果表 (1修多)'!H125),IF(A14="估价对象1（结果表）",结果表!H121,'结果表 (1修多)'!H125)/10000)</f>
        <v>129</v>
      </c>
      <c r="E14" s="2883">
        <f ca="1">ROUND(D14*10000/B14,0)</f>
        <v>18236</v>
      </c>
      <c r="F14" s="2883" t="e">
        <f ca="1">ROUND(D14*10000/C14,0)</f>
        <v>#DIV/0!</v>
      </c>
      <c r="G14" s="2883">
        <f ca="1">IF('数据-取费表'!B3="万元",IF(A14="估价对象1（结果表）",结果表!D125,'结果表 (1修多)'!D129),IF(A14="估价对象1（结果表）",结果表!D125,'结果表 (1修多)'!D129)/10000)</f>
        <v>129</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ht="16.5">
      <c r="A15" s="2555" t="s">
        <v>1172</v>
      </c>
      <c r="B15" s="2556"/>
      <c r="C15" s="2556"/>
      <c r="D15" s="2556"/>
      <c r="E15" s="2883" t="e">
        <f t="shared" ref="E15:E23" si="2">ROUND(D15*10000/B15,0)</f>
        <v>#DIV/0!</v>
      </c>
      <c r="F15" s="2883" t="e">
        <f t="shared" ref="F15:F23" si="3">ROUND(D15*10000/C15,0)</f>
        <v>#DIV/0!</v>
      </c>
      <c r="G15" s="1273"/>
      <c r="H15" s="1273"/>
      <c r="I15" s="2556"/>
    </row>
    <row r="16" spans="1:9" ht="16.5">
      <c r="A16" s="2555" t="s">
        <v>1173</v>
      </c>
      <c r="B16" s="2556"/>
      <c r="C16" s="2556"/>
      <c r="D16" s="2556"/>
      <c r="E16" s="2883" t="e">
        <f t="shared" si="2"/>
        <v>#DIV/0!</v>
      </c>
      <c r="F16" s="2883" t="e">
        <f t="shared" si="3"/>
        <v>#DIV/0!</v>
      </c>
      <c r="G16" s="1273"/>
      <c r="H16" s="1273"/>
      <c r="I16" s="2556"/>
    </row>
    <row r="17" spans="1:9" ht="16.5">
      <c r="A17" s="2555" t="s">
        <v>1174</v>
      </c>
      <c r="B17" s="2556"/>
      <c r="C17" s="2556"/>
      <c r="D17" s="2556"/>
      <c r="E17" s="2883" t="e">
        <f t="shared" si="2"/>
        <v>#DIV/0!</v>
      </c>
      <c r="F17" s="2883" t="e">
        <f t="shared" si="3"/>
        <v>#DIV/0!</v>
      </c>
      <c r="G17" s="1273"/>
      <c r="H17" s="1273"/>
      <c r="I17" s="2556"/>
    </row>
    <row r="18" spans="1:9" ht="16.5">
      <c r="A18" s="2555" t="s">
        <v>1175</v>
      </c>
      <c r="B18" s="2556"/>
      <c r="C18" s="2556"/>
      <c r="D18" s="2556"/>
      <c r="E18" s="2883" t="e">
        <f t="shared" si="2"/>
        <v>#DIV/0!</v>
      </c>
      <c r="F18" s="2883" t="e">
        <f t="shared" si="3"/>
        <v>#DIV/0!</v>
      </c>
      <c r="G18" s="2556"/>
      <c r="H18" s="2556"/>
      <c r="I18" s="2556"/>
    </row>
    <row r="19" spans="1:9" ht="16.5">
      <c r="A19" s="2555" t="s">
        <v>1176</v>
      </c>
      <c r="B19" s="2556"/>
      <c r="C19" s="2556"/>
      <c r="D19" s="2556"/>
      <c r="E19" s="2883" t="e">
        <f t="shared" si="2"/>
        <v>#DIV/0!</v>
      </c>
      <c r="F19" s="2883" t="e">
        <f t="shared" si="3"/>
        <v>#DIV/0!</v>
      </c>
      <c r="G19" s="2556"/>
      <c r="H19" s="2556"/>
      <c r="I19" s="2556"/>
    </row>
    <row r="20" spans="1:9" ht="16.5">
      <c r="A20" s="2555" t="s">
        <v>1177</v>
      </c>
      <c r="B20" s="2556"/>
      <c r="C20" s="2556"/>
      <c r="D20" s="2556"/>
      <c r="E20" s="2883" t="e">
        <f t="shared" si="2"/>
        <v>#DIV/0!</v>
      </c>
      <c r="F20" s="2883" t="e">
        <f t="shared" si="3"/>
        <v>#DIV/0!</v>
      </c>
      <c r="G20" s="2556"/>
      <c r="H20" s="2556"/>
      <c r="I20" s="2556"/>
    </row>
    <row r="21" spans="1:9" ht="16.5">
      <c r="A21" s="2555" t="s">
        <v>1178</v>
      </c>
      <c r="B21" s="2556"/>
      <c r="C21" s="2556"/>
      <c r="D21" s="2556"/>
      <c r="E21" s="2883" t="e">
        <f t="shared" si="2"/>
        <v>#DIV/0!</v>
      </c>
      <c r="F21" s="2883" t="e">
        <f t="shared" si="3"/>
        <v>#DIV/0!</v>
      </c>
      <c r="G21" s="2556"/>
      <c r="H21" s="2556"/>
      <c r="I21" s="2556"/>
    </row>
    <row r="22" spans="1:9" ht="16.5">
      <c r="A22" s="2555" t="s">
        <v>1179</v>
      </c>
      <c r="B22" s="2556"/>
      <c r="C22" s="2556"/>
      <c r="D22" s="2556"/>
      <c r="E22" s="2883" t="e">
        <f t="shared" si="2"/>
        <v>#DIV/0!</v>
      </c>
      <c r="F22" s="2883" t="e">
        <f t="shared" si="3"/>
        <v>#DIV/0!</v>
      </c>
      <c r="G22" s="2556"/>
      <c r="H22" s="2556"/>
      <c r="I22" s="2556"/>
    </row>
    <row r="23" spans="1:9" ht="16.5">
      <c r="A23" s="2555" t="s">
        <v>1180</v>
      </c>
      <c r="B23" s="2556"/>
      <c r="C23" s="2556"/>
      <c r="D23" s="2556"/>
      <c r="E23" s="2884" t="e">
        <f t="shared" si="2"/>
        <v>#DIV/0!</v>
      </c>
      <c r="F23" s="2884"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1824</v>
      </c>
      <c r="B1" s="1428"/>
      <c r="C1" s="1428"/>
      <c r="D1" s="1428"/>
      <c r="E1" s="1428"/>
      <c r="F1" s="1428"/>
      <c r="G1" s="1428"/>
      <c r="H1" s="1428"/>
      <c r="I1" s="1428"/>
    </row>
    <row r="2" spans="1:15" ht="21.75" customHeight="1">
      <c r="A2" s="3531" t="s">
        <v>1825</v>
      </c>
      <c r="B2" s="3531"/>
      <c r="C2" s="3531"/>
      <c r="D2" s="3531"/>
      <c r="E2" s="3531"/>
      <c r="F2" s="3531"/>
      <c r="G2" s="3531"/>
      <c r="H2" s="3531"/>
      <c r="I2" s="3531"/>
      <c r="J2" s="2841"/>
    </row>
    <row r="3" spans="1:15" ht="12.75">
      <c r="A3" s="3532" t="s">
        <v>1653</v>
      </c>
      <c r="B3" s="3533"/>
      <c r="C3" s="3533"/>
      <c r="D3" s="3533"/>
      <c r="E3" s="3533"/>
      <c r="F3" s="3533"/>
      <c r="G3" s="3533"/>
      <c r="H3" s="3533"/>
      <c r="I3" s="3533"/>
      <c r="J3" s="2811"/>
    </row>
    <row r="4" spans="1:15" ht="14.25">
      <c r="A4" s="2679" t="s">
        <v>1654</v>
      </c>
      <c r="B4" s="2679" t="s">
        <v>1655</v>
      </c>
      <c r="C4" s="2680" t="s">
        <v>3032</v>
      </c>
      <c r="D4" s="2680" t="s">
        <v>3032</v>
      </c>
      <c r="E4" s="3450" t="s">
        <v>1826</v>
      </c>
      <c r="F4" s="3455"/>
      <c r="G4" s="3455"/>
      <c r="H4" s="3455"/>
      <c r="I4" s="3456"/>
      <c r="J4" s="2812"/>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534" t="s">
        <v>1657</v>
      </c>
      <c r="B5" s="3534">
        <v>25</v>
      </c>
      <c r="C5" s="3535"/>
      <c r="D5" s="3538"/>
      <c r="E5" s="12" t="s">
        <v>1658</v>
      </c>
      <c r="F5" s="2056"/>
      <c r="G5" s="2056"/>
      <c r="H5" s="2056"/>
      <c r="I5" s="2051"/>
      <c r="J5" s="2812"/>
    </row>
    <row r="6" spans="1:15" ht="12.75">
      <c r="A6" s="3534"/>
      <c r="B6" s="3534"/>
      <c r="C6" s="3536"/>
      <c r="D6" s="3538"/>
      <c r="E6" s="12" t="s">
        <v>1659</v>
      </c>
      <c r="F6" s="2056"/>
      <c r="G6" s="2056"/>
      <c r="H6" s="2056"/>
      <c r="I6" s="2051"/>
      <c r="J6" s="2812"/>
    </row>
    <row r="7" spans="1:15" ht="12.75">
      <c r="A7" s="3534"/>
      <c r="B7" s="3534"/>
      <c r="C7" s="3537"/>
      <c r="D7" s="3538"/>
      <c r="E7" s="12" t="s">
        <v>1660</v>
      </c>
      <c r="F7" s="2056"/>
      <c r="G7" s="2056"/>
      <c r="H7" s="2056"/>
      <c r="I7" s="2051"/>
      <c r="J7" s="2812"/>
    </row>
    <row r="8" spans="1:15" ht="12.75">
      <c r="A8" s="3534" t="s">
        <v>1661</v>
      </c>
      <c r="B8" s="3534">
        <v>15</v>
      </c>
      <c r="C8" s="3535"/>
      <c r="D8" s="3538"/>
      <c r="E8" s="12" t="s">
        <v>1662</v>
      </c>
      <c r="F8" s="2056"/>
      <c r="G8" s="2056"/>
      <c r="H8" s="2056"/>
      <c r="I8" s="2051"/>
      <c r="J8" s="2812"/>
    </row>
    <row r="9" spans="1:15" ht="12.75">
      <c r="A9" s="3534"/>
      <c r="B9" s="3534"/>
      <c r="C9" s="3537"/>
      <c r="D9" s="3538"/>
      <c r="E9" s="12" t="s">
        <v>1663</v>
      </c>
      <c r="F9" s="2056"/>
      <c r="G9" s="2056"/>
      <c r="H9" s="2056"/>
      <c r="I9" s="2051"/>
      <c r="J9" s="2812"/>
    </row>
    <row r="10" spans="1:15" ht="12.75">
      <c r="A10" s="3534" t="s">
        <v>1664</v>
      </c>
      <c r="B10" s="3534">
        <v>15</v>
      </c>
      <c r="C10" s="3535"/>
      <c r="D10" s="3538"/>
      <c r="E10" s="12" t="s">
        <v>1665</v>
      </c>
      <c r="F10" s="2056"/>
      <c r="G10" s="2056"/>
      <c r="H10" s="2056"/>
      <c r="I10" s="2051"/>
      <c r="J10" s="2812"/>
    </row>
    <row r="11" spans="1:15" ht="12.75">
      <c r="A11" s="3534"/>
      <c r="B11" s="3534"/>
      <c r="C11" s="3537"/>
      <c r="D11" s="3538"/>
      <c r="E11" s="12" t="s">
        <v>1666</v>
      </c>
      <c r="F11" s="2056"/>
      <c r="G11" s="2056"/>
      <c r="H11" s="2056"/>
      <c r="I11" s="2051"/>
      <c r="J11" s="2812"/>
    </row>
    <row r="12" spans="1:15" ht="12.75">
      <c r="A12" s="3534" t="s">
        <v>1667</v>
      </c>
      <c r="B12" s="3534">
        <v>15</v>
      </c>
      <c r="C12" s="3535"/>
      <c r="D12" s="3538"/>
      <c r="E12" s="12" t="s">
        <v>1668</v>
      </c>
      <c r="F12" s="2056"/>
      <c r="G12" s="2056"/>
      <c r="H12" s="2056"/>
      <c r="I12" s="2051"/>
      <c r="J12" s="2812"/>
    </row>
    <row r="13" spans="1:15" ht="12.75">
      <c r="A13" s="3534"/>
      <c r="B13" s="3534"/>
      <c r="C13" s="3537"/>
      <c r="D13" s="3538"/>
      <c r="E13" s="12" t="s">
        <v>1669</v>
      </c>
      <c r="F13" s="2056"/>
      <c r="G13" s="2056"/>
      <c r="H13" s="2056"/>
      <c r="I13" s="2051"/>
      <c r="J13" s="2812"/>
    </row>
    <row r="14" spans="1:15" ht="12.75">
      <c r="A14" s="3534" t="s">
        <v>1670</v>
      </c>
      <c r="B14" s="3534">
        <v>30</v>
      </c>
      <c r="C14" s="3535">
        <v>1</v>
      </c>
      <c r="D14" s="3538">
        <v>1</v>
      </c>
      <c r="E14" s="12" t="s">
        <v>1671</v>
      </c>
      <c r="F14" s="2056"/>
      <c r="G14" s="2056"/>
      <c r="H14" s="2056"/>
      <c r="I14" s="2051"/>
      <c r="J14" s="2812"/>
    </row>
    <row r="15" spans="1:15" ht="12.75">
      <c r="A15" s="3534"/>
      <c r="B15" s="3534"/>
      <c r="C15" s="3536"/>
      <c r="D15" s="3538"/>
      <c r="E15" s="12" t="s">
        <v>1672</v>
      </c>
      <c r="F15" s="2056"/>
      <c r="G15" s="2056"/>
      <c r="H15" s="2056"/>
      <c r="I15" s="2051"/>
      <c r="J15" s="2812"/>
    </row>
    <row r="16" spans="1:15" ht="12.75">
      <c r="A16" s="3534"/>
      <c r="B16" s="3534"/>
      <c r="C16" s="3537"/>
      <c r="D16" s="3538"/>
      <c r="E16" s="12" t="s">
        <v>1673</v>
      </c>
      <c r="F16" s="2056"/>
      <c r="G16" s="2056"/>
      <c r="H16" s="2056"/>
      <c r="I16" s="2051"/>
      <c r="J16" s="2812"/>
    </row>
    <row r="17" spans="1:36" ht="15">
      <c r="A17" s="2681" t="s">
        <v>1674</v>
      </c>
      <c r="B17" s="2061"/>
      <c r="C17" s="2682">
        <f>SUM(C5:C16)</f>
        <v>1</v>
      </c>
      <c r="D17" s="2682">
        <f>SUM(D5:D16)</f>
        <v>1</v>
      </c>
      <c r="E17" s="2530"/>
      <c r="F17" s="2530"/>
      <c r="G17" s="2530"/>
      <c r="H17" s="2530"/>
      <c r="I17" s="2530"/>
      <c r="J17" s="2813"/>
    </row>
    <row r="18" spans="1:36" ht="32.450000000000003" customHeight="1" thickBot="1">
      <c r="A18" s="2683" t="s">
        <v>1675</v>
      </c>
      <c r="B18" s="2684"/>
      <c r="C18" s="2685">
        <f>ROUND(C17/SUM(C17:D17),2)</f>
        <v>0.5</v>
      </c>
      <c r="D18" s="2685">
        <f>1-C18</f>
        <v>0.5</v>
      </c>
      <c r="E18" s="3543" t="s">
        <v>2757</v>
      </c>
      <c r="F18" s="3544"/>
      <c r="G18" s="3544"/>
      <c r="H18" s="3544"/>
      <c r="I18" s="3544"/>
      <c r="J18" s="2813"/>
    </row>
    <row r="19" spans="1:36" ht="15">
      <c r="A19" s="2686" t="s">
        <v>1676</v>
      </c>
      <c r="B19" s="2687" t="s">
        <v>1677</v>
      </c>
      <c r="C19" s="2688">
        <f ca="1">SUMIF(INDIRECT("'"&amp;C4&amp;"'"&amp;"!A:A"),'结果表 (1修多)'!B19,INDIRECT("'"&amp;C4&amp;"'"&amp;"!B:B"))</f>
        <v>1781</v>
      </c>
      <c r="D19" s="2689">
        <f ca="1">SUMIF(INDIRECT("'"&amp;D4&amp;"'"&amp;"!A:A"),'结果表 (1修多)'!B19,INDIRECT("'"&amp;D4&amp;"'"&amp;"!B:B"))</f>
        <v>1781</v>
      </c>
      <c r="E19" s="2686" t="s">
        <v>1678</v>
      </c>
      <c r="F19" s="2687" t="s">
        <v>1677</v>
      </c>
      <c r="G19" s="2690">
        <f ca="1">ROUND(C19*$C$18+D19*$D$18,0)</f>
        <v>1781</v>
      </c>
      <c r="H19" s="2691" t="str">
        <f>'数据-取费表'!B3</f>
        <v>万元</v>
      </c>
      <c r="I19" s="2530"/>
      <c r="J19" s="2813"/>
    </row>
    <row r="20" spans="1:36" ht="15">
      <c r="A20" s="2692"/>
      <c r="B20" s="1661" t="s">
        <v>1679</v>
      </c>
      <c r="C20" s="1886">
        <f ca="1">SUMIF(INDIRECT("'"&amp;C4&amp;"'"&amp;"!A:A"),'结果表 (1修多)'!B20,INDIRECT("'"&amp;C4&amp;"'"&amp;"!B:B"))</f>
        <v>12506</v>
      </c>
      <c r="D20" s="1889">
        <f ca="1">SUMIF(INDIRECT("'"&amp;D4&amp;"'"&amp;"!A:A"),'结果表 (1修多)'!B20,INDIRECT("'"&amp;D4&amp;"'"&amp;"!B:B"))</f>
        <v>12506</v>
      </c>
      <c r="E20" s="2692"/>
      <c r="F20" s="1661" t="s">
        <v>1679</v>
      </c>
      <c r="G20" s="2060">
        <f ca="1">ROUND(C20*$C$18+D20*$D$18,0)</f>
        <v>12506</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539" t="s">
        <v>1682</v>
      </c>
      <c r="B24" s="2687" t="s">
        <v>1677</v>
      </c>
      <c r="C24" s="2690">
        <f>D30</f>
        <v>0</v>
      </c>
      <c r="D24" s="2642"/>
      <c r="E24" s="945"/>
      <c r="F24" s="945"/>
      <c r="G24" s="945"/>
      <c r="H24" s="945"/>
      <c r="I24" s="945"/>
      <c r="J24" s="2813"/>
    </row>
    <row r="25" spans="1:36" ht="21.75" customHeight="1">
      <c r="A25" s="354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t="s">
        <v>1827</v>
      </c>
      <c r="B27" s="2705">
        <v>0</v>
      </c>
      <c r="C27" s="2705">
        <v>0</v>
      </c>
      <c r="D27" s="2706">
        <f>ROUND(C27*B27/10000,0)</f>
        <v>0</v>
      </c>
      <c r="E27" s="945"/>
      <c r="F27" s="945"/>
      <c r="G27" s="945"/>
      <c r="H27" s="945"/>
      <c r="I27" s="945"/>
      <c r="J27" s="2813"/>
    </row>
    <row r="28" spans="1:36" ht="14.25">
      <c r="A28" s="2704"/>
      <c r="B28" s="2705"/>
      <c r="C28" s="2705"/>
      <c r="D28" s="2706">
        <f>ROUND(C28*B28/10000,0)</f>
        <v>0</v>
      </c>
      <c r="E28" s="945"/>
      <c r="F28" s="945"/>
      <c r="G28" s="945"/>
      <c r="H28" s="945"/>
      <c r="I28" s="945"/>
      <c r="J28" s="2813"/>
    </row>
    <row r="29" spans="1:36" ht="14.25">
      <c r="A29" s="2704"/>
      <c r="B29" s="2705"/>
      <c r="C29" s="2705"/>
      <c r="D29" s="2706">
        <f t="shared" ref="D29" si="0">ROUND(C29*B29/10000,0)</f>
        <v>0</v>
      </c>
      <c r="E29" s="945"/>
      <c r="F29" s="945"/>
      <c r="G29" s="945"/>
      <c r="H29" s="945"/>
      <c r="I29" s="945"/>
      <c r="J29" s="2813"/>
    </row>
    <row r="30" spans="1:36" ht="15" thickBot="1">
      <c r="A30" s="2740" t="s">
        <v>1828</v>
      </c>
      <c r="B30" s="2741"/>
      <c r="C30" s="2741"/>
      <c r="D30" s="2741"/>
      <c r="E30" s="2708" t="s">
        <v>2761</v>
      </c>
      <c r="F30" s="2530"/>
      <c r="G30" s="2530"/>
      <c r="H30" s="2530"/>
      <c r="I30" s="2530"/>
      <c r="J30" s="2813"/>
    </row>
    <row r="31" spans="1:36" s="2806" customFormat="1" ht="27.6"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2" customFormat="1" ht="16.5" thickTop="1" thickBot="1">
      <c r="A32" s="3442" t="s">
        <v>1829</v>
      </c>
      <c r="B32" s="3442"/>
      <c r="C32" s="3442"/>
      <c r="D32" s="3442"/>
      <c r="E32" s="3442"/>
      <c r="F32" s="3442"/>
      <c r="G32" s="3442"/>
      <c r="H32" s="3442"/>
      <c r="I32" s="3442"/>
      <c r="J32" s="2842"/>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8"/>
      <c r="B33" s="2742" t="s">
        <v>1830</v>
      </c>
      <c r="C33" s="2743">
        <f ca="1">典型户型修正!R27</f>
        <v>18199</v>
      </c>
      <c r="D33" s="2530" t="s">
        <v>1831</v>
      </c>
      <c r="E33" s="945"/>
      <c r="F33" s="945"/>
      <c r="G33" s="945"/>
      <c r="H33" s="945"/>
      <c r="I33" s="945"/>
      <c r="J33" s="2813"/>
    </row>
    <row r="34" spans="1:16" ht="15">
      <c r="A34" s="1479" t="s">
        <v>1832</v>
      </c>
      <c r="B34" s="2744" t="s">
        <v>1833</v>
      </c>
      <c r="C34" s="2745">
        <f ca="1">典型户型修正!B2</f>
        <v>1781</v>
      </c>
      <c r="D34" s="2746" t="str">
        <f>IF('数据-取费表'!B3="万元","万元","元")</f>
        <v>万元</v>
      </c>
      <c r="E34" s="945"/>
      <c r="F34" s="945"/>
      <c r="G34" s="945"/>
      <c r="H34" s="945"/>
      <c r="I34" s="945"/>
      <c r="J34" s="2813"/>
    </row>
    <row r="35" spans="1:16" ht="15.75" thickBot="1">
      <c r="A35" s="1480"/>
      <c r="B35" s="2747" t="s">
        <v>1834</v>
      </c>
      <c r="C35" s="2696">
        <f ca="1">典型户型修正!B3</f>
        <v>12506</v>
      </c>
      <c r="D35" s="2530" t="s">
        <v>1835</v>
      </c>
      <c r="E35" s="945"/>
      <c r="F35" s="945"/>
      <c r="G35" s="945"/>
      <c r="H35" s="945"/>
      <c r="I35" s="945"/>
      <c r="J35" s="2813"/>
    </row>
    <row r="36" spans="1:16" ht="15">
      <c r="A36" s="1481"/>
      <c r="B36" s="1435" t="s">
        <v>1836</v>
      </c>
      <c r="C36" s="2748">
        <f>IF('数据-取费表'!B3="万元",典型户型修正!V25,典型户型修正!U25)</f>
        <v>0</v>
      </c>
      <c r="D36" s="2530" t="str">
        <f>D34</f>
        <v>万元</v>
      </c>
      <c r="E36" s="945"/>
      <c r="F36" s="945"/>
      <c r="G36" s="945"/>
      <c r="H36" s="945"/>
      <c r="I36" s="945"/>
      <c r="J36" s="2813"/>
    </row>
    <row r="37" spans="1:16" ht="15.75" thickBot="1">
      <c r="A37" s="1434"/>
      <c r="B37" s="1436" t="s">
        <v>1837</v>
      </c>
      <c r="C37" s="2749">
        <f>IF('数据-取费表'!B3="万元",典型户型修正!Y25,典型户型修正!X25)</f>
        <v>0</v>
      </c>
      <c r="D37" s="2530" t="str">
        <f>D34</f>
        <v>万元</v>
      </c>
      <c r="E37" s="945"/>
      <c r="F37" s="945"/>
      <c r="G37" s="945"/>
      <c r="H37" s="945"/>
      <c r="I37" s="945"/>
      <c r="J37" s="2813"/>
    </row>
    <row r="38" spans="1:16" ht="15.75" thickBot="1">
      <c r="A38" s="3539" t="s">
        <v>1838</v>
      </c>
      <c r="B38" s="1435" t="s">
        <v>1839</v>
      </c>
      <c r="C38" s="2723"/>
      <c r="D38" s="2724"/>
      <c r="E38" s="1647"/>
      <c r="F38" s="1647"/>
      <c r="G38" s="945"/>
      <c r="H38" s="945"/>
      <c r="I38" s="945"/>
      <c r="J38" s="2813"/>
    </row>
    <row r="39" spans="1:16" ht="15.75" thickBot="1">
      <c r="A39" s="3541"/>
      <c r="B39" s="2061" t="s">
        <v>1840</v>
      </c>
      <c r="C39" s="2725"/>
      <c r="D39" s="1279"/>
      <c r="E39" s="1279"/>
      <c r="F39" s="1647"/>
      <c r="G39" s="1279"/>
      <c r="H39" s="1279"/>
      <c r="I39" s="1279"/>
      <c r="J39" s="2817"/>
    </row>
    <row r="40" spans="1:16" ht="15.75" thickBot="1">
      <c r="A40" s="3542"/>
      <c r="B40" s="1436" t="s">
        <v>1841</v>
      </c>
      <c r="C40" s="2726"/>
      <c r="D40" s="2727" t="s">
        <v>1842</v>
      </c>
      <c r="E40" s="1279"/>
      <c r="F40" s="1647"/>
      <c r="G40" s="1279"/>
      <c r="H40" s="1279"/>
      <c r="I40" s="1279"/>
      <c r="J40" s="2817"/>
    </row>
    <row r="41" spans="1:16" ht="15">
      <c r="A41" s="2692" t="s">
        <v>1843</v>
      </c>
      <c r="B41" s="2728" t="s">
        <v>1844</v>
      </c>
      <c r="C41" s="2729" t="s">
        <v>1845</v>
      </c>
      <c r="D41" s="2729" t="s">
        <v>1846</v>
      </c>
      <c r="E41" s="2730" t="s">
        <v>1847</v>
      </c>
      <c r="F41" s="1647"/>
      <c r="G41" s="1279"/>
      <c r="H41" s="1279"/>
      <c r="I41" s="1279"/>
      <c r="J41" s="2817"/>
    </row>
    <row r="42" spans="1:16" ht="14.25">
      <c r="A42" s="2731" t="s">
        <v>1848</v>
      </c>
      <c r="B42" s="2732"/>
      <c r="C42" s="2733"/>
      <c r="D42" s="2733"/>
      <c r="E42" s="2734"/>
      <c r="F42" s="1647"/>
      <c r="G42" s="1279"/>
      <c r="H42" s="1279"/>
      <c r="I42" s="1279"/>
      <c r="J42" s="2817"/>
    </row>
    <row r="43" spans="1:16" ht="14.25">
      <c r="A43" s="2731" t="s">
        <v>1849</v>
      </c>
      <c r="B43" s="2732"/>
      <c r="C43" s="2733"/>
      <c r="D43" s="2733"/>
      <c r="E43" s="2734"/>
      <c r="F43" s="1647"/>
      <c r="G43" s="1279"/>
      <c r="H43" s="1279"/>
      <c r="I43" s="1279"/>
      <c r="J43" s="2817"/>
    </row>
    <row r="44" spans="1:16" ht="15" thickBot="1">
      <c r="A44" s="2735"/>
      <c r="B44" s="2736"/>
      <c r="C44" s="2737"/>
      <c r="D44" s="2737"/>
      <c r="E44" s="2722"/>
      <c r="F44" s="1647"/>
      <c r="G44" s="1279"/>
      <c r="H44" s="1279"/>
      <c r="I44" s="1279"/>
      <c r="J44" s="2817"/>
    </row>
    <row r="45" spans="1:16" ht="12.75">
      <c r="A45" s="1448"/>
      <c r="B45" s="1448"/>
      <c r="C45" s="1448"/>
      <c r="D45" s="1448"/>
      <c r="E45" s="1448"/>
      <c r="F45" s="1404"/>
      <c r="G45" s="1404"/>
      <c r="H45" s="1404"/>
      <c r="I45" s="2738"/>
      <c r="J45" s="2818"/>
    </row>
    <row r="46" spans="1:16" ht="18.75">
      <c r="A46" s="1438" t="s">
        <v>1850</v>
      </c>
      <c r="B46" s="1439"/>
      <c r="C46" s="1439"/>
      <c r="D46" s="2750"/>
      <c r="E46" s="2750"/>
      <c r="F46" s="2750"/>
      <c r="G46" s="2750"/>
      <c r="H46" s="2750"/>
      <c r="I46" s="2807" t="s">
        <v>2756</v>
      </c>
      <c r="J46" s="2843"/>
      <c r="K46" s="1442" t="s">
        <v>1705</v>
      </c>
      <c r="L46" s="1443"/>
      <c r="M46" s="1443"/>
      <c r="N46" s="1443"/>
      <c r="O46" s="1443"/>
      <c r="P46" s="1443"/>
    </row>
    <row r="47" spans="1:16" ht="14.25" customHeight="1" thickBot="1">
      <c r="A47" s="3445" t="s">
        <v>1851</v>
      </c>
      <c r="B47" s="3446"/>
      <c r="C47" s="3472"/>
      <c r="D47" s="246">
        <f ca="1">ROUND(I104*F47,0)</f>
        <v>1781</v>
      </c>
      <c r="E47" s="1509" t="s">
        <v>1852</v>
      </c>
      <c r="F47" s="2528">
        <v>1</v>
      </c>
      <c r="G47" s="2529" t="s">
        <v>1853</v>
      </c>
      <c r="H47" s="945"/>
      <c r="I47" s="945"/>
      <c r="J47" s="2813"/>
      <c r="K47" s="3546" t="s">
        <v>1709</v>
      </c>
      <c r="L47" s="3546"/>
      <c r="M47" s="3546"/>
      <c r="N47" s="3546"/>
      <c r="O47" s="3546"/>
      <c r="P47" s="3546"/>
    </row>
    <row r="48" spans="1:16" ht="14.25" customHeight="1">
      <c r="A48" s="3547" t="s">
        <v>1710</v>
      </c>
      <c r="B48" s="3548"/>
      <c r="C48" s="3548"/>
      <c r="D48" s="3548"/>
      <c r="E48" s="3548"/>
      <c r="F48" s="3548"/>
      <c r="G48" s="3549"/>
      <c r="H48" s="2945"/>
      <c r="I48" s="945"/>
      <c r="J48" s="2813"/>
      <c r="K48" s="2480">
        <v>1</v>
      </c>
      <c r="L48" s="3525" t="s">
        <v>1711</v>
      </c>
      <c r="M48" s="3525"/>
      <c r="N48" s="3550"/>
      <c r="O48" s="3550"/>
      <c r="P48" s="3550"/>
    </row>
    <row r="49" spans="1:17" ht="12" customHeight="1">
      <c r="A49" s="38" t="s">
        <v>1712</v>
      </c>
      <c r="B49" s="39"/>
      <c r="C49" s="40"/>
      <c r="D49" s="1068" t="s">
        <v>1713</v>
      </c>
      <c r="E49" s="235" t="s">
        <v>1714</v>
      </c>
      <c r="F49" s="41" t="s">
        <v>1715</v>
      </c>
      <c r="G49" s="2531" t="s">
        <v>1716</v>
      </c>
      <c r="H49" s="2945"/>
      <c r="I49" s="945"/>
      <c r="J49" s="2813"/>
      <c r="K49" s="2480">
        <v>2</v>
      </c>
      <c r="L49" s="3525" t="s">
        <v>1717</v>
      </c>
      <c r="M49" s="3525"/>
      <c r="N49" s="3551">
        <f>'数据-取费表'!B2</f>
        <v>44777</v>
      </c>
      <c r="O49" s="3551"/>
      <c r="P49" s="3551"/>
    </row>
    <row r="50" spans="1:17" ht="25.5">
      <c r="A50" s="3552" t="s">
        <v>1718</v>
      </c>
      <c r="B50" s="3449"/>
      <c r="C50" s="3449"/>
      <c r="D50" s="12">
        <f ca="1">IF(H50="情况1",0,IF(H50="情况2",D54,IF(H50="情况3",D55,IF(H50="情况4",D56))))</f>
        <v>93</v>
      </c>
      <c r="E50" s="2059" t="str">
        <f>IF(H50="情况4","(销售额-原购置价)×税（费）率","销售额×税（费）率")</f>
        <v>销售额×税（费）率</v>
      </c>
      <c r="F50" s="2532">
        <f>IF(H50="情况1","免征",'数据-取费表'!E29)</f>
        <v>5.5000000000000007E-2</v>
      </c>
      <c r="G50" s="2533" t="s">
        <v>1719</v>
      </c>
      <c r="H50" s="2534" t="s">
        <v>1720</v>
      </c>
      <c r="I50" s="2945"/>
      <c r="J50" s="2820"/>
      <c r="K50" s="2480">
        <v>3</v>
      </c>
      <c r="L50" s="3525" t="s">
        <v>1721</v>
      </c>
      <c r="M50" s="3525"/>
      <c r="N50" s="3526">
        <f ca="1">I104</f>
        <v>1781</v>
      </c>
      <c r="O50" s="3526"/>
      <c r="P50" s="3526"/>
    </row>
    <row r="51" spans="1:17" ht="25.5" customHeight="1">
      <c r="A51" s="2058" t="s">
        <v>1722</v>
      </c>
      <c r="B51" s="3455" t="s">
        <v>1723</v>
      </c>
      <c r="C51" s="3455"/>
      <c r="D51" s="2535">
        <v>0</v>
      </c>
      <c r="E51" s="261" t="s">
        <v>1724</v>
      </c>
      <c r="F51" s="2536" t="s">
        <v>48</v>
      </c>
      <c r="G51" s="3527"/>
      <c r="H51" s="2537" t="s">
        <v>2681</v>
      </c>
      <c r="I51" s="2538"/>
      <c r="J51" s="2821"/>
      <c r="K51" s="2480">
        <v>4</v>
      </c>
      <c r="L51" s="3525" t="str">
        <f>IF(项目基本情况!F5="房地产抵押价值","房地产抵押价值","抵押担保权已注销时的房地产抵押价值")</f>
        <v>房地产抵押价值</v>
      </c>
      <c r="M51" s="3525"/>
      <c r="N51" s="3526">
        <f ca="1">IF(项目基本情况!F5="房地产抵押价值",I112,I114)</f>
        <v>1781</v>
      </c>
      <c r="O51" s="3526"/>
      <c r="P51" s="3526"/>
    </row>
    <row r="52" spans="1:17" ht="25.5" customHeight="1">
      <c r="A52" s="2048"/>
      <c r="B52" s="3455" t="s">
        <v>1725</v>
      </c>
      <c r="C52" s="3455"/>
      <c r="D52" s="2539"/>
      <c r="E52" s="269"/>
      <c r="F52" s="2536"/>
      <c r="G52" s="3528"/>
      <c r="H52" s="2540" t="s">
        <v>2682</v>
      </c>
      <c r="I52" s="2538"/>
      <c r="J52" s="2821"/>
      <c r="K52" s="3525" t="s">
        <v>1726</v>
      </c>
      <c r="L52" s="3525"/>
      <c r="M52" s="3525"/>
      <c r="N52" s="3525"/>
      <c r="O52" s="3525"/>
      <c r="P52" s="3525"/>
    </row>
    <row r="53" spans="1:17" ht="20.45" customHeight="1">
      <c r="A53" s="2541"/>
      <c r="B53" s="3455" t="s">
        <v>1727</v>
      </c>
      <c r="C53" s="3455"/>
      <c r="D53" s="1068"/>
      <c r="E53" s="264"/>
      <c r="F53" s="2536"/>
      <c r="G53" s="3529"/>
      <c r="H53" s="2540" t="s">
        <v>2683</v>
      </c>
      <c r="I53" s="2538"/>
      <c r="J53" s="2821"/>
      <c r="K53" s="2481" t="s">
        <v>1728</v>
      </c>
      <c r="L53" s="3525" t="s">
        <v>1729</v>
      </c>
      <c r="M53" s="3525"/>
      <c r="N53" s="2481" t="s">
        <v>1730</v>
      </c>
      <c r="O53" s="2481" t="s">
        <v>1731</v>
      </c>
      <c r="P53" s="2481" t="s">
        <v>1732</v>
      </c>
    </row>
    <row r="54" spans="1:17" ht="24" customHeight="1">
      <c r="A54" s="2049" t="s">
        <v>1733</v>
      </c>
      <c r="B54" s="3455" t="s">
        <v>1734</v>
      </c>
      <c r="C54" s="3455"/>
      <c r="D54" s="1068">
        <f ca="1">ROUND(D47*'数据-取费表'!E29/(1+'数据-取费表'!F30),0)</f>
        <v>93</v>
      </c>
      <c r="E54" s="2059" t="s">
        <v>1735</v>
      </c>
      <c r="F54" s="2542">
        <f>'数据-取费表'!E29</f>
        <v>5.5000000000000007E-2</v>
      </c>
      <c r="G54" s="2543"/>
      <c r="H54" s="945"/>
      <c r="I54" s="2946"/>
      <c r="J54" s="2821"/>
      <c r="K54" s="2480">
        <v>1</v>
      </c>
      <c r="L54" s="3521" t="s">
        <v>1736</v>
      </c>
      <c r="M54" s="3521"/>
      <c r="N54" s="2482">
        <f ca="1">D50</f>
        <v>93</v>
      </c>
      <c r="O54" s="2480" t="str">
        <f>E50</f>
        <v>销售额×税（费）率</v>
      </c>
      <c r="P54" s="2483">
        <f>F50</f>
        <v>5.5000000000000007E-2</v>
      </c>
    </row>
    <row r="55" spans="1:17" ht="12" customHeight="1">
      <c r="A55" s="2049" t="s">
        <v>1737</v>
      </c>
      <c r="B55" s="3450" t="s">
        <v>2775</v>
      </c>
      <c r="C55" s="3456"/>
      <c r="D55" s="1068">
        <f ca="1">ROUND(D47*'数据-取费表'!E29/(1+'数据-取费表'!F30),0)</f>
        <v>93</v>
      </c>
      <c r="E55" s="2059" t="s">
        <v>1735</v>
      </c>
      <c r="F55" s="2542">
        <f>'数据-取费表'!E29</f>
        <v>5.5000000000000007E-2</v>
      </c>
      <c r="G55" s="2543"/>
      <c r="H55" s="945"/>
      <c r="I55" s="2946"/>
      <c r="J55" s="2821"/>
      <c r="K55" s="2480">
        <v>2</v>
      </c>
      <c r="L55" s="3521" t="s">
        <v>1738</v>
      </c>
      <c r="M55" s="3521"/>
      <c r="N55" s="2482">
        <f t="shared" ref="N55:P56" ca="1" si="1">D57</f>
        <v>1</v>
      </c>
      <c r="O55" s="2480" t="str">
        <f t="shared" si="1"/>
        <v>销售额×税（费）率</v>
      </c>
      <c r="P55" s="2483">
        <f t="shared" si="1"/>
        <v>5.0000000000000001E-4</v>
      </c>
    </row>
    <row r="56" spans="1:17" ht="12" customHeight="1">
      <c r="A56" s="2049" t="s">
        <v>1739</v>
      </c>
      <c r="B56" s="3450" t="s">
        <v>2776</v>
      </c>
      <c r="C56" s="3456"/>
      <c r="D56" s="1068">
        <f ca="1">C70</f>
        <v>93</v>
      </c>
      <c r="E56" s="264" t="s">
        <v>1740</v>
      </c>
      <c r="F56" s="2542">
        <f>'数据-取费表'!E29</f>
        <v>5.5000000000000007E-2</v>
      </c>
      <c r="G56" s="2543"/>
      <c r="H56" s="2947"/>
      <c r="I56" s="2946"/>
      <c r="J56" s="2821"/>
      <c r="K56" s="2480">
        <v>3</v>
      </c>
      <c r="L56" s="3521" t="s">
        <v>1741</v>
      </c>
      <c r="M56" s="3521"/>
      <c r="N56" s="2482">
        <f t="shared" ca="1" si="1"/>
        <v>1010</v>
      </c>
      <c r="O56" s="2480" t="str">
        <f t="shared" si="1"/>
        <v>增值额×税（费）率</v>
      </c>
      <c r="P56" s="2484" t="str">
        <f t="shared" si="1"/>
        <v>——</v>
      </c>
    </row>
    <row r="57" spans="1:17" ht="24" customHeight="1">
      <c r="A57" s="3448" t="s">
        <v>1742</v>
      </c>
      <c r="B57" s="3449"/>
      <c r="C57" s="3449"/>
      <c r="D57" s="12">
        <f ca="1">IF(H57="个人住宅",0,ROUND(D47*I57,0))</f>
        <v>1</v>
      </c>
      <c r="E57" s="2059" t="s">
        <v>1743</v>
      </c>
      <c r="F57" s="2542">
        <f>IF(H57="正常",I57,"免征")</f>
        <v>5.0000000000000001E-4</v>
      </c>
      <c r="G57" s="2543"/>
      <c r="H57" s="2534" t="s">
        <v>1744</v>
      </c>
      <c r="I57" s="74">
        <f>'数据-取费表'!E37</f>
        <v>5.0000000000000001E-4</v>
      </c>
      <c r="J57" s="2821"/>
      <c r="K57" s="2480">
        <f>IF(H61="非个人房产","",4)</f>
        <v>4</v>
      </c>
      <c r="L57" s="3521" t="str">
        <f>IF(H61="非个人房产","——","个人所得税")</f>
        <v>个人所得税</v>
      </c>
      <c r="M57" s="3521"/>
      <c r="N57" s="2485">
        <f ca="1">D61</f>
        <v>18</v>
      </c>
      <c r="O57" s="2486" t="str">
        <f>E61</f>
        <v>销售额×税（费）率</v>
      </c>
      <c r="P57" s="2487">
        <f>F61</f>
        <v>0.01</v>
      </c>
    </row>
    <row r="58" spans="1:17" ht="24.75">
      <c r="A58" s="3448" t="s">
        <v>1745</v>
      </c>
      <c r="B58" s="3449"/>
      <c r="C58" s="3449"/>
      <c r="D58" s="12">
        <f ca="1">IF(H58="个人住宅",D59,D60)</f>
        <v>1010</v>
      </c>
      <c r="E58" s="2059" t="s">
        <v>1746</v>
      </c>
      <c r="F58" s="2542" t="str">
        <f>IF(H58="正常",F60,"免征")</f>
        <v>——</v>
      </c>
      <c r="G58" s="2544" t="s">
        <v>1747</v>
      </c>
      <c r="H58" s="2545" t="s">
        <v>1744</v>
      </c>
      <c r="I58" s="2948"/>
      <c r="J58" s="2821"/>
      <c r="K58" s="2480" t="str">
        <f>IF(项目基本情况!I6="上海银行",IF(K57="",4,K57+1),"")</f>
        <v/>
      </c>
      <c r="L58" s="3523" t="str">
        <f>IF(项目基本情况!I6="上海银行","其他处置费用","")</f>
        <v/>
      </c>
      <c r="M58" s="3524"/>
      <c r="N58" s="2482" t="str">
        <f>IF(项目基本情况!I6="上海银行",N71,"")</f>
        <v/>
      </c>
      <c r="O58" s="3523" t="str">
        <f>IF(项目基本情况!I6="上海银行","包含处置中涉及的律师、诉讼、拍卖、评估等费用","")</f>
        <v/>
      </c>
      <c r="P58" s="3530"/>
    </row>
    <row r="59" spans="1:17" ht="12.75">
      <c r="A59" s="2049" t="s">
        <v>1722</v>
      </c>
      <c r="B59" s="3450" t="s">
        <v>1748</v>
      </c>
      <c r="C59" s="3456"/>
      <c r="D59" s="2535">
        <v>0</v>
      </c>
      <c r="E59" s="261" t="s">
        <v>1724</v>
      </c>
      <c r="F59" s="235"/>
      <c r="G59" s="2543"/>
      <c r="H59" s="2948"/>
      <c r="I59" s="2948"/>
      <c r="J59" s="2821"/>
      <c r="K59" s="3521">
        <f>IF(AND(K57="",K58=""),4,IF(项目基本情况!I6="上海银行",K58+1,K57+1))</f>
        <v>5</v>
      </c>
      <c r="L59" s="3521" t="s">
        <v>1749</v>
      </c>
      <c r="M59" s="2488" t="s">
        <v>1750</v>
      </c>
      <c r="N59" s="2489"/>
      <c r="O59" s="2490">
        <f ca="1">SUMIF(N54:N58,"&lt;9e307")</f>
        <v>1122</v>
      </c>
      <c r="P59" s="2491"/>
      <c r="Q59" s="1274">
        <f ca="1">O59/N51</f>
        <v>0.6299831555306008</v>
      </c>
    </row>
    <row r="60" spans="1:17" ht="24.75">
      <c r="A60" s="2049" t="s">
        <v>1733</v>
      </c>
      <c r="B60" s="3450" t="s">
        <v>1751</v>
      </c>
      <c r="C60" s="3455"/>
      <c r="D60" s="12">
        <f ca="1">IF(H60="转让取得",C83,C99)</f>
        <v>1010</v>
      </c>
      <c r="E60" s="2059" t="s">
        <v>1746</v>
      </c>
      <c r="F60" s="235" t="s">
        <v>48</v>
      </c>
      <c r="G60" s="2543"/>
      <c r="H60" s="2545" t="s">
        <v>1752</v>
      </c>
      <c r="I60" s="2948"/>
      <c r="J60" s="2821"/>
      <c r="K60" s="3521"/>
      <c r="L60" s="3521"/>
      <c r="M60" s="2488" t="s">
        <v>1753</v>
      </c>
      <c r="N60" s="2492"/>
      <c r="O60" s="2493" t="str">
        <f ca="1">IF(H19="元",NUMBERSTRING(INT(O59),2)&amp;"元整",NUMBERSTRING(INT(O59*10000),2)&amp;"元整")</f>
        <v>壹仟壹佰贰拾贰万元整</v>
      </c>
      <c r="P60" s="2494"/>
    </row>
    <row r="61" spans="1:17" ht="26.25" thickBot="1">
      <c r="A61" s="3434" t="s">
        <v>1754</v>
      </c>
      <c r="B61" s="3435"/>
      <c r="C61" s="3435"/>
      <c r="D61" s="69">
        <f ca="1">IF(H61="非个人房产","——",IF(H61="个人住宅（满五唯一有凭证）",0,IF(H61="个人其他（无凭证）",ROUND(D47*F61,0),ROUND(C69*F61,0))))</f>
        <v>18</v>
      </c>
      <c r="E61" s="2050"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2754</v>
      </c>
      <c r="H61" s="2063" t="s">
        <v>2680</v>
      </c>
      <c r="I61" s="2849" t="s">
        <v>2766</v>
      </c>
      <c r="J61" s="2821"/>
      <c r="K61" s="3519">
        <f>K59+1</f>
        <v>6</v>
      </c>
      <c r="L61" s="3521" t="s">
        <v>1755</v>
      </c>
      <c r="M61" s="2480" t="s">
        <v>1750</v>
      </c>
      <c r="N61" s="2495"/>
      <c r="O61" s="2496">
        <f ca="1">N51-O59</f>
        <v>659</v>
      </c>
      <c r="P61" s="2497"/>
    </row>
    <row r="62" spans="1:17" ht="12" customHeight="1">
      <c r="A62" s="1424"/>
      <c r="B62" s="2530"/>
      <c r="C62" s="2530"/>
      <c r="D62" s="2530"/>
      <c r="E62" s="1424"/>
      <c r="F62" s="2948"/>
      <c r="G62" s="2948"/>
      <c r="H62" s="2943"/>
      <c r="I62" s="945"/>
      <c r="J62" s="2821"/>
      <c r="K62" s="3520"/>
      <c r="L62" s="3521"/>
      <c r="M62" s="2488" t="s">
        <v>1753</v>
      </c>
      <c r="N62" s="2492"/>
      <c r="O62" s="2493" t="str">
        <f ca="1">IF(H19="元",NUMBERSTRING(INT(O61),2)&amp;"元整",NUMBERSTRING(INT(O61*10000),2)&amp;"元整")</f>
        <v>陆佰伍拾玖万元整</v>
      </c>
      <c r="P62" s="2494"/>
    </row>
    <row r="63" spans="1:17" ht="13.5" thickBot="1">
      <c r="A63" s="3522" t="s">
        <v>1756</v>
      </c>
      <c r="B63" s="3522"/>
      <c r="C63" s="3522"/>
      <c r="D63" s="3522"/>
      <c r="E63" s="3522"/>
      <c r="F63" s="2948"/>
      <c r="G63" s="2948"/>
      <c r="H63" s="2943"/>
      <c r="I63" s="945"/>
      <c r="J63" s="2813"/>
      <c r="K63" s="2480">
        <f>K61+1</f>
        <v>7</v>
      </c>
      <c r="L63" s="3521" t="s">
        <v>1757</v>
      </c>
      <c r="M63" s="3521"/>
      <c r="N63" s="2498"/>
      <c r="O63" s="2499">
        <f ca="1">IF(H19="元",ROUND(O61/项目基本情况!C12,0),ROUND(O61*10000/项目基本情况!C12,0))</f>
        <v>93158</v>
      </c>
      <c r="P63" s="2500"/>
    </row>
    <row r="64" spans="1:17" ht="12.75">
      <c r="A64" s="3503" t="s">
        <v>1758</v>
      </c>
      <c r="B64" s="3504"/>
      <c r="C64" s="1574"/>
      <c r="D64" s="1574" t="s">
        <v>1759</v>
      </c>
      <c r="E64" s="45" t="s">
        <v>1760</v>
      </c>
      <c r="F64" s="2948"/>
      <c r="G64" s="2948"/>
      <c r="H64" s="2943"/>
      <c r="I64" s="945"/>
      <c r="J64" s="2813"/>
      <c r="K64" s="1276"/>
      <c r="L64" s="1276"/>
      <c r="M64" s="1276"/>
      <c r="N64" s="1276"/>
      <c r="O64" s="1276"/>
    </row>
    <row r="65" spans="1:36" ht="12.75">
      <c r="A65" s="46">
        <v>1</v>
      </c>
      <c r="B65" s="47" t="s">
        <v>1761</v>
      </c>
      <c r="C65" s="2752">
        <f ca="1">ROUND((C66+C67)/(1+'数据-取费表'!F30),0)</f>
        <v>1696</v>
      </c>
      <c r="D65" s="47"/>
      <c r="E65" s="48"/>
      <c r="F65" s="2948"/>
      <c r="G65" s="2948"/>
      <c r="H65" s="2943"/>
      <c r="I65" s="945"/>
      <c r="J65" s="2813"/>
      <c r="K65" s="3545" t="s">
        <v>1762</v>
      </c>
      <c r="L65" s="1275" t="s">
        <v>1763</v>
      </c>
      <c r="M65" s="1275">
        <f ca="1">IF(N51&gt;10000,N51*0.5%,IF(AND(N51&gt;1000,N51&lt;=10000),N51*1%,IF(AND(N51&gt;100,N51&lt;=1000),N51*3%,IF(AND(N51&gt;10,N51&lt;=100),N51*5%,N51*8%))))</f>
        <v>17.809999999999999</v>
      </c>
      <c r="N65" s="235">
        <f ca="1">ROUND(M65,1)</f>
        <v>17.8</v>
      </c>
      <c r="O65" s="2501"/>
    </row>
    <row r="66" spans="1:36" ht="12.75">
      <c r="A66" s="49" t="s">
        <v>71</v>
      </c>
      <c r="B66" s="50" t="s">
        <v>1764</v>
      </c>
      <c r="C66" s="2753">
        <f ca="1">D47</f>
        <v>1781</v>
      </c>
      <c r="D66" s="50" t="s">
        <v>41</v>
      </c>
      <c r="E66" s="52"/>
      <c r="F66" s="2948"/>
      <c r="G66" s="2948"/>
      <c r="H66" s="2943"/>
      <c r="I66" s="945"/>
      <c r="J66" s="2813"/>
      <c r="K66" s="3545"/>
      <c r="L66" s="1275" t="s">
        <v>1765</v>
      </c>
      <c r="M66" s="1275">
        <f ca="1">IF(N51&gt;2000,N51*0.5%,IF(AND(N51&gt;1000,N51&lt;=2000),N51*0.6%,IF(AND(N51&gt;500,N51&lt;=1000),N51*0.7%,IF(AND(N51&gt;200,N51&lt;=500),N51*0.8%,IF(AND(N51&gt;100,N51&lt;=200),N51*0.9%,IF(AND(N51&gt;50,N51&lt;=100),N51*1%,IF(AND(N51&gt;20,N51&lt;=50),N51*1.5%,IF(AND(N51&gt;10,N51&lt;=20),N51*2%,IF(AND(N51&gt;1,N51&lt;=10),N51*2.5%)))))))))</f>
        <v>10.686</v>
      </c>
      <c r="N66" s="235">
        <f t="shared" ref="N66:N67" ca="1" si="2">ROUND(M66,1)</f>
        <v>10.7</v>
      </c>
      <c r="O66" s="2501" t="s">
        <v>1766</v>
      </c>
    </row>
    <row r="67" spans="1:36" ht="12.75">
      <c r="A67" s="49" t="s">
        <v>72</v>
      </c>
      <c r="B67" s="50" t="s">
        <v>1767</v>
      </c>
      <c r="C67" s="2754"/>
      <c r="D67" s="50"/>
      <c r="E67" s="52"/>
      <c r="F67" s="2948"/>
      <c r="G67" s="2948"/>
      <c r="H67" s="2943"/>
      <c r="I67" s="945"/>
      <c r="J67" s="2813"/>
      <c r="K67" s="3545"/>
      <c r="L67" s="1275" t="s">
        <v>1768</v>
      </c>
      <c r="M67" s="1275">
        <f ca="1">IF(N51&gt;1000,N51*0.1%,IF(AND(N51&gt;500,N51&lt;=1000),N51*0.5%,IF(AND(N51&gt;50,N51&lt;=500),N51*1%,IF(AND(N51&gt;1,N51&lt;=50),N51*1.5%))))</f>
        <v>1.7810000000000001</v>
      </c>
      <c r="N67" s="235">
        <f t="shared" ca="1" si="2"/>
        <v>1.8</v>
      </c>
      <c r="O67" s="2501" t="s">
        <v>1766</v>
      </c>
    </row>
    <row r="68" spans="1:36" ht="12.75">
      <c r="A68" s="53" t="s">
        <v>47</v>
      </c>
      <c r="B68" s="54" t="s">
        <v>1769</v>
      </c>
      <c r="C68" s="2755"/>
      <c r="D68" s="54" t="s">
        <v>41</v>
      </c>
      <c r="E68" s="1284" t="s">
        <v>1770</v>
      </c>
      <c r="F68" s="2948"/>
      <c r="G68" s="2948"/>
      <c r="H68" s="2943"/>
      <c r="I68" s="945"/>
      <c r="J68" s="2813"/>
      <c r="K68" s="3545"/>
      <c r="L68" s="1275" t="s">
        <v>1771</v>
      </c>
      <c r="M68" s="1275">
        <f ca="1">N51*0.5%</f>
        <v>8.9049999999999994</v>
      </c>
      <c r="N68" s="235">
        <f ca="1">IF(M68&gt;0.5,0.5,ROUND(M68,0))</f>
        <v>0.5</v>
      </c>
      <c r="O68" s="2501" t="s">
        <v>1772</v>
      </c>
    </row>
    <row r="69" spans="1:36" ht="12.75">
      <c r="A69" s="53" t="s">
        <v>42</v>
      </c>
      <c r="B69" s="54" t="s">
        <v>1773</v>
      </c>
      <c r="C69" s="2756">
        <f ca="1">C65-C68</f>
        <v>1696</v>
      </c>
      <c r="D69" s="50" t="s">
        <v>41</v>
      </c>
      <c r="E69" s="52"/>
      <c r="F69" s="2948"/>
      <c r="G69" s="2948"/>
      <c r="H69" s="2943"/>
      <c r="I69" s="945"/>
      <c r="J69" s="2813"/>
      <c r="K69" s="3545"/>
      <c r="L69" s="1275" t="s">
        <v>1774</v>
      </c>
      <c r="M69" s="1275">
        <f ca="1">IF(N51&gt;=10000,(8.25+(N51-10000)*0.01%),IF(AND(N51&gt;=8000,N51&lt;10000),(7.85+(N51-8000)*0.02%),IF(AND(N51&gt;=5000,N51&lt;8000),(6.65+(N51-5000)*0.04%),IF(AND(N51&gt;=2000,N51&lt;5000),(4.25+(PN51-2000)*0.08%),IF(AND(N51&gt;=1000,N51&lt;2000),(2.75+(N51-1000)*0.15%),IF(AND(N51&gt;=100,N51&lt;1000),(0.5+(N51-100)*0.25%),IF(AND(N51&gt;0,N51&lt;100),N51*0.5%)))))))</f>
        <v>3.9215</v>
      </c>
      <c r="N69" s="235">
        <f ca="1">ROUND(M69*0.9,1)</f>
        <v>3.5</v>
      </c>
      <c r="O69" s="2501"/>
    </row>
    <row r="70" spans="1:36" ht="13.5" thickBot="1">
      <c r="A70" s="55" t="s">
        <v>46</v>
      </c>
      <c r="B70" s="56" t="s">
        <v>1775</v>
      </c>
      <c r="C70" s="2757">
        <f ca="1">IF(C69&lt;=0,0,ROUND(C69*D70,0))</f>
        <v>93</v>
      </c>
      <c r="D70" s="2209">
        <f>'数据-取费表'!E29</f>
        <v>5.5000000000000007E-2</v>
      </c>
      <c r="E70" s="57"/>
      <c r="F70" s="2948"/>
      <c r="G70" s="2948"/>
      <c r="H70" s="2943"/>
      <c r="I70" s="945"/>
      <c r="J70" s="2813"/>
      <c r="K70" s="3545"/>
      <c r="L70" s="1275" t="s">
        <v>1776</v>
      </c>
      <c r="M70" s="1275">
        <f ca="1">IF(N51&gt;10000,N51*0.5%,IF(AND(N51&gt;5000,N51&lt;=10000),N51*1%,IF(AND(N51&gt;1000,N51&lt;=5000),N51*2%,IF(AND(N51&gt;200,N51&lt;=1000),N51*3%,N51*5%))))</f>
        <v>35.619999999999997</v>
      </c>
      <c r="N70" s="235">
        <f ca="1">ROUND(M70,1)</f>
        <v>35.6</v>
      </c>
      <c r="O70" s="2501"/>
    </row>
    <row r="71" spans="1:36" s="1432" customFormat="1" ht="7.5" customHeight="1">
      <c r="A71" s="1444"/>
      <c r="B71" s="1445"/>
      <c r="C71" s="2758"/>
      <c r="D71" s="2252"/>
      <c r="E71" s="1448"/>
      <c r="F71" s="1424"/>
      <c r="G71" s="1424"/>
      <c r="H71" s="1448"/>
      <c r="I71" s="2530"/>
      <c r="J71" s="2813"/>
      <c r="K71" s="3545"/>
      <c r="L71" s="1275" t="s">
        <v>1777</v>
      </c>
      <c r="M71" s="1275"/>
      <c r="N71" s="235">
        <f ca="1">ROUND(SUM(N65:N70),0)</f>
        <v>70</v>
      </c>
      <c r="O71" s="2502">
        <f ca="1">N71/N51</f>
        <v>3.9303761931499155E-2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0" customFormat="1" ht="15" thickBot="1">
      <c r="A72" s="3514" t="s">
        <v>1778</v>
      </c>
      <c r="B72" s="3515"/>
      <c r="C72" s="3515"/>
      <c r="D72" s="3515"/>
      <c r="E72" s="3515"/>
      <c r="F72" s="3515"/>
      <c r="G72" s="3515"/>
      <c r="H72" s="3515"/>
      <c r="I72" s="1449"/>
      <c r="J72" s="2822"/>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503" t="s">
        <v>1758</v>
      </c>
      <c r="B73" s="3504"/>
      <c r="C73" s="1574"/>
      <c r="D73" s="1574" t="s">
        <v>1759</v>
      </c>
      <c r="E73" s="58" t="s">
        <v>1760</v>
      </c>
      <c r="F73" s="59"/>
      <c r="G73" s="59"/>
      <c r="H73" s="60"/>
      <c r="I73" s="2759"/>
      <c r="J73" s="2844"/>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6">
        <f ca="1">ROUND(D47/(1+'数据-取费表'!F30),0)</f>
        <v>1696</v>
      </c>
      <c r="D74" s="50" t="s">
        <v>41</v>
      </c>
      <c r="E74" s="2055"/>
      <c r="F74" s="2056"/>
      <c r="G74" s="2056"/>
      <c r="H74" s="62"/>
      <c r="I74" s="2759"/>
      <c r="J74" s="2844"/>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6">
        <f ca="1">C76+C80</f>
        <v>8</v>
      </c>
      <c r="D75" s="50" t="s">
        <v>41</v>
      </c>
      <c r="E75" s="2055"/>
      <c r="F75" s="2056"/>
      <c r="G75" s="2056"/>
      <c r="H75" s="62"/>
      <c r="I75" s="2759"/>
      <c r="J75" s="2844"/>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9"/>
      <c r="J76" s="2844"/>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60" t="s">
        <v>1785</v>
      </c>
      <c r="G77" s="64" t="s">
        <v>1786</v>
      </c>
      <c r="H77" s="2761"/>
      <c r="I77" s="607"/>
      <c r="J77" s="2845"/>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2">
        <v>0.05</v>
      </c>
      <c r="E78" s="3450" t="s">
        <v>1788</v>
      </c>
      <c r="F78" s="3455"/>
      <c r="G78" s="3455"/>
      <c r="H78" s="3516"/>
      <c r="I78" s="2759"/>
      <c r="J78" s="2844"/>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2"/>
      <c r="G79" s="1453" t="s">
        <v>1791</v>
      </c>
      <c r="H79" s="2057" t="str">
        <f>IF(G79="个人买卖住房","免征印花税"," ")</f>
        <v xml:space="preserve"> </v>
      </c>
      <c r="I79" s="2759"/>
      <c r="J79" s="2844"/>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4">
        <f ca="1">ROUND(D47*D80/(1+'数据-取费表'!F30),0)</f>
        <v>8</v>
      </c>
      <c r="D80" s="2765">
        <f>'数据-取费表'!E31</f>
        <v>5.000000000000001E-3</v>
      </c>
      <c r="E80" s="3505" t="s">
        <v>1793</v>
      </c>
      <c r="F80" s="3506"/>
      <c r="G80" s="3506"/>
      <c r="H80" s="3507"/>
      <c r="I80" s="608"/>
      <c r="J80" s="2846"/>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6">
        <f ca="1">C74-C75</f>
        <v>1688</v>
      </c>
      <c r="D81" s="50" t="s">
        <v>41</v>
      </c>
      <c r="E81" s="2055"/>
      <c r="F81" s="2056"/>
      <c r="G81" s="2056"/>
      <c r="H81" s="62"/>
      <c r="I81" s="2759"/>
      <c r="J81" s="2844"/>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6">
        <f ca="1">IF(C81&lt;=0,0,C81/C75)</f>
        <v>211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9"/>
      <c r="J82" s="2844"/>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7">
        <f ca="1">ROUND(IF(C81&lt;=0,0,IF(C82&gt;=200%,C81*60%-C75*35%,IF(C82&gt;=100%,C81*50%-C75*15%,IF(C82&gt;=50%,C81*40%-C75*5%,IF(C82&lt;50%,C81*30%,0))))),0)</f>
        <v>1010</v>
      </c>
      <c r="D83" s="213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9"/>
      <c r="J83" s="284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7"/>
      <c r="B84" s="607"/>
      <c r="C84" s="607"/>
      <c r="D84" s="607"/>
      <c r="E84" s="607"/>
      <c r="F84" s="607"/>
      <c r="G84" s="607"/>
      <c r="H84" s="608"/>
      <c r="I84" s="608"/>
      <c r="J84" s="2846"/>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514" t="s">
        <v>1797</v>
      </c>
      <c r="B85" s="3515"/>
      <c r="C85" s="3515"/>
      <c r="D85" s="3515"/>
      <c r="E85" s="3515"/>
      <c r="F85" s="3515"/>
      <c r="G85" s="3515"/>
      <c r="H85" s="3515"/>
      <c r="I85" s="607"/>
      <c r="J85" s="2845"/>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503" t="s">
        <v>1758</v>
      </c>
      <c r="B86" s="3504"/>
      <c r="C86" s="1574"/>
      <c r="D86" s="1574" t="s">
        <v>1759</v>
      </c>
      <c r="E86" s="58" t="s">
        <v>1760</v>
      </c>
      <c r="F86" s="59"/>
      <c r="G86" s="59"/>
      <c r="H86" s="72"/>
      <c r="I86" s="607"/>
      <c r="J86" s="2845"/>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6">
        <f ca="1">ROUND(D47/(1+'数据-取费表'!F30),0)</f>
        <v>1696</v>
      </c>
      <c r="D87" s="50" t="s">
        <v>41</v>
      </c>
      <c r="E87" s="2055"/>
      <c r="F87" s="2056"/>
      <c r="G87" s="2056"/>
      <c r="H87" s="73"/>
      <c r="I87" s="607"/>
      <c r="J87" s="2845"/>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6">
        <f ca="1">IF(H90="仅含出让金",C89+C92+C93+C94+C95+C96,C89+C93+C94+C95+C96)</f>
        <v>8</v>
      </c>
      <c r="D88" s="2768"/>
      <c r="E88" s="2055"/>
      <c r="F88" s="2056"/>
      <c r="G88" s="2056"/>
      <c r="H88" s="73"/>
      <c r="I88" s="607"/>
      <c r="J88" s="2845"/>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4">
        <f>C90+C91</f>
        <v>0</v>
      </c>
      <c r="D89" s="2765"/>
      <c r="E89" s="2052"/>
      <c r="F89" s="2053"/>
      <c r="G89" s="2053"/>
      <c r="H89" s="2054"/>
      <c r="I89" s="607"/>
      <c r="J89" s="2845"/>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9"/>
      <c r="D90" s="2765"/>
      <c r="E90" s="74" t="s">
        <v>1800</v>
      </c>
      <c r="F90" s="2053"/>
      <c r="G90" s="75" t="s">
        <v>1801</v>
      </c>
      <c r="H90" s="1455"/>
      <c r="I90" s="607"/>
      <c r="J90" s="2845"/>
      <c r="K90" s="2940" t="s">
        <v>2758</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4">
        <f>ROUND(C90*D91,0)</f>
        <v>0</v>
      </c>
      <c r="D91" s="2765">
        <f>'数据-取费表'!E36+'数据-取费表'!E37</f>
        <v>3.0499999999999999E-2</v>
      </c>
      <c r="E91" s="74" t="s">
        <v>1802</v>
      </c>
      <c r="F91" s="2053"/>
      <c r="G91" s="2053"/>
      <c r="H91" s="2054"/>
      <c r="I91" s="607"/>
      <c r="J91" s="2845"/>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9"/>
      <c r="D92" s="2765"/>
      <c r="E92" s="74" t="str">
        <f>IF(H90="-","土地取得成本中已包含该笔费用"," ")</f>
        <v xml:space="preserve"> </v>
      </c>
      <c r="F92" s="2053"/>
      <c r="G92" s="3517" t="s">
        <v>2675</v>
      </c>
      <c r="H92" s="3518"/>
      <c r="I92" s="607"/>
      <c r="J92" s="2845"/>
      <c r="K92" s="2940" t="s">
        <v>2759</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4">
        <f>IF(H93="——",成本法!C33,I93)</f>
        <v>0</v>
      </c>
      <c r="D93" s="2765"/>
      <c r="E93" s="3505" t="s">
        <v>1805</v>
      </c>
      <c r="F93" s="3506"/>
      <c r="G93" s="3506"/>
      <c r="H93" s="1456" t="s">
        <v>1806</v>
      </c>
      <c r="I93" s="2770"/>
      <c r="J93" s="2847"/>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4">
        <f>ROUND((C89+C92+C93)*D94,0)</f>
        <v>0</v>
      </c>
      <c r="D94" s="2765">
        <v>0.1</v>
      </c>
      <c r="E94" s="3505" t="s">
        <v>1808</v>
      </c>
      <c r="F94" s="3506"/>
      <c r="G94" s="3506"/>
      <c r="H94" s="3507"/>
      <c r="I94" s="607"/>
      <c r="J94" s="2845"/>
      <c r="K94" s="2941" t="s">
        <v>2760</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4">
        <f ca="1">ROUND(D47*D95/(1+'数据-取费表'!F30),0)</f>
        <v>8</v>
      </c>
      <c r="D95" s="2765">
        <f>'数据-取费表'!E31</f>
        <v>5.000000000000001E-3</v>
      </c>
      <c r="E95" s="3505" t="s">
        <v>1793</v>
      </c>
      <c r="F95" s="3506"/>
      <c r="G95" s="3506"/>
      <c r="H95" s="3507"/>
      <c r="I95" s="607"/>
      <c r="J95" s="2845"/>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4">
        <f>ROUND((C89+C92+C93)*D96,0)</f>
        <v>0</v>
      </c>
      <c r="D96" s="2765">
        <v>0.2</v>
      </c>
      <c r="E96" s="3505" t="s">
        <v>1810</v>
      </c>
      <c r="F96" s="3506"/>
      <c r="G96" s="3506"/>
      <c r="H96" s="3507"/>
      <c r="I96" s="607"/>
      <c r="J96" s="2845"/>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6">
        <f ca="1">ROUND(C87-C88,0)</f>
        <v>1688</v>
      </c>
      <c r="D97" s="50" t="s">
        <v>41</v>
      </c>
      <c r="E97" s="2055"/>
      <c r="F97" s="2056"/>
      <c r="G97" s="2056"/>
      <c r="H97" s="73"/>
      <c r="I97" s="607"/>
      <c r="J97" s="2845"/>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6">
        <f ca="1">IF(C97&lt;=0,0,C97/C88)</f>
        <v>211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7"/>
      <c r="J98" s="2845"/>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 ca="1">ROUND(IF(C97&lt;=0,0,IF(C98&gt;=200%,C97*60%-C88*35%,IF(C98&gt;=100%,C97*50%-C88*15%,IF(C98&gt;=50%,C97*40%-C88*5%,IF(C98&lt;50%,C97*30%,0))))),0)</f>
        <v>1010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4"/>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1"/>
      <c r="F100" s="811"/>
      <c r="G100" s="811"/>
      <c r="H100" s="1437"/>
      <c r="I100" s="1428"/>
    </row>
    <row r="101" spans="1:36" ht="15">
      <c r="A101" s="3508" t="s">
        <v>1812</v>
      </c>
      <c r="B101" s="3509"/>
      <c r="C101" s="3509"/>
      <c r="D101" s="3510"/>
      <c r="E101" s="1428"/>
      <c r="F101" s="3511" t="s">
        <v>2717</v>
      </c>
      <c r="G101" s="3512"/>
      <c r="H101" s="3512"/>
      <c r="I101" s="3513"/>
      <c r="J101" s="2848"/>
    </row>
    <row r="102" spans="1:36" ht="30">
      <c r="A102" s="3496" t="s">
        <v>1814</v>
      </c>
      <c r="B102" s="3497"/>
      <c r="C102" s="2771" t="str">
        <f>C4</f>
        <v>典型户型修正</v>
      </c>
      <c r="D102" s="2772" t="str">
        <f>D4</f>
        <v>典型户型修正</v>
      </c>
      <c r="E102" s="1428"/>
      <c r="F102" s="3465" t="s">
        <v>2718</v>
      </c>
      <c r="G102" s="3466"/>
      <c r="H102" s="3460" t="s">
        <v>2719</v>
      </c>
      <c r="I102" s="3461"/>
      <c r="J102" s="2828"/>
    </row>
    <row r="103" spans="1:36" ht="12.75">
      <c r="A103" s="3498" t="s">
        <v>2713</v>
      </c>
      <c r="B103" s="2274" t="str">
        <f>IF(H19="元","总价（元）","总价（万元）")</f>
        <v>总价（万元）</v>
      </c>
      <c r="C103" s="1275">
        <f ca="1">C19</f>
        <v>1781</v>
      </c>
      <c r="D103" s="2775">
        <f ca="1">D19</f>
        <v>1781</v>
      </c>
      <c r="E103" s="1428"/>
      <c r="F103" s="3499"/>
      <c r="G103" s="3500"/>
      <c r="H103" s="3452">
        <f>典型户型修正!B25</f>
        <v>1424.1599999999999</v>
      </c>
      <c r="I103" s="3461"/>
      <c r="J103" s="2828"/>
    </row>
    <row r="104" spans="1:36" ht="12.75">
      <c r="A104" s="3498"/>
      <c r="B104" s="2274" t="s">
        <v>2714</v>
      </c>
      <c r="C104" s="2776">
        <f ca="1">C20</f>
        <v>12506</v>
      </c>
      <c r="D104" s="2777">
        <f ca="1">D20</f>
        <v>12506</v>
      </c>
      <c r="E104" s="1428"/>
      <c r="F104" s="3443" t="s">
        <v>2720</v>
      </c>
      <c r="G104" s="3444"/>
      <c r="H104" s="2785" t="str">
        <f>C110</f>
        <v>总价（万元）</v>
      </c>
      <c r="I104" s="2786">
        <f ca="1">H125</f>
        <v>1781</v>
      </c>
      <c r="J104" s="2828"/>
    </row>
    <row r="105" spans="1:36" ht="12.75">
      <c r="A105" s="3498" t="s">
        <v>2715</v>
      </c>
      <c r="B105" s="2212" t="str">
        <f>B103</f>
        <v>总价（万元）</v>
      </c>
      <c r="C105" s="12">
        <f ca="1">ROUND(IF('数据-取费表'!B4="总价",G19,IF(H19="元",G20*'数据-取费表'!E5,G20*'数据-取费表'!E5/10000)),0)</f>
        <v>1781</v>
      </c>
      <c r="D105" s="2778"/>
      <c r="E105" s="1428"/>
      <c r="F105" s="3443"/>
      <c r="G105" s="3444"/>
      <c r="H105" s="2785" t="s">
        <v>2721</v>
      </c>
      <c r="I105" s="52">
        <f ca="1">I125</f>
        <v>12506</v>
      </c>
      <c r="J105" s="2812"/>
    </row>
    <row r="106" spans="1:36" ht="12.75">
      <c r="A106" s="3498"/>
      <c r="B106" s="2274" t="s">
        <v>2714</v>
      </c>
      <c r="C106" s="1448">
        <f ca="1">ROUND(IF('数据-取费表'!B4="楼面单价",G20,IF(H19="元",G19/'数据-取费表'!E5,G19*10000/'数据-取费表'!E5)),0)</f>
        <v>251767</v>
      </c>
      <c r="D106" s="2778"/>
      <c r="E106" s="1428"/>
      <c r="F106" s="3443"/>
      <c r="G106" s="3444"/>
      <c r="H106" s="3501"/>
      <c r="I106" s="3502"/>
      <c r="J106" s="2829"/>
    </row>
    <row r="107" spans="1:36" ht="12.75">
      <c r="A107" s="3440" t="s">
        <v>2716</v>
      </c>
      <c r="B107" s="2779" t="str">
        <f>B103</f>
        <v>总价（万元）</v>
      </c>
      <c r="C107" s="2780">
        <f ca="1">H125</f>
        <v>1781</v>
      </c>
      <c r="D107" s="2781"/>
      <c r="E107" s="1428"/>
      <c r="F107" s="3492" t="s">
        <v>2722</v>
      </c>
      <c r="G107" s="3493"/>
      <c r="H107" s="2787" t="str">
        <f>C112</f>
        <v>总额（万元）</v>
      </c>
      <c r="I107" s="2786">
        <f>SUMIF(I108:I110,"&lt;9E307")</f>
        <v>0</v>
      </c>
      <c r="J107" s="2828"/>
    </row>
    <row r="108" spans="1:36" ht="15" thickBot="1">
      <c r="A108" s="3441"/>
      <c r="B108" s="2782" t="s">
        <v>2714</v>
      </c>
      <c r="C108" s="2783">
        <f ca="1">I125</f>
        <v>12506</v>
      </c>
      <c r="D108" s="2784"/>
      <c r="E108" s="1428"/>
      <c r="F108" s="3469" t="s">
        <v>2723</v>
      </c>
      <c r="G108" s="3470"/>
      <c r="H108" s="2787" t="str">
        <f>C113</f>
        <v>总额（万元）</v>
      </c>
      <c r="I108" s="2788">
        <f>IF(D38="同一抵押权人同一抵押物续贷",C38&amp;"（续贷，未扣减，详见特别提示）",C38)</f>
        <v>0</v>
      </c>
      <c r="J108" s="2812"/>
      <c r="L108" s="1431" t="str">
        <f>IF(D125=0,"本次评估不存在"&amp;A125&amp;"。","本次评估"&amp;A125&amp;"为"&amp;D125&amp;"元人民币。")</f>
        <v>本次评估不存在北京市房地产。</v>
      </c>
      <c r="M108" s="1428"/>
      <c r="N108" s="1428"/>
      <c r="O108" s="1428"/>
      <c r="P108" s="1428"/>
      <c r="Q108" s="1428"/>
    </row>
    <row r="109" spans="1:36" ht="15">
      <c r="A109" s="3489" t="s">
        <v>1815</v>
      </c>
      <c r="B109" s="3490"/>
      <c r="C109" s="3490"/>
      <c r="D109" s="3491"/>
      <c r="E109" s="1428"/>
      <c r="F109" s="3469" t="s">
        <v>2724</v>
      </c>
      <c r="G109" s="3470"/>
      <c r="H109" s="2787" t="str">
        <f>C114</f>
        <v>总额（万元）</v>
      </c>
      <c r="I109" s="52">
        <f>C39</f>
        <v>0</v>
      </c>
      <c r="J109" s="2812"/>
    </row>
    <row r="110" spans="1:36" ht="12.75">
      <c r="A110" s="3443" t="s">
        <v>2727</v>
      </c>
      <c r="B110" s="3444"/>
      <c r="C110" s="2785" t="str">
        <f>B103</f>
        <v>总价（万元）</v>
      </c>
      <c r="D110" s="2786">
        <f ca="1">H125</f>
        <v>1781</v>
      </c>
      <c r="E110" s="1428"/>
      <c r="F110" s="3469" t="s">
        <v>2725</v>
      </c>
      <c r="G110" s="3470"/>
      <c r="H110" s="2787" t="str">
        <f>C115</f>
        <v>总额（万元）</v>
      </c>
      <c r="I110" s="52">
        <f>C40</f>
        <v>0</v>
      </c>
      <c r="J110" s="2812"/>
    </row>
    <row r="111" spans="1:36" ht="12.75">
      <c r="A111" s="3443"/>
      <c r="B111" s="3444"/>
      <c r="C111" s="2785" t="s">
        <v>2728</v>
      </c>
      <c r="D111" s="52">
        <f ca="1">I125</f>
        <v>12506</v>
      </c>
      <c r="E111" s="1428"/>
      <c r="F111" s="3443"/>
      <c r="G111" s="3444"/>
      <c r="H111" s="3467"/>
      <c r="I111" s="3468"/>
      <c r="J111" s="2830"/>
    </row>
    <row r="112" spans="1:36" ht="28.5" customHeight="1">
      <c r="A112" s="3494" t="s">
        <v>2722</v>
      </c>
      <c r="B112" s="3495"/>
      <c r="C112" s="2787" t="str">
        <f>IF(H19="元","总额（元）","总额（万元）")</f>
        <v>总额（万元）</v>
      </c>
      <c r="D112" s="2786">
        <f>IF(D38="正常操作",I108+I109+I110,I109+I110)</f>
        <v>0</v>
      </c>
      <c r="E112" s="1428"/>
      <c r="F112" s="3471" t="str">
        <f>IF(项目基本情况!F5="已注销","——","3.房地产抵押价值")</f>
        <v>3.房地产抵押价值</v>
      </c>
      <c r="G112" s="3472"/>
      <c r="H112" s="1448" t="str">
        <f>C116</f>
        <v>总价（万元）</v>
      </c>
      <c r="I112" s="2786">
        <f ca="1">IF(F112="——","——",I104-I107)</f>
        <v>1781</v>
      </c>
      <c r="J112" s="2828"/>
    </row>
    <row r="113" spans="1:27" ht="12.75">
      <c r="A113" s="3469" t="s">
        <v>2729</v>
      </c>
      <c r="B113" s="3470"/>
      <c r="C113" s="2787" t="str">
        <f>C112</f>
        <v>总额（万元）</v>
      </c>
      <c r="D113" s="52">
        <f>IF(D38="同一抵押权人同一抵押物续贷",C38&amp;"（未扣减，详见特别提示）",C38)</f>
        <v>0</v>
      </c>
      <c r="E113" s="1428"/>
      <c r="F113" s="3473"/>
      <c r="G113" s="3474"/>
      <c r="H113" s="2785" t="s">
        <v>2721</v>
      </c>
      <c r="I113" s="2789">
        <f ca="1">D117</f>
        <v>12506</v>
      </c>
      <c r="J113" s="2831"/>
    </row>
    <row r="114" spans="1:27" ht="12.75">
      <c r="A114" s="3469" t="s">
        <v>2730</v>
      </c>
      <c r="B114" s="3470"/>
      <c r="C114" s="2787" t="str">
        <f>C112</f>
        <v>总额（万元）</v>
      </c>
      <c r="D114" s="52">
        <f>C39</f>
        <v>0</v>
      </c>
      <c r="E114" s="1428"/>
      <c r="F114" s="3471" t="str">
        <f>IF(项目基本情况!F5="已注销及未注销","4.抵押担保权已注销时的房地产抵押价值",IF(项目基本情况!F5="已注销","3.抵押担保权已注销时的房地产抵押价值","——"))</f>
        <v>——</v>
      </c>
      <c r="G114" s="3472"/>
      <c r="H114" s="1448" t="str">
        <f>C118</f>
        <v>总价（万元）</v>
      </c>
      <c r="I114" s="2786" t="str">
        <f>IF(F114="——","——",I104-I109-I110)</f>
        <v>——</v>
      </c>
      <c r="J114" s="2828"/>
    </row>
    <row r="115" spans="1:27" ht="12.75">
      <c r="A115" s="3469" t="s">
        <v>2731</v>
      </c>
      <c r="B115" s="3470"/>
      <c r="C115" s="2787" t="str">
        <f>C112</f>
        <v>总额（万元）</v>
      </c>
      <c r="D115" s="52">
        <f>C40</f>
        <v>0</v>
      </c>
      <c r="E115" s="1428"/>
      <c r="F115" s="3473"/>
      <c r="G115" s="3474"/>
      <c r="H115" s="2785" t="s">
        <v>2721</v>
      </c>
      <c r="I115" s="52" t="str">
        <f>D119</f>
        <v>——</v>
      </c>
      <c r="J115" s="2812"/>
    </row>
    <row r="116" spans="1:27" ht="12.75">
      <c r="A116" s="3443" t="str">
        <f>IF(项目基本情况!F5="已注销","——","3.房地产抵押价值")</f>
        <v>3.房地产抵押价值</v>
      </c>
      <c r="B116" s="3444"/>
      <c r="C116" s="2785" t="str">
        <f>B103</f>
        <v>总价（万元）</v>
      </c>
      <c r="D116" s="2786">
        <f ca="1">IF(A116="——","——",D110-D112)</f>
        <v>1781</v>
      </c>
      <c r="E116" s="1428"/>
      <c r="F116" s="3471" t="str">
        <f>IF(项目基本情况!G5="抵押净值",IF(OR(项目基本情况!F5="已注销",项目基本情况!F5="房地产抵押价值"),"4.抵押净值","5.抵押净值"),"——")</f>
        <v>——</v>
      </c>
      <c r="G116" s="3472"/>
      <c r="H116" s="2785" t="str">
        <f>C120</f>
        <v>总价（万元）</v>
      </c>
      <c r="I116" s="2786" t="str">
        <f>IF(F116="——","——",O61)</f>
        <v>——</v>
      </c>
      <c r="J116" s="2828"/>
    </row>
    <row r="117" spans="1:27" ht="13.5" thickBot="1">
      <c r="A117" s="3443"/>
      <c r="B117" s="3444"/>
      <c r="C117" s="2785" t="s">
        <v>2728</v>
      </c>
      <c r="D117" s="52">
        <f ca="1">ROUND(IF(D116=D110,D111,IF(H19="元",D116/B125,D116*10000/B125)),0)</f>
        <v>12506</v>
      </c>
      <c r="E117" s="1428"/>
      <c r="F117" s="3480"/>
      <c r="G117" s="3481"/>
      <c r="H117" s="2790" t="s">
        <v>2721</v>
      </c>
      <c r="I117" s="2774" t="str">
        <f ca="1">D121</f>
        <v>——</v>
      </c>
      <c r="J117" s="2812"/>
    </row>
    <row r="118" spans="1:27" ht="15.75">
      <c r="A118" s="3443" t="str">
        <f>IF(项目基本情况!F5="已注销及未注销","4.抵押担保权已注销时的房地产抵押价值",IF(项目基本情况!F5="已注销","3.抵押担保权已注销时的房地产抵押价值","——"))</f>
        <v>——</v>
      </c>
      <c r="B118" s="3444"/>
      <c r="C118" s="2785" t="str">
        <f>B103</f>
        <v>总价（万元）</v>
      </c>
      <c r="D118" s="2786" t="str">
        <f>IF(A118="——","——",D110-D114-D115)</f>
        <v>——</v>
      </c>
      <c r="E118" s="1428"/>
      <c r="F118" s="3484"/>
      <c r="G118" s="3484"/>
      <c r="H118" s="3485"/>
      <c r="I118" s="3485"/>
      <c r="J118" s="2832"/>
      <c r="O118" s="32"/>
      <c r="P118" s="32"/>
    </row>
    <row r="119" spans="1:27" s="1276" customFormat="1" ht="12.75">
      <c r="A119" s="3443"/>
      <c r="B119" s="3444"/>
      <c r="C119" s="2785" t="s">
        <v>2728</v>
      </c>
      <c r="D119" s="52" t="str">
        <f>IF(A118="——","——",IF(H19="元",ROUND(D118/B125,0),ROUND(D118*10000/B125,0)))</f>
        <v>——</v>
      </c>
      <c r="E119" s="1428"/>
      <c r="F119" s="3486" t="str">
        <f>IF(B33="总价","（以上估价结果中楼面单价为总价除以建筑面积得出）","（以上估价结果中总价为楼面单价乘以建筑面积得出）")</f>
        <v>（以上估价结果中总价为楼面单价乘以建筑面积得出）</v>
      </c>
      <c r="G119" s="3486"/>
      <c r="H119" s="3486"/>
      <c r="I119" s="3486"/>
      <c r="J119" s="2833"/>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43" t="str">
        <f>IF(项目基本情况!G5="抵押净值",IF(OR(项目基本情况!F5="已注销",项目基本情况!F5="房地产抵押价值"),"4.抵押净值","5.抵押净值"),"——")</f>
        <v>——</v>
      </c>
      <c r="B120" s="3444"/>
      <c r="C120" s="2785" t="str">
        <f>B103</f>
        <v>总价（万元）</v>
      </c>
      <c r="D120" s="2786" t="str">
        <f>IF(A120="——","——",O61)</f>
        <v>——</v>
      </c>
      <c r="E120" s="1428"/>
      <c r="F120" s="1482"/>
      <c r="G120" s="1482"/>
      <c r="H120" s="1482"/>
      <c r="I120" s="1482"/>
      <c r="J120" s="2833"/>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482"/>
      <c r="B121" s="3483"/>
      <c r="C121" s="2790" t="s">
        <v>2728</v>
      </c>
      <c r="D121" s="2774" t="str">
        <f ca="1">IF(D120=D110,D111,IF(A120="——","——",O63))</f>
        <v>——</v>
      </c>
      <c r="E121" s="1428"/>
      <c r="F121" s="1482"/>
      <c r="G121" s="1482"/>
      <c r="H121" s="1482"/>
      <c r="I121" s="1482"/>
      <c r="J121" s="2833"/>
      <c r="K121" s="658"/>
      <c r="L121" s="658"/>
      <c r="M121" s="658"/>
      <c r="N121" s="658"/>
      <c r="O121" s="32"/>
      <c r="P121" s="32"/>
      <c r="Q121" s="658"/>
      <c r="R121" s="658"/>
      <c r="S121" s="658"/>
      <c r="T121" s="658"/>
      <c r="U121" s="658"/>
      <c r="V121" s="658"/>
      <c r="W121" s="658"/>
      <c r="X121" s="658"/>
      <c r="Y121" s="658"/>
      <c r="Z121" s="658"/>
      <c r="AA121" s="658"/>
    </row>
    <row r="122" spans="1:27" s="1276" customFormat="1" ht="15">
      <c r="A122" s="3487" t="s">
        <v>1854</v>
      </c>
      <c r="B122" s="3488"/>
      <c r="C122" s="3488"/>
      <c r="D122" s="3488"/>
      <c r="E122" s="3488"/>
      <c r="F122" s="3488"/>
      <c r="G122" s="3488"/>
      <c r="H122" s="3488"/>
      <c r="I122" s="3488"/>
      <c r="J122" s="2834"/>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48" t="s">
        <v>2732</v>
      </c>
      <c r="B123" s="3475" t="s">
        <v>2733</v>
      </c>
      <c r="C123" s="3475" t="s">
        <v>2739</v>
      </c>
      <c r="D123" s="3477" t="s">
        <v>2734</v>
      </c>
      <c r="E123" s="3478"/>
      <c r="F123" s="3449" t="s">
        <v>2740</v>
      </c>
      <c r="G123" s="3449"/>
      <c r="H123" s="3449" t="s">
        <v>2735</v>
      </c>
      <c r="I123" s="3479"/>
      <c r="J123" s="2812"/>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48"/>
      <c r="B124" s="3476"/>
      <c r="C124" s="3476"/>
      <c r="D124" s="2059" t="s">
        <v>2736</v>
      </c>
      <c r="E124" s="2059" t="s">
        <v>2741</v>
      </c>
      <c r="F124" s="2059" t="s">
        <v>2736</v>
      </c>
      <c r="G124" s="2059" t="s">
        <v>2737</v>
      </c>
      <c r="H124" s="2059" t="s">
        <v>2736</v>
      </c>
      <c r="I124" s="52" t="s">
        <v>2737</v>
      </c>
      <c r="J124" s="2812"/>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49" t="str">
        <f>项目基本情况!I1</f>
        <v>北京市房地产</v>
      </c>
      <c r="B125" s="2059">
        <f>典型户型修正!B25</f>
        <v>1424.1599999999999</v>
      </c>
      <c r="C125" s="1423"/>
      <c r="D125" s="2059">
        <f>C36</f>
        <v>0</v>
      </c>
      <c r="E125" s="2059">
        <f>ROUND(IF(H19="元",D125/B125,D125*10000/B125),0)</f>
        <v>0</v>
      </c>
      <c r="F125" s="2059">
        <f>C37</f>
        <v>0</v>
      </c>
      <c r="G125" s="2059">
        <f>ROUND(IF(H19="元",F125/B125,F125*10000/B125),0)</f>
        <v>0</v>
      </c>
      <c r="H125" s="2059">
        <f ca="1">C34</f>
        <v>1781</v>
      </c>
      <c r="I125" s="52">
        <f ca="1">C35</f>
        <v>12506</v>
      </c>
      <c r="J125" s="2812"/>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48" t="s">
        <v>2738</v>
      </c>
      <c r="B126" s="3449"/>
      <c r="C126" s="3449"/>
      <c r="D126" s="3462" t="str">
        <f>IF(H19="元",NUMBERSTRING(INT(D125),2)&amp;"元整",NUMBERSTRING(INT(D125*10000),2)&amp;"元整")</f>
        <v>零元整</v>
      </c>
      <c r="E126" s="3463"/>
      <c r="F126" s="3462" t="str">
        <f>IF(H19="元",NUMBERSTRING(INT(F125),2)&amp;"元整",NUMBERSTRING(INT(F125*10000),2)&amp;"元整")</f>
        <v>零元整</v>
      </c>
      <c r="G126" s="3463"/>
      <c r="H126" s="3462" t="str">
        <f ca="1">IF(H19="元",NUMBERSTRING(INT(H125),2)&amp;"元整",NUMBERSTRING(INT(H125*10000),2)&amp;"元整")</f>
        <v>壹仟柒佰捌拾壹万元整</v>
      </c>
      <c r="I126" s="3464"/>
      <c r="J126" s="2835"/>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65" t="str">
        <f>IF(项目基本情况!D5="房地产市场价值","——",MID(A112,3,LEN(A112)-2))</f>
        <v>估价师所知悉的法定优先受偿款</v>
      </c>
      <c r="B127" s="3460"/>
      <c r="C127" s="3466"/>
      <c r="D127" s="3452">
        <f>I107</f>
        <v>0</v>
      </c>
      <c r="E127" s="3460"/>
      <c r="F127" s="3460"/>
      <c r="G127" s="3460"/>
      <c r="H127" s="3460"/>
      <c r="I127" s="3461"/>
      <c r="J127" s="2828"/>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454" t="s">
        <v>2738</v>
      </c>
      <c r="B128" s="3455"/>
      <c r="C128" s="3456"/>
      <c r="D128" s="3457">
        <f>H111</f>
        <v>0</v>
      </c>
      <c r="E128" s="3458"/>
      <c r="F128" s="3458"/>
      <c r="G128" s="3458"/>
      <c r="H128" s="3458"/>
      <c r="I128" s="3459"/>
      <c r="J128" s="2836"/>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43" t="str">
        <f>IF(项目基本情况!D5="房地产市场价值","——",MID(A116,3,LEN(A116)-2))</f>
        <v>房地产抵押价值</v>
      </c>
      <c r="B129" s="3444"/>
      <c r="C129" s="3444"/>
      <c r="D129" s="3452">
        <f ca="1">I112</f>
        <v>1781</v>
      </c>
      <c r="E129" s="3460"/>
      <c r="F129" s="3460"/>
      <c r="G129" s="3460"/>
      <c r="H129" s="3460"/>
      <c r="I129" s="3461"/>
      <c r="J129" s="2828"/>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48" t="s">
        <v>2738</v>
      </c>
      <c r="B130" s="3449"/>
      <c r="C130" s="3449"/>
      <c r="D130" s="3457">
        <f ca="1">I113</f>
        <v>12506</v>
      </c>
      <c r="E130" s="3458"/>
      <c r="F130" s="3458"/>
      <c r="G130" s="3458"/>
      <c r="H130" s="3458"/>
      <c r="I130" s="3459"/>
      <c r="J130" s="2836"/>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43" t="str">
        <f>IF(项目基本情况!D5="房地产市场价值","——",MID(A118,3,LEN(A118)-2))</f>
        <v/>
      </c>
      <c r="B131" s="3444"/>
      <c r="C131" s="3444"/>
      <c r="D131" s="3445" t="str">
        <f>I114</f>
        <v>——</v>
      </c>
      <c r="E131" s="3446"/>
      <c r="F131" s="3446"/>
      <c r="G131" s="3446"/>
      <c r="H131" s="3446"/>
      <c r="I131" s="3447"/>
      <c r="J131" s="2828"/>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48" t="s">
        <v>2738</v>
      </c>
      <c r="B132" s="3449"/>
      <c r="C132" s="3450"/>
      <c r="D132" s="3451" t="str">
        <f>I115</f>
        <v>——</v>
      </c>
      <c r="E132" s="3451"/>
      <c r="F132" s="3451"/>
      <c r="G132" s="3451"/>
      <c r="H132" s="3451"/>
      <c r="I132" s="3451"/>
      <c r="J132" s="2836"/>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43" t="str">
        <f>IF(项目基本情况!D5="房地产市场价值","——",MID(F116,3,LEN(F116)-2))</f>
        <v/>
      </c>
      <c r="B133" s="3444"/>
      <c r="C133" s="3452"/>
      <c r="D133" s="3453" t="str">
        <f>I116</f>
        <v>——</v>
      </c>
      <c r="E133" s="3453"/>
      <c r="F133" s="3453"/>
      <c r="G133" s="3453"/>
      <c r="H133" s="3453"/>
      <c r="I133" s="3453"/>
      <c r="J133" s="2828"/>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34" t="s">
        <v>2738</v>
      </c>
      <c r="B134" s="3435"/>
      <c r="C134" s="3435"/>
      <c r="D134" s="3436">
        <f>H118</f>
        <v>0</v>
      </c>
      <c r="E134" s="3437"/>
      <c r="F134" s="3437"/>
      <c r="G134" s="3437"/>
      <c r="H134" s="3437"/>
      <c r="I134" s="3438"/>
      <c r="J134" s="2836"/>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7"/>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439" t="str">
        <f>IF(B33="总价","（以上估价结果中楼面单价为总价除以建筑面积得出）","（以上估价结果中总价为楼面单价乘以建筑面积得出）")</f>
        <v>（以上估价结果中总价为楼面单价乘以建筑面积得出）</v>
      </c>
      <c r="B136" s="3439"/>
      <c r="C136" s="3439"/>
      <c r="D136" s="3439"/>
      <c r="E136" s="3439"/>
      <c r="F136" s="3439"/>
      <c r="G136" s="3439"/>
      <c r="H136" s="3439"/>
      <c r="I136" s="3439"/>
      <c r="J136" s="2830"/>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8" t="s">
        <v>1817</v>
      </c>
      <c r="B137" s="1459"/>
      <c r="C137" s="1460" t="s">
        <v>1818</v>
      </c>
      <c r="D137" s="1461"/>
      <c r="E137" s="1461"/>
      <c r="F137" s="1461"/>
      <c r="G137" s="1461"/>
      <c r="H137" s="1462"/>
      <c r="I137" s="1463"/>
      <c r="J137" s="2838"/>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4">
        <v>1</v>
      </c>
      <c r="B138" s="1465"/>
      <c r="C138" s="1465"/>
      <c r="D138" s="1461"/>
      <c r="E138" s="1461"/>
      <c r="F138" s="1461"/>
      <c r="G138" s="1461"/>
      <c r="H138" s="1462"/>
      <c r="I138" s="1463"/>
      <c r="J138" s="2838"/>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4">
        <v>2</v>
      </c>
      <c r="B139" s="1465"/>
      <c r="C139" s="1465"/>
      <c r="D139" s="1461"/>
      <c r="E139" s="1461"/>
      <c r="F139" s="1461"/>
      <c r="G139" s="1461"/>
      <c r="H139" s="1462"/>
      <c r="I139" s="1463"/>
      <c r="J139" s="2838"/>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4">
        <v>3</v>
      </c>
      <c r="B140" s="1465"/>
      <c r="C140" s="1465"/>
      <c r="D140" s="1461"/>
      <c r="E140" s="1461"/>
      <c r="F140" s="32"/>
      <c r="G140" s="32"/>
      <c r="H140" s="32"/>
      <c r="I140" s="32"/>
      <c r="J140" s="2839"/>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6"/>
      <c r="B141" s="1467"/>
      <c r="C141" s="1467"/>
      <c r="D141" s="1468"/>
      <c r="E141" s="1468"/>
      <c r="F141" s="1468"/>
      <c r="G141" s="1468"/>
      <c r="H141" s="1469"/>
      <c r="I141" s="1470"/>
      <c r="J141" s="2838"/>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5"/>
      <c r="B142" s="1465"/>
      <c r="C142" s="1465"/>
      <c r="D142" s="1461"/>
      <c r="E142" s="1461"/>
      <c r="F142" s="1461"/>
      <c r="G142" s="1461"/>
      <c r="H142" s="1462"/>
      <c r="I142" s="658"/>
      <c r="J142" s="2839"/>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1" t="s">
        <v>1819</v>
      </c>
      <c r="G143" s="1472"/>
      <c r="H143" s="1472"/>
      <c r="I143" s="1473" t="s">
        <v>1820</v>
      </c>
      <c r="J143" s="2840"/>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4" t="s">
        <v>1821</v>
      </c>
      <c r="C144" s="658"/>
      <c r="D144" s="658"/>
      <c r="E144" s="658"/>
      <c r="F144" s="658"/>
      <c r="G144" s="658"/>
      <c r="H144" s="658"/>
      <c r="I144" s="658"/>
      <c r="J144" s="2839"/>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39"/>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2"/>
      <c r="C146" s="1472"/>
      <c r="D146" s="1472"/>
      <c r="E146" s="1472"/>
      <c r="F146" s="1472"/>
      <c r="G146" s="1472"/>
      <c r="H146" s="1472"/>
      <c r="I146" s="1473" t="s">
        <v>1822</v>
      </c>
      <c r="J146" s="2840"/>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4" t="s">
        <v>1823</v>
      </c>
      <c r="C147" s="658"/>
      <c r="D147" s="658"/>
      <c r="E147" s="658"/>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4"/>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2"/>
      <c r="C149" s="1472"/>
      <c r="D149" s="1472"/>
      <c r="E149" s="1472"/>
      <c r="F149" s="1472"/>
      <c r="G149" s="1472"/>
      <c r="H149" s="1472"/>
      <c r="I149" s="1473" t="s">
        <v>1822</v>
      </c>
      <c r="J149" s="2840"/>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4"/>
      <c r="C150" s="1475"/>
      <c r="D150" s="1476"/>
      <c r="E150" s="1476"/>
      <c r="F150" s="1477"/>
      <c r="G150" s="658"/>
      <c r="H150" s="658"/>
      <c r="I150" s="658"/>
      <c r="J150" s="2839"/>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4"/>
      <c r="C151" s="1475"/>
      <c r="D151" s="1476"/>
      <c r="E151" s="1476"/>
      <c r="J151" s="2839"/>
    </row>
    <row r="152" spans="1:27" s="658" customFormat="1" ht="21.75" customHeight="1">
      <c r="J152" s="2839"/>
    </row>
    <row r="153" spans="1:27" s="658" customFormat="1" ht="21.75" customHeight="1">
      <c r="J153" s="2839"/>
    </row>
    <row r="154" spans="1:27" s="658" customFormat="1" ht="21.75" customHeight="1">
      <c r="J154" s="2839"/>
    </row>
    <row r="155" spans="1:27" s="658" customFormat="1" ht="21.75" customHeight="1">
      <c r="J155" s="2839"/>
    </row>
    <row r="156" spans="1:27" s="658" customFormat="1" ht="21.75" customHeight="1">
      <c r="J156" s="2839"/>
    </row>
    <row r="157" spans="1:27" s="658" customFormat="1" ht="21.75" customHeight="1">
      <c r="J157" s="2839"/>
    </row>
    <row r="158" spans="1:27" s="658" customFormat="1" ht="21.75" customHeight="1">
      <c r="J158" s="2839"/>
    </row>
    <row r="159" spans="1:27" s="658" customFormat="1" ht="21.75" customHeight="1">
      <c r="J159" s="2839"/>
    </row>
    <row r="160" spans="1:27"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27" s="658" customFormat="1" ht="21.75" customHeight="1">
      <c r="J369" s="2839"/>
    </row>
    <row r="370" spans="10:27" s="658" customFormat="1" ht="21.75" customHeight="1">
      <c r="J370" s="2839"/>
    </row>
    <row r="371" spans="10:27" s="658" customFormat="1" ht="21.75" customHeight="1">
      <c r="J371" s="2839"/>
    </row>
    <row r="372" spans="10:27" s="658" customFormat="1" ht="21.75" customHeight="1">
      <c r="J372" s="2839"/>
    </row>
    <row r="373" spans="10:27" s="658" customFormat="1" ht="21.75" customHeight="1">
      <c r="J373" s="2839"/>
    </row>
    <row r="374" spans="10:27" s="658" customFormat="1" ht="21.75" customHeight="1">
      <c r="J374" s="2839"/>
    </row>
    <row r="375" spans="10:27" s="658" customFormat="1" ht="21.75" customHeight="1">
      <c r="J375" s="2839"/>
    </row>
    <row r="376" spans="10:27" s="658" customFormat="1" ht="21.75" customHeight="1">
      <c r="J376" s="2839"/>
    </row>
    <row r="377" spans="10:27" s="658" customFormat="1" ht="21.75" customHeight="1">
      <c r="J377" s="2839"/>
    </row>
    <row r="378" spans="10:27" s="658" customFormat="1" ht="21.75" customHeight="1">
      <c r="J378" s="2839"/>
    </row>
    <row r="379" spans="10:27" s="658" customFormat="1" ht="21.75" customHeight="1">
      <c r="J379" s="2839"/>
    </row>
    <row r="380" spans="10:27" s="658" customFormat="1" ht="21.75" customHeight="1">
      <c r="J380" s="2839"/>
    </row>
    <row r="381" spans="10:27" s="658" customFormat="1" ht="21.75" customHeight="1">
      <c r="J381" s="2839"/>
    </row>
    <row r="382" spans="10:27" s="658" customFormat="1" ht="21.75" customHeight="1">
      <c r="J382" s="2839"/>
    </row>
    <row r="383" spans="10:27" s="1276" customFormat="1" ht="21.75" customHeight="1">
      <c r="J383" s="2809"/>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09"/>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09"/>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09"/>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09"/>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09"/>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09"/>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09"/>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09"/>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09"/>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09"/>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09"/>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09"/>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09"/>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09"/>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09"/>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09"/>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09"/>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09"/>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09"/>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09"/>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09"/>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09"/>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09"/>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29"/>
      <c r="G520" s="1429"/>
      <c r="H520" s="1429"/>
      <c r="I520" s="1429"/>
      <c r="J520" s="2809"/>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12" zoomScaleNormal="100" zoomScaleSheetLayoutView="100" zoomScalePageLayoutView="80" workbookViewId="0">
      <selection activeCell="H122" sqref="H122:I122"/>
    </sheetView>
  </sheetViews>
  <sheetFormatPr defaultColWidth="12.625" defaultRowHeight="21.75" customHeight="1"/>
  <cols>
    <col min="1" max="2" width="12.625" style="1429"/>
    <col min="3" max="4" width="12.625" style="1429" customWidth="1"/>
    <col min="5" max="9" width="12.625" style="1429"/>
    <col min="10" max="10" width="3.6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1652</v>
      </c>
      <c r="B1" s="1428"/>
      <c r="C1" s="1428"/>
      <c r="D1" s="1428"/>
      <c r="E1" s="1428"/>
      <c r="F1" s="1428"/>
      <c r="G1" s="1428"/>
      <c r="H1" s="1428"/>
      <c r="I1" s="1428"/>
    </row>
    <row r="2" spans="1:15" ht="21.75" customHeight="1">
      <c r="A2" s="3555" t="str">
        <f>项目基本情况!B1</f>
        <v>北京市房地产抵押价值预评估</v>
      </c>
      <c r="B2" s="3555"/>
      <c r="C2" s="3555"/>
      <c r="D2" s="3555"/>
      <c r="E2" s="3555"/>
      <c r="F2" s="3555"/>
      <c r="G2" s="3555"/>
      <c r="H2" s="3555"/>
      <c r="I2" s="3555"/>
      <c r="J2" s="2810"/>
    </row>
    <row r="3" spans="1:15" ht="12.75">
      <c r="A3" s="3532" t="s">
        <v>1653</v>
      </c>
      <c r="B3" s="3533"/>
      <c r="C3" s="3533"/>
      <c r="D3" s="3533"/>
      <c r="E3" s="3533"/>
      <c r="F3" s="3533"/>
      <c r="G3" s="3533"/>
      <c r="H3" s="3533"/>
      <c r="I3" s="3533"/>
      <c r="J3" s="2811"/>
    </row>
    <row r="4" spans="1:15" ht="14.25">
      <c r="A4" s="2679" t="s">
        <v>1654</v>
      </c>
      <c r="B4" s="2679" t="s">
        <v>1655</v>
      </c>
      <c r="C4" s="2680" t="s">
        <v>3102</v>
      </c>
      <c r="D4" s="2680" t="s">
        <v>3074</v>
      </c>
      <c r="E4" s="3450" t="s">
        <v>1656</v>
      </c>
      <c r="F4" s="3455"/>
      <c r="G4" s="3455"/>
      <c r="H4" s="3455"/>
      <c r="I4" s="3456"/>
      <c r="J4" s="2812"/>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534" t="s">
        <v>1657</v>
      </c>
      <c r="B5" s="3534">
        <v>25</v>
      </c>
      <c r="C5" s="3535"/>
      <c r="D5" s="3538"/>
      <c r="E5" s="12" t="s">
        <v>1658</v>
      </c>
      <c r="F5" s="2056"/>
      <c r="G5" s="2056"/>
      <c r="H5" s="2056"/>
      <c r="I5" s="2051"/>
      <c r="J5" s="2812"/>
    </row>
    <row r="6" spans="1:15" ht="12.75">
      <c r="A6" s="3534"/>
      <c r="B6" s="3534"/>
      <c r="C6" s="3536"/>
      <c r="D6" s="3538"/>
      <c r="E6" s="12" t="s">
        <v>1659</v>
      </c>
      <c r="F6" s="2056"/>
      <c r="G6" s="2056"/>
      <c r="H6" s="2056"/>
      <c r="I6" s="2051"/>
      <c r="J6" s="2812"/>
    </row>
    <row r="7" spans="1:15" ht="12.75">
      <c r="A7" s="3534"/>
      <c r="B7" s="3534"/>
      <c r="C7" s="3537"/>
      <c r="D7" s="3538"/>
      <c r="E7" s="12" t="s">
        <v>1660</v>
      </c>
      <c r="F7" s="2056"/>
      <c r="G7" s="2056"/>
      <c r="H7" s="2056"/>
      <c r="I7" s="2051"/>
      <c r="J7" s="2812"/>
    </row>
    <row r="8" spans="1:15" ht="12.75">
      <c r="A8" s="3534" t="s">
        <v>1661</v>
      </c>
      <c r="B8" s="3534">
        <v>15</v>
      </c>
      <c r="C8" s="3535"/>
      <c r="D8" s="3538"/>
      <c r="E8" s="12" t="s">
        <v>1662</v>
      </c>
      <c r="F8" s="2056"/>
      <c r="G8" s="2056"/>
      <c r="H8" s="2056"/>
      <c r="I8" s="2051"/>
      <c r="J8" s="2812"/>
    </row>
    <row r="9" spans="1:15" ht="12.75">
      <c r="A9" s="3534"/>
      <c r="B9" s="3534"/>
      <c r="C9" s="3537"/>
      <c r="D9" s="3538"/>
      <c r="E9" s="12" t="s">
        <v>1663</v>
      </c>
      <c r="F9" s="2056"/>
      <c r="G9" s="2056"/>
      <c r="H9" s="2056"/>
      <c r="I9" s="2051"/>
      <c r="J9" s="2812"/>
    </row>
    <row r="10" spans="1:15" ht="12.75">
      <c r="A10" s="3534" t="s">
        <v>1664</v>
      </c>
      <c r="B10" s="3534">
        <v>15</v>
      </c>
      <c r="C10" s="3535"/>
      <c r="D10" s="3538"/>
      <c r="E10" s="12" t="s">
        <v>1665</v>
      </c>
      <c r="F10" s="2056"/>
      <c r="G10" s="2056"/>
      <c r="H10" s="2056"/>
      <c r="I10" s="2051"/>
      <c r="J10" s="2812"/>
    </row>
    <row r="11" spans="1:15" ht="12.75">
      <c r="A11" s="3534"/>
      <c r="B11" s="3534"/>
      <c r="C11" s="3537"/>
      <c r="D11" s="3538"/>
      <c r="E11" s="12" t="s">
        <v>1666</v>
      </c>
      <c r="F11" s="2056"/>
      <c r="G11" s="2056"/>
      <c r="H11" s="2056"/>
      <c r="I11" s="2051"/>
      <c r="J11" s="2812"/>
    </row>
    <row r="12" spans="1:15" ht="12.75">
      <c r="A12" s="3534" t="s">
        <v>1667</v>
      </c>
      <c r="B12" s="3534">
        <v>15</v>
      </c>
      <c r="C12" s="3535"/>
      <c r="D12" s="3538"/>
      <c r="E12" s="12" t="s">
        <v>1668</v>
      </c>
      <c r="F12" s="2056"/>
      <c r="G12" s="2056"/>
      <c r="H12" s="2056"/>
      <c r="I12" s="2051"/>
      <c r="J12" s="2812"/>
    </row>
    <row r="13" spans="1:15" ht="12.75">
      <c r="A13" s="3534"/>
      <c r="B13" s="3534"/>
      <c r="C13" s="3537"/>
      <c r="D13" s="3538"/>
      <c r="E13" s="12" t="s">
        <v>1669</v>
      </c>
      <c r="F13" s="2056"/>
      <c r="G13" s="2056"/>
      <c r="H13" s="2056"/>
      <c r="I13" s="2051"/>
      <c r="J13" s="2812"/>
    </row>
    <row r="14" spans="1:15" ht="12.75">
      <c r="A14" s="3534" t="s">
        <v>1670</v>
      </c>
      <c r="B14" s="3534">
        <v>30</v>
      </c>
      <c r="C14" s="3535">
        <v>5</v>
      </c>
      <c r="D14" s="3538">
        <v>5</v>
      </c>
      <c r="E14" s="12" t="s">
        <v>1671</v>
      </c>
      <c r="F14" s="2056"/>
      <c r="G14" s="2056"/>
      <c r="H14" s="2056"/>
      <c r="I14" s="2051"/>
      <c r="J14" s="2812"/>
    </row>
    <row r="15" spans="1:15" ht="12.75">
      <c r="A15" s="3534"/>
      <c r="B15" s="3534"/>
      <c r="C15" s="3536"/>
      <c r="D15" s="3538"/>
      <c r="E15" s="12" t="s">
        <v>1672</v>
      </c>
      <c r="F15" s="2056"/>
      <c r="G15" s="2056"/>
      <c r="H15" s="2056"/>
      <c r="I15" s="2051"/>
      <c r="J15" s="2812"/>
    </row>
    <row r="16" spans="1:15" ht="12.75">
      <c r="A16" s="3534"/>
      <c r="B16" s="3534"/>
      <c r="C16" s="3537"/>
      <c r="D16" s="3538"/>
      <c r="E16" s="12" t="s">
        <v>1673</v>
      </c>
      <c r="F16" s="2056"/>
      <c r="G16" s="2056"/>
      <c r="H16" s="2056"/>
      <c r="I16" s="2051"/>
      <c r="J16" s="2812"/>
    </row>
    <row r="17" spans="1:36" ht="15">
      <c r="A17" s="2681" t="s">
        <v>1674</v>
      </c>
      <c r="B17" s="2061"/>
      <c r="C17" s="2682">
        <f>SUM(C5:C16)</f>
        <v>5</v>
      </c>
      <c r="D17" s="2682">
        <f>SUM(D5:D16)</f>
        <v>5</v>
      </c>
      <c r="E17" s="2530"/>
      <c r="F17" s="2530"/>
      <c r="G17" s="2530"/>
      <c r="H17" s="2530"/>
      <c r="I17" s="2530"/>
      <c r="J17" s="2813"/>
    </row>
    <row r="18" spans="1:36" ht="30" customHeight="1" thickBot="1">
      <c r="A18" s="2683" t="s">
        <v>1675</v>
      </c>
      <c r="B18" s="2684"/>
      <c r="C18" s="2685">
        <f>ROUND(C17/SUM(C17:D17),2)</f>
        <v>0.5</v>
      </c>
      <c r="D18" s="2685">
        <f>1-C18</f>
        <v>0.5</v>
      </c>
      <c r="E18" s="3543" t="s">
        <v>2757</v>
      </c>
      <c r="F18" s="3544"/>
      <c r="G18" s="3544"/>
      <c r="H18" s="3544"/>
      <c r="I18" s="3544"/>
      <c r="J18" s="2813"/>
      <c r="K18" s="658">
        <f>1700/B121</f>
        <v>24.0316652530393</v>
      </c>
    </row>
    <row r="19" spans="1:36" ht="15">
      <c r="A19" s="2686" t="s">
        <v>1676</v>
      </c>
      <c r="B19" s="2687" t="s">
        <v>1677</v>
      </c>
      <c r="C19" s="2688">
        <f ca="1">SUMIF(INDIRECT("'"&amp;C4&amp;"'"&amp;"!A:A"),结果表!B19,INDIRECT("'"&amp;C4&amp;"'"&amp;"!B:B"))</f>
        <v>138</v>
      </c>
      <c r="D19" s="2689">
        <f ca="1">SUMIF(INDIRECT("'"&amp;D4&amp;"'"&amp;"!A:A"),结果表!B19,INDIRECT("'"&amp;D4&amp;"'"&amp;"!B:B"))</f>
        <v>119</v>
      </c>
      <c r="E19" s="2686" t="s">
        <v>1678</v>
      </c>
      <c r="F19" s="2687" t="s">
        <v>1677</v>
      </c>
      <c r="G19" s="2690">
        <f ca="1">ROUND(C19*$C$18+D19*$D$18,0)</f>
        <v>129</v>
      </c>
      <c r="H19" s="2691" t="str">
        <f>'数据-取费表'!B3</f>
        <v>万元</v>
      </c>
      <c r="I19" s="2739"/>
      <c r="J19" s="2814"/>
    </row>
    <row r="20" spans="1:36" ht="15">
      <c r="A20" s="2692"/>
      <c r="B20" s="1661" t="s">
        <v>1679</v>
      </c>
      <c r="C20" s="1886">
        <f ca="1">SUMIF(INDIRECT("'"&amp;C4&amp;"'"&amp;"!A:A"),结果表!B20,INDIRECT("'"&amp;C4&amp;"'"&amp;"!B:B"))</f>
        <v>19539</v>
      </c>
      <c r="D20" s="1889">
        <f ca="1">SUMIF(INDIRECT("'"&amp;D4&amp;"'"&amp;"!A:A"),结果表!B20,INDIRECT("'"&amp;D4&amp;"'"&amp;"!B:B"))</f>
        <v>16859</v>
      </c>
      <c r="E20" s="2692"/>
      <c r="F20" s="1661" t="s">
        <v>1679</v>
      </c>
      <c r="G20" s="2060">
        <f ca="1">ROUND(C20*$C$18+D20*$D$18,0)</f>
        <v>18199</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0.15966386554621859</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539" t="s">
        <v>1682</v>
      </c>
      <c r="B24" s="2687" t="s">
        <v>1677</v>
      </c>
      <c r="C24" s="2690">
        <f>D30</f>
        <v>0</v>
      </c>
      <c r="D24" s="2642"/>
      <c r="E24" s="945"/>
      <c r="F24" s="945"/>
      <c r="G24" s="945"/>
      <c r="H24" s="945"/>
      <c r="I24" s="945"/>
      <c r="J24" s="2813"/>
    </row>
    <row r="25" spans="1:36" ht="21.75" customHeight="1">
      <c r="A25" s="354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c r="B27" s="2705">
        <v>0</v>
      </c>
      <c r="C27" s="2705">
        <v>0</v>
      </c>
      <c r="D27" s="2706">
        <f>ROUND(C27*B27/10000,0)</f>
        <v>0</v>
      </c>
      <c r="E27" s="945"/>
      <c r="F27" s="945"/>
      <c r="G27" s="945"/>
      <c r="H27" s="945"/>
      <c r="I27" s="945"/>
      <c r="J27" s="2813"/>
    </row>
    <row r="28" spans="1:36" ht="14.25">
      <c r="A28" s="2704"/>
      <c r="B28" s="2705"/>
      <c r="C28" s="2705"/>
      <c r="D28" s="2706">
        <f t="shared" ref="D28:D29" si="0">ROUND(C28*B28/10000,0)</f>
        <v>0</v>
      </c>
      <c r="E28" s="945"/>
      <c r="F28" s="945"/>
      <c r="G28" s="945"/>
      <c r="H28" s="945"/>
      <c r="I28" s="945"/>
      <c r="J28" s="2813"/>
    </row>
    <row r="29" spans="1:36" ht="14.25">
      <c r="A29" s="2704"/>
      <c r="B29" s="2705"/>
      <c r="C29" s="2705"/>
      <c r="D29" s="2706">
        <f t="shared" si="0"/>
        <v>0</v>
      </c>
      <c r="E29" s="945"/>
      <c r="F29" s="945"/>
      <c r="G29" s="945"/>
      <c r="H29" s="945"/>
      <c r="I29" s="945"/>
      <c r="J29" s="2813"/>
    </row>
    <row r="30" spans="1:36" ht="15" thickBot="1">
      <c r="A30" s="2741" t="s">
        <v>1687</v>
      </c>
      <c r="B30" s="2741"/>
      <c r="C30" s="2741"/>
      <c r="D30" s="2741"/>
      <c r="E30" s="2708" t="s">
        <v>2761</v>
      </c>
      <c r="F30" s="2530"/>
      <c r="G30" s="2530"/>
      <c r="H30" s="2530"/>
      <c r="I30" s="2530"/>
      <c r="J30" s="2813"/>
    </row>
    <row r="31" spans="1:36" s="2806" customFormat="1" ht="26.45"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总价</v>
      </c>
      <c r="C32" s="2796">
        <f ca="1">IF(B32="总价",G19-C24,G20-C25)</f>
        <v>129</v>
      </c>
      <c r="D32" s="2797" t="str">
        <f>IF(B32="楼面单价","元/平方米",H19)</f>
        <v>万元</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取值（总价）</v>
      </c>
      <c r="G33" s="945"/>
      <c r="H33" s="945"/>
      <c r="I33" s="945"/>
      <c r="J33" s="2813"/>
    </row>
    <row r="34" spans="1:17" ht="15">
      <c r="A34" s="1433"/>
      <c r="B34" s="2714" t="s">
        <v>1691</v>
      </c>
      <c r="C34" s="2715">
        <f ca="1">IF(D33="自定义",F34,C32-C35)</f>
        <v>92</v>
      </c>
      <c r="D34" s="2716">
        <f ca="1">IF(D33="自定义",ROUND(C34/C32,3),1-D35)</f>
        <v>0.71</v>
      </c>
      <c r="E34" s="1402" t="s">
        <v>1692</v>
      </c>
      <c r="F34" s="2717">
        <v>2000</v>
      </c>
      <c r="G34" s="945"/>
      <c r="H34" s="945"/>
      <c r="I34" s="945"/>
      <c r="J34" s="2813"/>
    </row>
    <row r="35" spans="1:17" ht="15.75" thickBot="1">
      <c r="A35" s="1434"/>
      <c r="B35" s="2718" t="s">
        <v>1693</v>
      </c>
      <c r="C35" s="2719">
        <f ca="1">IF(D33="自定义",F35,ROUND(C32*D35,0))</f>
        <v>37</v>
      </c>
      <c r="D35" s="2720">
        <f ca="1">IF(D33="自定义",ROUND(C35/C32,3),IF(D33="成本法成本比率",成本法!C56,IF(D33="收益法收益比率",收益法!J38,收益法!J41)))</f>
        <v>0.28999999999999998</v>
      </c>
      <c r="E35" s="2721" t="s">
        <v>1694</v>
      </c>
      <c r="F35" s="2722">
        <v>4460</v>
      </c>
      <c r="G35" s="945"/>
      <c r="H35" s="945"/>
      <c r="I35" s="945"/>
      <c r="J35" s="2813"/>
    </row>
    <row r="36" spans="1:17" ht="15.75" thickBot="1">
      <c r="A36" s="3539" t="s">
        <v>1695</v>
      </c>
      <c r="B36" s="1435" t="s">
        <v>1696</v>
      </c>
      <c r="C36" s="2723">
        <v>0</v>
      </c>
      <c r="D36" s="2724"/>
      <c r="E36" s="1647"/>
      <c r="F36" s="1647"/>
      <c r="G36" s="945"/>
      <c r="H36" s="945"/>
      <c r="I36" s="945"/>
      <c r="J36" s="2813"/>
    </row>
    <row r="37" spans="1:17" ht="15.75" thickBot="1">
      <c r="A37" s="3541"/>
      <c r="B37" s="2061" t="s">
        <v>1697</v>
      </c>
      <c r="C37" s="2725">
        <v>0</v>
      </c>
      <c r="D37" s="1279"/>
      <c r="E37" s="1279"/>
      <c r="F37" s="1647"/>
      <c r="G37" s="1279"/>
      <c r="H37" s="1279"/>
      <c r="I37" s="1279"/>
      <c r="J37" s="2817"/>
    </row>
    <row r="38" spans="1:17" ht="15.75" thickBot="1">
      <c r="A38" s="3542"/>
      <c r="B38" s="1436" t="s">
        <v>1698</v>
      </c>
      <c r="C38" s="2726">
        <v>0</v>
      </c>
      <c r="D38" s="2727" t="s">
        <v>1699</v>
      </c>
      <c r="E38" s="1279"/>
      <c r="F38" s="1647"/>
      <c r="G38" s="1279"/>
      <c r="H38" s="1279"/>
      <c r="I38" s="1279"/>
      <c r="J38" s="2817"/>
    </row>
    <row r="39" spans="1:17" ht="15">
      <c r="A39" s="2692" t="s">
        <v>1700</v>
      </c>
      <c r="B39" s="2728" t="s">
        <v>1684</v>
      </c>
      <c r="C39" s="2729" t="s">
        <v>1685</v>
      </c>
      <c r="D39" s="2729" t="s">
        <v>1701</v>
      </c>
      <c r="E39" s="2730" t="s">
        <v>1686</v>
      </c>
      <c r="F39" s="1647"/>
      <c r="G39" s="1279"/>
      <c r="H39" s="1279"/>
      <c r="I39" s="1279"/>
      <c r="J39" s="2817"/>
    </row>
    <row r="40" spans="1:17" ht="14.25">
      <c r="A40" s="2731" t="s">
        <v>1702</v>
      </c>
      <c r="B40" s="2732"/>
      <c r="C40" s="2733"/>
      <c r="D40" s="2733"/>
      <c r="E40" s="2734"/>
      <c r="F40" s="1647"/>
      <c r="G40" s="1279"/>
      <c r="H40" s="1279"/>
      <c r="I40" s="1279"/>
      <c r="J40" s="2817"/>
    </row>
    <row r="41" spans="1:17" ht="14.25">
      <c r="A41" s="2731" t="s">
        <v>1703</v>
      </c>
      <c r="B41" s="2732"/>
      <c r="C41" s="2733"/>
      <c r="D41" s="2733"/>
      <c r="E41" s="2734"/>
      <c r="F41" s="1647"/>
      <c r="G41" s="1279"/>
      <c r="H41" s="1279"/>
      <c r="I41" s="1279"/>
      <c r="J41" s="2817"/>
    </row>
    <row r="42" spans="1:17" ht="15" thickBot="1">
      <c r="A42" s="2735"/>
      <c r="B42" s="2736"/>
      <c r="C42" s="2737"/>
      <c r="D42" s="2737"/>
      <c r="E42" s="2722"/>
      <c r="F42" s="1647"/>
      <c r="G42" s="1279"/>
      <c r="H42" s="1279"/>
      <c r="I42" s="1279"/>
      <c r="J42" s="2817"/>
    </row>
    <row r="43" spans="1:17" ht="12.75">
      <c r="A43" s="2943"/>
      <c r="B43" s="2943"/>
      <c r="C43" s="2943"/>
      <c r="D43" s="2943"/>
      <c r="E43" s="2943"/>
      <c r="F43" s="2942"/>
      <c r="G43" s="2942"/>
      <c r="H43" s="2942"/>
      <c r="I43" s="2629"/>
      <c r="J43" s="2818"/>
    </row>
    <row r="44" spans="1:17" ht="18.75">
      <c r="A44" s="1438" t="s">
        <v>1704</v>
      </c>
      <c r="B44" s="1439"/>
      <c r="C44" s="1439"/>
      <c r="D44" s="1440"/>
      <c r="E44" s="1440"/>
      <c r="F44" s="1441"/>
      <c r="G44" s="1441"/>
      <c r="H44" s="1441"/>
      <c r="I44" s="2807" t="s">
        <v>2756</v>
      </c>
      <c r="J44" s="2819"/>
      <c r="K44" s="1442" t="s">
        <v>1705</v>
      </c>
      <c r="L44" s="1443"/>
      <c r="M44" s="1443"/>
      <c r="N44" s="1443"/>
      <c r="O44" s="1443"/>
      <c r="P44" s="1443"/>
      <c r="Q44" s="1276"/>
    </row>
    <row r="45" spans="1:17" ht="14.25" customHeight="1" thickBot="1">
      <c r="A45" s="3445" t="s">
        <v>1706</v>
      </c>
      <c r="B45" s="3446"/>
      <c r="C45" s="3472"/>
      <c r="D45" s="246">
        <f ca="1">ROUND(I102*F45,0)</f>
        <v>129</v>
      </c>
      <c r="E45" s="1509" t="s">
        <v>1707</v>
      </c>
      <c r="F45" s="2528">
        <v>1</v>
      </c>
      <c r="G45" s="2529" t="s">
        <v>1708</v>
      </c>
      <c r="H45" s="945"/>
      <c r="I45" s="945"/>
      <c r="J45" s="2813"/>
      <c r="K45" s="3569" t="s">
        <v>2686</v>
      </c>
      <c r="L45" s="3569"/>
      <c r="M45" s="3569"/>
      <c r="N45" s="3569"/>
      <c r="O45" s="3569"/>
      <c r="P45" s="3569"/>
      <c r="Q45" s="1276"/>
    </row>
    <row r="46" spans="1:17" ht="14.25" customHeight="1">
      <c r="A46" s="3547" t="s">
        <v>1710</v>
      </c>
      <c r="B46" s="3548"/>
      <c r="C46" s="3548"/>
      <c r="D46" s="3548"/>
      <c r="E46" s="3548"/>
      <c r="F46" s="3548"/>
      <c r="G46" s="3549"/>
      <c r="H46" s="2945"/>
      <c r="I46" s="945"/>
      <c r="J46" s="2813"/>
      <c r="K46" s="2503">
        <v>1</v>
      </c>
      <c r="L46" s="3570" t="s">
        <v>2687</v>
      </c>
      <c r="M46" s="3570"/>
      <c r="N46" s="3571" t="str">
        <f>项目基本情况!B1</f>
        <v>北京市房地产抵押价值预评估</v>
      </c>
      <c r="O46" s="3571"/>
      <c r="P46" s="3571"/>
      <c r="Q46" s="1276"/>
    </row>
    <row r="47" spans="1:17" ht="12" customHeight="1">
      <c r="A47" s="38" t="s">
        <v>1712</v>
      </c>
      <c r="B47" s="39"/>
      <c r="C47" s="40"/>
      <c r="D47" s="1068" t="s">
        <v>1713</v>
      </c>
      <c r="E47" s="235" t="s">
        <v>1714</v>
      </c>
      <c r="F47" s="41" t="s">
        <v>1715</v>
      </c>
      <c r="G47" s="2531" t="s">
        <v>1716</v>
      </c>
      <c r="H47" s="2945"/>
      <c r="I47" s="945"/>
      <c r="J47" s="2813"/>
      <c r="K47" s="2503">
        <v>2</v>
      </c>
      <c r="L47" s="3570" t="s">
        <v>2688</v>
      </c>
      <c r="M47" s="3570"/>
      <c r="N47" s="3572">
        <f>'数据-取费表'!B2</f>
        <v>44777</v>
      </c>
      <c r="O47" s="3572"/>
      <c r="P47" s="3572"/>
      <c r="Q47" s="1276"/>
    </row>
    <row r="48" spans="1:17" ht="25.5">
      <c r="A48" s="3552" t="s">
        <v>1718</v>
      </c>
      <c r="B48" s="3449"/>
      <c r="C48" s="3449"/>
      <c r="D48" s="12">
        <f ca="1">IF(H48="情况1",0,IF(H48="情况2",D52,IF(H48="情况3",D53,IF(H48="情况4",D54))))</f>
        <v>7</v>
      </c>
      <c r="E48" s="2059" t="str">
        <f>IF(H48="情况4","(销售额-原购置价)×税（费）率","销售额×税（费）率")</f>
        <v>销售额×税（费）率</v>
      </c>
      <c r="F48" s="2532">
        <f>IF(H48="情况1","免征",'数据-取费表'!E29)</f>
        <v>5.5000000000000007E-2</v>
      </c>
      <c r="G48" s="2533" t="s">
        <v>1719</v>
      </c>
      <c r="H48" s="2534" t="s">
        <v>1720</v>
      </c>
      <c r="I48" s="2945"/>
      <c r="J48" s="2820"/>
      <c r="K48" s="2503">
        <v>3</v>
      </c>
      <c r="L48" s="3570" t="s">
        <v>2689</v>
      </c>
      <c r="M48" s="3570"/>
      <c r="N48" s="3571">
        <f ca="1">I102</f>
        <v>129</v>
      </c>
      <c r="O48" s="3571"/>
      <c r="P48" s="3571"/>
      <c r="Q48" s="1276"/>
    </row>
    <row r="49" spans="1:17" ht="25.5" customHeight="1">
      <c r="A49" s="2058" t="s">
        <v>1722</v>
      </c>
      <c r="B49" s="3455" t="s">
        <v>1723</v>
      </c>
      <c r="C49" s="3455"/>
      <c r="D49" s="2535">
        <v>0</v>
      </c>
      <c r="E49" s="261" t="s">
        <v>1724</v>
      </c>
      <c r="F49" s="2536" t="s">
        <v>48</v>
      </c>
      <c r="G49" s="3527"/>
      <c r="H49" s="2537" t="s">
        <v>2763</v>
      </c>
      <c r="I49" s="2538"/>
      <c r="J49" s="2821"/>
      <c r="K49" s="2503">
        <v>4</v>
      </c>
      <c r="L49" s="3570" t="str">
        <f>IF(项目基本情况!F5="房地产抵押价值","房地产抵押价值","抵押担保权已注销时的房地产抵押价值")</f>
        <v>房地产抵押价值</v>
      </c>
      <c r="M49" s="3570"/>
      <c r="N49" s="3571">
        <f ca="1">IF(项目基本情况!F5="房地产抵押价值",I110,I112)</f>
        <v>129</v>
      </c>
      <c r="O49" s="3571"/>
      <c r="P49" s="3571"/>
      <c r="Q49" s="1276"/>
    </row>
    <row r="50" spans="1:17" ht="25.5" customHeight="1">
      <c r="A50" s="2048"/>
      <c r="B50" s="3455" t="s">
        <v>1725</v>
      </c>
      <c r="C50" s="3455"/>
      <c r="D50" s="2539"/>
      <c r="E50" s="269"/>
      <c r="F50" s="2536"/>
      <c r="G50" s="3528"/>
      <c r="H50" s="2540" t="s">
        <v>2682</v>
      </c>
      <c r="I50" s="2538"/>
      <c r="J50" s="2821"/>
      <c r="K50" s="3570" t="s">
        <v>2690</v>
      </c>
      <c r="L50" s="3570"/>
      <c r="M50" s="3570"/>
      <c r="N50" s="3570"/>
      <c r="O50" s="3570"/>
      <c r="P50" s="3570"/>
      <c r="Q50" s="1276"/>
    </row>
    <row r="51" spans="1:17" ht="20.45" customHeight="1">
      <c r="A51" s="2541"/>
      <c r="B51" s="3455" t="s">
        <v>1727</v>
      </c>
      <c r="C51" s="3455"/>
      <c r="D51" s="1068"/>
      <c r="E51" s="264"/>
      <c r="F51" s="2536"/>
      <c r="G51" s="3529"/>
      <c r="H51" s="2540" t="s">
        <v>2683</v>
      </c>
      <c r="I51" s="2538"/>
      <c r="J51" s="2821"/>
      <c r="K51" s="2504" t="s">
        <v>2691</v>
      </c>
      <c r="L51" s="3570" t="s">
        <v>2692</v>
      </c>
      <c r="M51" s="3570"/>
      <c r="N51" s="2504" t="s">
        <v>2693</v>
      </c>
      <c r="O51" s="2504" t="s">
        <v>2694</v>
      </c>
      <c r="P51" s="2504" t="s">
        <v>2695</v>
      </c>
      <c r="Q51" s="1276"/>
    </row>
    <row r="52" spans="1:17" ht="24" customHeight="1">
      <c r="A52" s="2049" t="s">
        <v>1733</v>
      </c>
      <c r="B52" s="3455" t="s">
        <v>1734</v>
      </c>
      <c r="C52" s="3455"/>
      <c r="D52" s="1068">
        <f ca="1">ROUND(D45*'数据-取费表'!E29/(1+'数据-取费表'!F30),0)</f>
        <v>7</v>
      </c>
      <c r="E52" s="2059" t="s">
        <v>1735</v>
      </c>
      <c r="F52" s="2542">
        <f>'数据-取费表'!E29</f>
        <v>5.5000000000000007E-2</v>
      </c>
      <c r="G52" s="2543"/>
      <c r="H52" s="945"/>
      <c r="I52" s="2946"/>
      <c r="J52" s="2821"/>
      <c r="K52" s="2503">
        <v>1</v>
      </c>
      <c r="L52" s="3560" t="s">
        <v>2696</v>
      </c>
      <c r="M52" s="3560"/>
      <c r="N52" s="2505">
        <f ca="1">D48</f>
        <v>7</v>
      </c>
      <c r="O52" s="2503" t="str">
        <f>E48</f>
        <v>销售额×税（费）率</v>
      </c>
      <c r="P52" s="2506">
        <f>F48</f>
        <v>5.5000000000000007E-2</v>
      </c>
      <c r="Q52" s="1276"/>
    </row>
    <row r="53" spans="1:17" ht="12" customHeight="1">
      <c r="A53" s="2049" t="s">
        <v>1737</v>
      </c>
      <c r="B53" s="3450" t="s">
        <v>2775</v>
      </c>
      <c r="C53" s="3456"/>
      <c r="D53" s="1068">
        <f ca="1">ROUND(D45*'数据-取费表'!E29/(1+'数据-取费表'!F30),0)</f>
        <v>7</v>
      </c>
      <c r="E53" s="2059" t="s">
        <v>1735</v>
      </c>
      <c r="F53" s="2542">
        <f>'数据-取费表'!E29</f>
        <v>5.5000000000000007E-2</v>
      </c>
      <c r="G53" s="2543"/>
      <c r="H53" s="945"/>
      <c r="I53" s="2946"/>
      <c r="J53" s="2821"/>
      <c r="K53" s="2503">
        <v>2</v>
      </c>
      <c r="L53" s="3560" t="s">
        <v>2697</v>
      </c>
      <c r="M53" s="3560"/>
      <c r="N53" s="2505">
        <f t="shared" ref="N53:P54" si="1">D55</f>
        <v>0</v>
      </c>
      <c r="O53" s="2503" t="str">
        <f t="shared" si="1"/>
        <v>销售额×税（费）率</v>
      </c>
      <c r="P53" s="2506" t="str">
        <f t="shared" si="1"/>
        <v>免征</v>
      </c>
      <c r="Q53" s="1276"/>
    </row>
    <row r="54" spans="1:17" ht="12" customHeight="1">
      <c r="A54" s="2049" t="s">
        <v>1739</v>
      </c>
      <c r="B54" s="3450" t="s">
        <v>2776</v>
      </c>
      <c r="C54" s="3456"/>
      <c r="D54" s="1068">
        <f ca="1">C68</f>
        <v>7</v>
      </c>
      <c r="E54" s="264" t="s">
        <v>1740</v>
      </c>
      <c r="F54" s="2542">
        <f>'数据-取费表'!E29</f>
        <v>5.5000000000000007E-2</v>
      </c>
      <c r="G54" s="2543"/>
      <c r="H54" s="2947"/>
      <c r="I54" s="2946"/>
      <c r="J54" s="2821"/>
      <c r="K54" s="2503">
        <v>3</v>
      </c>
      <c r="L54" s="3560" t="s">
        <v>2698</v>
      </c>
      <c r="M54" s="3560"/>
      <c r="N54" s="2505">
        <f t="shared" si="1"/>
        <v>0</v>
      </c>
      <c r="O54" s="2503" t="str">
        <f t="shared" si="1"/>
        <v>增值额×税（费）率</v>
      </c>
      <c r="P54" s="2507" t="str">
        <f t="shared" si="1"/>
        <v>免征</v>
      </c>
      <c r="Q54" s="1276"/>
    </row>
    <row r="55" spans="1:17" ht="24" customHeight="1">
      <c r="A55" s="3448" t="s">
        <v>1742</v>
      </c>
      <c r="B55" s="3449"/>
      <c r="C55" s="3449"/>
      <c r="D55" s="12">
        <f>IF(H55="个人住宅",0,ROUND(D45*I55,0))</f>
        <v>0</v>
      </c>
      <c r="E55" s="2059" t="s">
        <v>1743</v>
      </c>
      <c r="F55" s="2542" t="str">
        <f>IF(H55="正常",I55,"免征")</f>
        <v>免征</v>
      </c>
      <c r="G55" s="2543"/>
      <c r="H55" s="2534" t="s">
        <v>2679</v>
      </c>
      <c r="I55" s="74">
        <f>'数据-取费表'!E37</f>
        <v>5.0000000000000001E-4</v>
      </c>
      <c r="J55" s="2821"/>
      <c r="K55" s="2503" t="str">
        <f>IF(H59="非个人房产","",4)</f>
        <v/>
      </c>
      <c r="L55" s="3560" t="str">
        <f>IF(H59="非个人房产","——","个人所得税")</f>
        <v>——</v>
      </c>
      <c r="M55" s="3560"/>
      <c r="N55" s="2508" t="str">
        <f>D59</f>
        <v>——</v>
      </c>
      <c r="O55" s="2509" t="str">
        <f>E59</f>
        <v>——</v>
      </c>
      <c r="P55" s="2510" t="str">
        <f>F59</f>
        <v>——</v>
      </c>
      <c r="Q55" s="1276"/>
    </row>
    <row r="56" spans="1:17" ht="24.75">
      <c r="A56" s="3448" t="s">
        <v>1745</v>
      </c>
      <c r="B56" s="3449"/>
      <c r="C56" s="3449"/>
      <c r="D56" s="12">
        <f>IF(H56="个人住宅",D57,D58)</f>
        <v>0</v>
      </c>
      <c r="E56" s="2059" t="s">
        <v>1746</v>
      </c>
      <c r="F56" s="2542" t="str">
        <f>IF(H56="正常",F58,"免征")</f>
        <v>免征</v>
      </c>
      <c r="G56" s="2544" t="s">
        <v>1747</v>
      </c>
      <c r="H56" s="2545" t="s">
        <v>2679</v>
      </c>
      <c r="I56" s="2948"/>
      <c r="J56" s="2821"/>
      <c r="K56" s="2503" t="str">
        <f>IF(项目基本情况!I6="上海银行",IF(K55="",4,K55+1),"")</f>
        <v/>
      </c>
      <c r="L56" s="3562" t="str">
        <f>IF(项目基本情况!I6="上海银行","其他处置费用","")</f>
        <v/>
      </c>
      <c r="M56" s="3563"/>
      <c r="N56" s="2505" t="str">
        <f>IF(项目基本情况!I6="上海银行",N69,"")</f>
        <v/>
      </c>
      <c r="O56" s="3562" t="str">
        <f>IF(项目基本情况!I6="上海银行","包含处置中涉及的律师、诉讼、拍卖、评估等费用","")</f>
        <v/>
      </c>
      <c r="P56" s="3568"/>
      <c r="Q56" s="1276"/>
    </row>
    <row r="57" spans="1:17" ht="12.75">
      <c r="A57" s="2049" t="s">
        <v>1722</v>
      </c>
      <c r="B57" s="3450" t="s">
        <v>1748</v>
      </c>
      <c r="C57" s="3456"/>
      <c r="D57" s="2535">
        <v>0</v>
      </c>
      <c r="E57" s="261" t="s">
        <v>1724</v>
      </c>
      <c r="F57" s="235"/>
      <c r="G57" s="2543"/>
      <c r="H57" s="2948"/>
      <c r="I57" s="2948"/>
      <c r="J57" s="2821"/>
      <c r="K57" s="3560">
        <f>IF(AND(K55="",K56=""),4,IF(项目基本情况!I6="上海银行",K56+1,K55+1))</f>
        <v>4</v>
      </c>
      <c r="L57" s="3560" t="s">
        <v>2699</v>
      </c>
      <c r="M57" s="2511" t="s">
        <v>2700</v>
      </c>
      <c r="N57" s="2512"/>
      <c r="O57" s="2513">
        <f ca="1">SUMIF(N52:N56,"&lt;9e307")</f>
        <v>7</v>
      </c>
      <c r="P57" s="2514"/>
      <c r="Q57" s="1274">
        <f ca="1">O57/N49</f>
        <v>5.4263565891472867E-2</v>
      </c>
    </row>
    <row r="58" spans="1:17" ht="24.75">
      <c r="A58" s="2049" t="s">
        <v>1733</v>
      </c>
      <c r="B58" s="3450" t="s">
        <v>1751</v>
      </c>
      <c r="C58" s="3455"/>
      <c r="D58" s="12">
        <f ca="1">IF(H58="转让取得",C81,C97)</f>
        <v>73</v>
      </c>
      <c r="E58" s="2059" t="s">
        <v>1746</v>
      </c>
      <c r="F58" s="235" t="s">
        <v>48</v>
      </c>
      <c r="G58" s="2543"/>
      <c r="H58" s="2545" t="s">
        <v>1752</v>
      </c>
      <c r="I58" s="2948"/>
      <c r="J58" s="2821"/>
      <c r="K58" s="3560"/>
      <c r="L58" s="3560"/>
      <c r="M58" s="2511" t="s">
        <v>2701</v>
      </c>
      <c r="N58" s="2515"/>
      <c r="O58" s="2516" t="str">
        <f ca="1">IF(H19="元",NUMBERSTRING(INT(O57),2)&amp;"元整",NUMBERSTRING(INT(O57*10000),2)&amp;"元整")</f>
        <v>柒万元整</v>
      </c>
      <c r="P58" s="2517"/>
      <c r="Q58" s="1276"/>
    </row>
    <row r="59" spans="1:17" ht="24.75" thickBot="1">
      <c r="A59" s="3434" t="s">
        <v>1754</v>
      </c>
      <c r="B59" s="3435"/>
      <c r="C59" s="3435"/>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1" t="s">
        <v>2754</v>
      </c>
      <c r="H59" s="2063" t="s">
        <v>2764</v>
      </c>
      <c r="I59" s="2850" t="s">
        <v>2765</v>
      </c>
      <c r="J59" s="2821"/>
      <c r="K59" s="3558">
        <f>K57+1</f>
        <v>5</v>
      </c>
      <c r="L59" s="3560" t="s">
        <v>2702</v>
      </c>
      <c r="M59" s="2503" t="s">
        <v>2700</v>
      </c>
      <c r="N59" s="2518"/>
      <c r="O59" s="2519">
        <f ca="1">N49-O57</f>
        <v>122</v>
      </c>
      <c r="P59" s="2520"/>
      <c r="Q59" s="1276"/>
    </row>
    <row r="60" spans="1:17" ht="12" customHeight="1">
      <c r="A60" s="1424"/>
      <c r="B60" s="1428"/>
      <c r="C60" s="1428"/>
      <c r="D60" s="1428"/>
      <c r="E60" s="811"/>
      <c r="F60" s="2949"/>
      <c r="G60" s="2949"/>
      <c r="H60" s="2950"/>
      <c r="I60" s="31"/>
      <c r="K60" s="3559"/>
      <c r="L60" s="3560"/>
      <c r="M60" s="2511" t="s">
        <v>2701</v>
      </c>
      <c r="N60" s="2515"/>
      <c r="O60" s="2516" t="str">
        <f ca="1">IF(H19="元",NUMBERSTRING(INT(O59),2)&amp;"元整",NUMBERSTRING(INT(O59*10000),2)&amp;"元整")</f>
        <v>壹佰贰拾贰万元整</v>
      </c>
      <c r="P60" s="2517"/>
      <c r="Q60" s="1276"/>
    </row>
    <row r="61" spans="1:17" ht="13.5" thickBot="1">
      <c r="A61" s="3554" t="s">
        <v>1756</v>
      </c>
      <c r="B61" s="3554"/>
      <c r="C61" s="3554"/>
      <c r="D61" s="3554"/>
      <c r="E61" s="3554"/>
      <c r="F61" s="2949"/>
      <c r="G61" s="2949"/>
      <c r="H61" s="2951"/>
      <c r="I61" s="31"/>
      <c r="K61" s="2503">
        <f>K59+1</f>
        <v>6</v>
      </c>
      <c r="L61" s="3560" t="s">
        <v>2703</v>
      </c>
      <c r="M61" s="3560"/>
      <c r="N61" s="2521"/>
      <c r="O61" s="2522">
        <f ca="1">IF(H19="元",ROUND(O59/项目基本情况!C12,0),ROUND(O59*10000/项目基本情况!C12,0))</f>
        <v>17246</v>
      </c>
      <c r="P61" s="2523"/>
      <c r="Q61" s="1276"/>
    </row>
    <row r="62" spans="1:17" ht="12.75">
      <c r="A62" s="3503" t="s">
        <v>1758</v>
      </c>
      <c r="B62" s="3504"/>
      <c r="C62" s="1574"/>
      <c r="D62" s="1574" t="s">
        <v>1759</v>
      </c>
      <c r="E62" s="45" t="s">
        <v>1760</v>
      </c>
      <c r="F62" s="2949"/>
      <c r="G62" s="2949"/>
      <c r="H62" s="2951"/>
      <c r="I62" s="31"/>
      <c r="K62" s="2524"/>
      <c r="L62" s="2524"/>
      <c r="M62" s="2524"/>
      <c r="N62" s="2524"/>
      <c r="O62" s="2524"/>
      <c r="P62" s="2524"/>
      <c r="Q62" s="1276"/>
    </row>
    <row r="63" spans="1:17" ht="12.75">
      <c r="A63" s="46">
        <v>1</v>
      </c>
      <c r="B63" s="47" t="s">
        <v>1761</v>
      </c>
      <c r="C63" s="2752">
        <f ca="1">ROUND((C64+C65)/(1+'数据-取费表'!F30),0)</f>
        <v>123</v>
      </c>
      <c r="D63" s="47"/>
      <c r="E63" s="48"/>
      <c r="F63" s="2949"/>
      <c r="G63" s="2949"/>
      <c r="H63" s="2951"/>
      <c r="I63" s="31"/>
      <c r="K63" s="3564" t="s">
        <v>2704</v>
      </c>
      <c r="L63" s="2525" t="s">
        <v>2705</v>
      </c>
      <c r="M63" s="2525">
        <f ca="1">IF(N49&gt;10000,N49*0.5%,IF(AND(N49&gt;1000,N49&lt;=10000),N49*1%,IF(AND(N49&gt;100,N49&lt;=1000),N49*3%,IF(AND(N49&gt;10,N49&lt;=100),N49*5%,N49*8%))))</f>
        <v>3.8699999999999997</v>
      </c>
      <c r="N63" s="2526">
        <f ca="1">ROUND(M63,1)</f>
        <v>3.9</v>
      </c>
      <c r="O63" s="2524"/>
      <c r="P63" s="2524"/>
      <c r="Q63" s="1276"/>
    </row>
    <row r="64" spans="1:17" ht="12.75">
      <c r="A64" s="49" t="s">
        <v>71</v>
      </c>
      <c r="B64" s="50" t="s">
        <v>1764</v>
      </c>
      <c r="C64" s="2753">
        <f ca="1">D45</f>
        <v>129</v>
      </c>
      <c r="D64" s="50" t="s">
        <v>41</v>
      </c>
      <c r="E64" s="52"/>
      <c r="F64" s="2949"/>
      <c r="G64" s="2949"/>
      <c r="H64" s="2951"/>
      <c r="I64" s="31"/>
      <c r="K64" s="3564"/>
      <c r="L64" s="2525" t="s">
        <v>2706</v>
      </c>
      <c r="M64" s="2525">
        <f ca="1">IF(N49&gt;2000,N49*0.5%,IF(AND(N49&gt;1000,N49&lt;=2000),N49*0.6%,IF(AND(N49&gt;500,N49&lt;=1000),N49*0.7%,IF(AND(N49&gt;200,N49&lt;=500),N49*0.8%,IF(AND(N49&gt;100,N49&lt;=200),N49*0.9%,IF(AND(N49&gt;50,N49&lt;=100),N49*1%,IF(AND(N49&gt;20,N49&lt;=50),N49*1.5%,IF(AND(N49&gt;10,N49&lt;=20),N49*2%,IF(AND(N49&gt;1,N49&lt;=10),N49*2.5%)))))))))</f>
        <v>1.161</v>
      </c>
      <c r="N64" s="2526">
        <f t="shared" ref="N64:N65" ca="1" si="2">ROUND(M64,1)</f>
        <v>1.2</v>
      </c>
      <c r="O64" s="2524" t="s">
        <v>2707</v>
      </c>
      <c r="P64" s="2524"/>
      <c r="Q64" s="1276"/>
    </row>
    <row r="65" spans="1:36" ht="12.75">
      <c r="A65" s="49" t="s">
        <v>72</v>
      </c>
      <c r="B65" s="50" t="s">
        <v>1767</v>
      </c>
      <c r="C65" s="2754"/>
      <c r="D65" s="50"/>
      <c r="E65" s="52"/>
      <c r="F65" s="2949"/>
      <c r="G65" s="2949"/>
      <c r="H65" s="2951"/>
      <c r="I65" s="31"/>
      <c r="K65" s="3564"/>
      <c r="L65" s="2525" t="s">
        <v>2708</v>
      </c>
      <c r="M65" s="2525">
        <f ca="1">IF(N49&gt;1000,N49*0.1%,IF(AND(N49&gt;500,N49&lt;=1000),N49*0.5%,IF(AND(N49&gt;50,N49&lt;=500),N49*1%,IF(AND(N49&gt;1,N49&lt;=50),N49*1.5%))))</f>
        <v>1.29</v>
      </c>
      <c r="N65" s="2526">
        <f t="shared" ca="1" si="2"/>
        <v>1.3</v>
      </c>
      <c r="O65" s="2524" t="s">
        <v>2707</v>
      </c>
      <c r="P65" s="2524"/>
      <c r="Q65" s="1276"/>
    </row>
    <row r="66" spans="1:36" ht="12.75">
      <c r="A66" s="53" t="s">
        <v>47</v>
      </c>
      <c r="B66" s="54" t="s">
        <v>1769</v>
      </c>
      <c r="C66" s="2755"/>
      <c r="D66" s="54" t="s">
        <v>41</v>
      </c>
      <c r="E66" s="1284" t="s">
        <v>1770</v>
      </c>
      <c r="F66" s="2949"/>
      <c r="G66" s="2949"/>
      <c r="H66" s="2951"/>
      <c r="I66" s="31"/>
      <c r="K66" s="3564"/>
      <c r="L66" s="2525" t="s">
        <v>2709</v>
      </c>
      <c r="M66" s="2525">
        <f ca="1">N49*0.5%</f>
        <v>0.64500000000000002</v>
      </c>
      <c r="N66" s="2526">
        <f ca="1">IF(M66&gt;0.5,0.5,ROUND(M66,0))</f>
        <v>0.5</v>
      </c>
      <c r="O66" s="2524" t="s">
        <v>2710</v>
      </c>
      <c r="P66" s="2524"/>
      <c r="Q66" s="1276"/>
    </row>
    <row r="67" spans="1:36" ht="12.75">
      <c r="A67" s="53" t="s">
        <v>42</v>
      </c>
      <c r="B67" s="54" t="s">
        <v>1773</v>
      </c>
      <c r="C67" s="2756">
        <f ca="1">C63-C66</f>
        <v>123</v>
      </c>
      <c r="D67" s="50" t="s">
        <v>41</v>
      </c>
      <c r="E67" s="52"/>
      <c r="F67" s="2949"/>
      <c r="G67" s="2949"/>
      <c r="H67" s="2951"/>
      <c r="I67" s="31"/>
      <c r="K67" s="3564"/>
      <c r="L67" s="2525" t="s">
        <v>2711</v>
      </c>
      <c r="M67" s="2525">
        <f ca="1">IF(N49&gt;=10000,(8.25+(N49-10000)*0.01%),IF(AND(N49&gt;=8000,N49&lt;10000),(7.85+(N49-8000)*0.02%),IF(AND(N49&gt;=5000,N49&lt;8000),(6.65+(N49-5000)*0.04%),IF(AND(N49&gt;=2000,N49&lt;5000),(4.25+(PN49-2000)*0.08%),IF(AND(N49&gt;=1000,N49&lt;2000),(2.75+(N49-1000)*0.15%),IF(AND(N49&gt;=100,N49&lt;1000),(0.5+(N49-100)*0.25%),IF(AND(N49&gt;0,N49&lt;100),N49*0.5%)))))))</f>
        <v>0.57250000000000001</v>
      </c>
      <c r="N67" s="2526">
        <f ca="1">ROUND(M67*0.9,1)</f>
        <v>0.5</v>
      </c>
      <c r="O67" s="2524"/>
      <c r="P67" s="2524"/>
      <c r="Q67" s="1276"/>
    </row>
    <row r="68" spans="1:36" ht="13.5" thickBot="1">
      <c r="A68" s="55" t="s">
        <v>46</v>
      </c>
      <c r="B68" s="56" t="s">
        <v>1775</v>
      </c>
      <c r="C68" s="2757">
        <f ca="1">IF(C67&lt;=0,0,ROUND(C67*D68,0))</f>
        <v>7</v>
      </c>
      <c r="D68" s="2209">
        <f>'数据-取费表'!E29</f>
        <v>5.5000000000000007E-2</v>
      </c>
      <c r="E68" s="57"/>
      <c r="F68" s="2949"/>
      <c r="G68" s="2949"/>
      <c r="H68" s="2951"/>
      <c r="I68" s="31"/>
      <c r="K68" s="3564"/>
      <c r="L68" s="2525" t="s">
        <v>2712</v>
      </c>
      <c r="M68" s="2525">
        <f ca="1">IF(N49&gt;10000,N49*0.5%,IF(AND(N49&gt;5000,N49&lt;=10000),N49*1%,IF(AND(N49&gt;1000,N49&lt;=5000),N49*2%,IF(AND(N49&gt;200,N49&lt;=1000),N49*3%,N49*5%))))</f>
        <v>6.45</v>
      </c>
      <c r="N68" s="2526">
        <f ca="1">ROUND(M68,1)</f>
        <v>6.5</v>
      </c>
      <c r="O68" s="2524"/>
      <c r="P68" s="2524"/>
      <c r="Q68" s="1276"/>
    </row>
    <row r="69" spans="1:36" s="1432" customFormat="1" ht="7.5" customHeight="1">
      <c r="A69" s="1444"/>
      <c r="B69" s="1445"/>
      <c r="C69" s="1446"/>
      <c r="D69" s="1447"/>
      <c r="E69" s="1448"/>
      <c r="F69" s="811"/>
      <c r="G69" s="811"/>
      <c r="H69" s="1437"/>
      <c r="I69" s="1428"/>
      <c r="J69" s="2809"/>
      <c r="K69" s="3564"/>
      <c r="L69" s="2525" t="s">
        <v>54</v>
      </c>
      <c r="M69" s="2525"/>
      <c r="N69" s="2526">
        <f ca="1">ROUND(SUM(N63:N68),0)</f>
        <v>14</v>
      </c>
      <c r="O69" s="2527">
        <f ca="1">N69/N49</f>
        <v>0.10852713178294573</v>
      </c>
      <c r="P69" s="2524"/>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0" customFormat="1" ht="15" thickBot="1">
      <c r="A70" s="3556" t="s">
        <v>1778</v>
      </c>
      <c r="B70" s="3557"/>
      <c r="C70" s="3557"/>
      <c r="D70" s="3557"/>
      <c r="E70" s="3557"/>
      <c r="F70" s="3557"/>
      <c r="G70" s="3557"/>
      <c r="H70" s="3557"/>
      <c r="I70" s="1449"/>
      <c r="J70" s="2822"/>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503" t="s">
        <v>1758</v>
      </c>
      <c r="B71" s="3504"/>
      <c r="C71" s="1574"/>
      <c r="D71" s="1574" t="s">
        <v>1759</v>
      </c>
      <c r="E71" s="58" t="s">
        <v>1760</v>
      </c>
      <c r="F71" s="59"/>
      <c r="G71" s="59"/>
      <c r="H71" s="60"/>
      <c r="I71" s="1452"/>
      <c r="J71" s="2823"/>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6">
        <f ca="1">ROUND(D45/(1+'数据-取费表'!F30),0)</f>
        <v>123</v>
      </c>
      <c r="D72" s="50" t="s">
        <v>41</v>
      </c>
      <c r="E72" s="12" t="s">
        <v>1780</v>
      </c>
      <c r="F72" s="2056"/>
      <c r="G72" s="2056"/>
      <c r="H72" s="62"/>
      <c r="I72" s="1452"/>
      <c r="J72" s="2823"/>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6">
        <f ca="1">C74+C78</f>
        <v>1</v>
      </c>
      <c r="D73" s="50" t="s">
        <v>41</v>
      </c>
      <c r="E73" s="2055"/>
      <c r="F73" s="2056"/>
      <c r="G73" s="2056"/>
      <c r="H73" s="62"/>
      <c r="I73" s="1452"/>
      <c r="J73" s="2823"/>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3"/>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60" t="s">
        <v>1785</v>
      </c>
      <c r="G75" s="64" t="s">
        <v>1786</v>
      </c>
      <c r="H75" s="2761"/>
      <c r="I75" s="9"/>
      <c r="J75" s="282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2">
        <v>0.05</v>
      </c>
      <c r="E76" s="3450" t="s">
        <v>1788</v>
      </c>
      <c r="F76" s="3455"/>
      <c r="G76" s="3455"/>
      <c r="H76" s="3516"/>
      <c r="I76" s="1452"/>
      <c r="J76" s="2823"/>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2"/>
      <c r="G77" s="1453" t="s">
        <v>1791</v>
      </c>
      <c r="H77" s="2057" t="str">
        <f>IF(G77="个人买卖住房","免征印花税"," ")</f>
        <v xml:space="preserve"> </v>
      </c>
      <c r="I77" s="1452"/>
      <c r="J77" s="2823"/>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4">
        <f ca="1">ROUND(D45*D78/(1+'数据-取费表'!F30),0)</f>
        <v>1</v>
      </c>
      <c r="D78" s="2765">
        <f>'数据-取费表'!E31</f>
        <v>5.000000000000001E-3</v>
      </c>
      <c r="E78" s="3505" t="s">
        <v>1793</v>
      </c>
      <c r="F78" s="3506"/>
      <c r="G78" s="3506"/>
      <c r="H78" s="3507"/>
      <c r="I78" s="1454"/>
      <c r="J78" s="2825"/>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6">
        <f ca="1">C72-C73</f>
        <v>122</v>
      </c>
      <c r="D79" s="50" t="s">
        <v>41</v>
      </c>
      <c r="E79" s="2055"/>
      <c r="F79" s="2056"/>
      <c r="G79" s="2056"/>
      <c r="H79" s="62"/>
      <c r="I79" s="1452"/>
      <c r="J79" s="2823"/>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6">
        <f ca="1">IF(C79&lt;=0,0,C79/C73)</f>
        <v>122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3"/>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7">
        <f ca="1">ROUND(IF(C79&lt;=0,0,IF(C80&gt;=200%,C79*60%-C73*35%,IF(C80&gt;=100%,C79*50%-C73*15%,IF(C80&gt;=50%,C79*40%-C73*5%,IF(C80&lt;50%,C79*30%,0))))),0)</f>
        <v>73</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3"/>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6"/>
      <c r="B82" s="607"/>
      <c r="C82" s="9"/>
      <c r="D82" s="9"/>
      <c r="E82" s="607"/>
      <c r="F82" s="607"/>
      <c r="G82" s="607"/>
      <c r="H82" s="608"/>
      <c r="I82" s="1454"/>
      <c r="J82" s="2825"/>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56" t="s">
        <v>1797</v>
      </c>
      <c r="B83" s="3557"/>
      <c r="C83" s="3557"/>
      <c r="D83" s="3557"/>
      <c r="E83" s="3557"/>
      <c r="F83" s="3557"/>
      <c r="G83" s="3557"/>
      <c r="H83" s="3557"/>
      <c r="I83" s="9"/>
      <c r="J83" s="282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503" t="s">
        <v>1758</v>
      </c>
      <c r="B84" s="3504"/>
      <c r="C84" s="1574"/>
      <c r="D84" s="1574" t="s">
        <v>1759</v>
      </c>
      <c r="E84" s="58" t="s">
        <v>1760</v>
      </c>
      <c r="F84" s="59"/>
      <c r="G84" s="59"/>
      <c r="H84" s="72"/>
      <c r="I84" s="9"/>
      <c r="J84" s="2824"/>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6">
        <f ca="1">ROUND(D45/(1+'数据-取费表'!F30),0)</f>
        <v>123</v>
      </c>
      <c r="D85" s="50" t="s">
        <v>41</v>
      </c>
      <c r="E85" s="2055" t="s">
        <v>1780</v>
      </c>
      <c r="F85" s="2056"/>
      <c r="G85" s="2056"/>
      <c r="H85" s="73"/>
      <c r="I85" s="9"/>
      <c r="J85" s="2824"/>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6">
        <f ca="1">IF(H88="仅含出让金",C87+C90+C91+C92+C93+C94,C87+C91+C92+C93+C94)</f>
        <v>1</v>
      </c>
      <c r="D86" s="2768"/>
      <c r="E86" s="2055"/>
      <c r="F86" s="2056"/>
      <c r="G86" s="2056"/>
      <c r="H86" s="73"/>
      <c r="I86" s="9"/>
      <c r="J86" s="2824"/>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4">
        <f>C88+C89</f>
        <v>0</v>
      </c>
      <c r="D87" s="2765"/>
      <c r="E87" s="2052"/>
      <c r="F87" s="2053"/>
      <c r="G87" s="2053"/>
      <c r="H87" s="2054"/>
      <c r="I87" s="9"/>
      <c r="J87" s="2824"/>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9"/>
      <c r="D88" s="2765"/>
      <c r="E88" s="74" t="s">
        <v>1800</v>
      </c>
      <c r="F88" s="2053"/>
      <c r="G88" s="75" t="s">
        <v>1801</v>
      </c>
      <c r="H88" s="1455"/>
      <c r="I88" s="9"/>
      <c r="J88" s="2824"/>
      <c r="K88" s="2940" t="s">
        <v>2758</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4">
        <f>ROUND(C88*D89,0)</f>
        <v>0</v>
      </c>
      <c r="D89" s="2765">
        <f>'数据-取费表'!E36+'数据-取费表'!E37</f>
        <v>3.0499999999999999E-2</v>
      </c>
      <c r="E89" s="74" t="s">
        <v>1802</v>
      </c>
      <c r="F89" s="2053"/>
      <c r="G89" s="2053"/>
      <c r="H89" s="2054"/>
      <c r="I89" s="9"/>
      <c r="J89" s="2824"/>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9"/>
      <c r="D90" s="2765"/>
      <c r="E90" s="74" t="str">
        <f>IF(H88="-","土地取得成本中已包含该笔费用"," ")</f>
        <v xml:space="preserve"> </v>
      </c>
      <c r="F90" s="2053"/>
      <c r="G90" s="3517" t="s">
        <v>2674</v>
      </c>
      <c r="H90" s="3517"/>
      <c r="I90" s="9"/>
      <c r="J90" s="2824"/>
      <c r="K90" s="2940" t="s">
        <v>2759</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4">
        <f>IF(H91="——",成本法!C33,I91)</f>
        <v>0</v>
      </c>
      <c r="D91" s="2765"/>
      <c r="E91" s="3505" t="s">
        <v>1805</v>
      </c>
      <c r="F91" s="3506"/>
      <c r="G91" s="3506"/>
      <c r="H91" s="1456" t="s">
        <v>1806</v>
      </c>
      <c r="I91" s="1457"/>
      <c r="J91" s="2826"/>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4">
        <f>ROUND((C87+C90+C91)*D92,0)</f>
        <v>0</v>
      </c>
      <c r="D92" s="2808">
        <v>0.1</v>
      </c>
      <c r="E92" s="3505" t="s">
        <v>1808</v>
      </c>
      <c r="F92" s="3506"/>
      <c r="G92" s="3506"/>
      <c r="H92" s="3507"/>
      <c r="I92" s="9"/>
      <c r="J92" s="2824"/>
      <c r="K92" s="2941" t="s">
        <v>2760</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4">
        <f ca="1">ROUND(D45*D93/(1+'数据-取费表'!F30),0)</f>
        <v>1</v>
      </c>
      <c r="D93" s="2765">
        <f>'数据-取费表'!E31</f>
        <v>5.000000000000001E-3</v>
      </c>
      <c r="E93" s="3505" t="s">
        <v>1793</v>
      </c>
      <c r="F93" s="3506"/>
      <c r="G93" s="3506"/>
      <c r="H93" s="3507"/>
      <c r="I93" s="9"/>
      <c r="J93" s="2824"/>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4">
        <f>ROUND((C87+C90+C91)*D94,0)</f>
        <v>0</v>
      </c>
      <c r="D94" s="2765">
        <v>0.2</v>
      </c>
      <c r="E94" s="3505" t="s">
        <v>1810</v>
      </c>
      <c r="F94" s="3506"/>
      <c r="G94" s="3506"/>
      <c r="H94" s="3507"/>
      <c r="I94" s="9"/>
      <c r="J94" s="2824"/>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6">
        <f ca="1">ROUND(C85-C86,0)</f>
        <v>122</v>
      </c>
      <c r="D95" s="50" t="s">
        <v>41</v>
      </c>
      <c r="E95" s="2055"/>
      <c r="F95" s="2056"/>
      <c r="G95" s="2056"/>
      <c r="H95" s="73"/>
      <c r="I95" s="9"/>
      <c r="J95" s="2824"/>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6">
        <f ca="1">IF(C95&lt;=0,0,C95/C86)</f>
        <v>122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4"/>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7">
        <f ca="1">ROUND(IF(C95&lt;=0,0,IF(C96&gt;=200%,C95*60%-C86*35%,IF(C96&gt;=100%,C95*50%-C86*15%,IF(C96&gt;=50%,C95*40%-C86*5%,IF(C96&lt;50%,C95*30%,0))))),0)</f>
        <v>73</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1"/>
      <c r="F98" s="811"/>
      <c r="G98" s="811"/>
      <c r="H98" s="1437"/>
      <c r="I98" s="1428"/>
    </row>
    <row r="99" spans="1:36" ht="15.75">
      <c r="A99" s="3508" t="s">
        <v>1812</v>
      </c>
      <c r="B99" s="3509"/>
      <c r="C99" s="3509"/>
      <c r="D99" s="3510"/>
      <c r="E99" s="1428"/>
      <c r="F99" s="3565" t="s">
        <v>1813</v>
      </c>
      <c r="G99" s="3566"/>
      <c r="H99" s="3566"/>
      <c r="I99" s="3567"/>
      <c r="J99" s="2827"/>
    </row>
    <row r="100" spans="1:36" ht="15">
      <c r="A100" s="3496" t="s">
        <v>1814</v>
      </c>
      <c r="B100" s="3497"/>
      <c r="C100" s="1275" t="str">
        <f>C4</f>
        <v>比较法-办公</v>
      </c>
      <c r="D100" s="2775" t="str">
        <f>D4</f>
        <v>收益法</v>
      </c>
      <c r="E100" s="1428"/>
      <c r="F100" s="3465" t="s">
        <v>2718</v>
      </c>
      <c r="G100" s="3466"/>
      <c r="H100" s="3465" t="s">
        <v>2719</v>
      </c>
      <c r="I100" s="3461"/>
      <c r="J100" s="2828"/>
    </row>
    <row r="101" spans="1:36" ht="12.75">
      <c r="A101" s="3561" t="s">
        <v>2751</v>
      </c>
      <c r="B101" s="2274" t="str">
        <f>IF(H19="元","总价（元）","总价（万元）")</f>
        <v>总价（万元）</v>
      </c>
      <c r="C101" s="1275">
        <f ca="1">C19</f>
        <v>138</v>
      </c>
      <c r="D101" s="2775">
        <f ca="1">D19</f>
        <v>119</v>
      </c>
      <c r="E101" s="1428"/>
      <c r="F101" s="3465" t="str">
        <f>项目基本情况!I1</f>
        <v>北京市房地产</v>
      </c>
      <c r="G101" s="3466"/>
      <c r="H101" s="3452">
        <f>项目基本情况!C12</f>
        <v>70.739999999999995</v>
      </c>
      <c r="I101" s="3461"/>
      <c r="J101" s="2828"/>
    </row>
    <row r="102" spans="1:36" ht="12.75">
      <c r="A102" s="3561"/>
      <c r="B102" s="2274" t="s">
        <v>2752</v>
      </c>
      <c r="C102" s="2776">
        <f ca="1">C20</f>
        <v>19539</v>
      </c>
      <c r="D102" s="2777">
        <f ca="1">D20</f>
        <v>16859</v>
      </c>
      <c r="E102" s="1428"/>
      <c r="F102" s="3443" t="s">
        <v>2748</v>
      </c>
      <c r="G102" s="3444"/>
      <c r="H102" s="2785" t="str">
        <f>C106</f>
        <v>总价（万元）</v>
      </c>
      <c r="I102" s="2786">
        <f ca="1">H121</f>
        <v>129</v>
      </c>
      <c r="J102" s="2828"/>
    </row>
    <row r="103" spans="1:36" ht="12.75">
      <c r="A103" s="3561" t="s">
        <v>2753</v>
      </c>
      <c r="B103" s="2212" t="str">
        <f>B101</f>
        <v>总价（万元）</v>
      </c>
      <c r="C103" s="2780">
        <f ca="1">H121</f>
        <v>129</v>
      </c>
      <c r="D103" s="2778"/>
      <c r="E103" s="1428"/>
      <c r="F103" s="3443"/>
      <c r="G103" s="3444"/>
      <c r="H103" s="2785" t="s">
        <v>2721</v>
      </c>
      <c r="I103" s="52">
        <f ca="1">I121</f>
        <v>18236</v>
      </c>
      <c r="J103" s="2812"/>
    </row>
    <row r="104" spans="1:36" ht="13.5" thickBot="1">
      <c r="A104" s="3441"/>
      <c r="B104" s="2782" t="s">
        <v>2752</v>
      </c>
      <c r="C104" s="2783">
        <f ca="1">I121</f>
        <v>18236</v>
      </c>
      <c r="D104" s="2784"/>
      <c r="E104" s="1428"/>
      <c r="F104" s="3443"/>
      <c r="G104" s="3444"/>
      <c r="H104" s="3501"/>
      <c r="I104" s="3502"/>
      <c r="J104" s="2829"/>
    </row>
    <row r="105" spans="1:36" ht="15">
      <c r="A105" s="3508" t="s">
        <v>1815</v>
      </c>
      <c r="B105" s="3509"/>
      <c r="C105" s="3509"/>
      <c r="D105" s="3510"/>
      <c r="E105" s="1428"/>
      <c r="F105" s="3492" t="s">
        <v>2722</v>
      </c>
      <c r="G105" s="3493"/>
      <c r="H105" s="2787" t="str">
        <f>C108</f>
        <v>总额（万元）</v>
      </c>
      <c r="I105" s="2786">
        <f>SUMIF(I106:I108,"&lt;9E307")</f>
        <v>0</v>
      </c>
      <c r="J105" s="2828"/>
    </row>
    <row r="106" spans="1:36" ht="14.25">
      <c r="A106" s="3443" t="s">
        <v>2745</v>
      </c>
      <c r="B106" s="3444"/>
      <c r="C106" s="2785" t="str">
        <f>B101</f>
        <v>总价（万元）</v>
      </c>
      <c r="D106" s="2786">
        <f ca="1">H121</f>
        <v>129</v>
      </c>
      <c r="E106" s="1428"/>
      <c r="F106" s="3469" t="s">
        <v>2723</v>
      </c>
      <c r="G106" s="3470"/>
      <c r="H106" s="2787" t="str">
        <f>C109</f>
        <v>总额（万元）</v>
      </c>
      <c r="I106" s="2788">
        <f>IF(D36="同一抵押权人同一抵押物续贷",C36&amp;"（续贷，未扣减，详见特别提示）",C36)</f>
        <v>0</v>
      </c>
      <c r="J106" s="2812"/>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43"/>
      <c r="B107" s="3444"/>
      <c r="C107" s="2785" t="s">
        <v>2746</v>
      </c>
      <c r="D107" s="52">
        <f ca="1">I121</f>
        <v>18236</v>
      </c>
      <c r="E107" s="1428"/>
      <c r="F107" s="3469" t="s">
        <v>2724</v>
      </c>
      <c r="G107" s="3470"/>
      <c r="H107" s="2787" t="str">
        <f>C110</f>
        <v>总额（万元）</v>
      </c>
      <c r="I107" s="52">
        <f>C37</f>
        <v>0</v>
      </c>
      <c r="J107" s="2812"/>
    </row>
    <row r="108" spans="1:36" ht="12.75">
      <c r="A108" s="3494" t="s">
        <v>2722</v>
      </c>
      <c r="B108" s="3495"/>
      <c r="C108" s="2787" t="str">
        <f>IF(H19="元","总额（元）","总额（万元）")</f>
        <v>总额（万元）</v>
      </c>
      <c r="D108" s="2786">
        <f>IF(D36="正常操作",I106+I107+I108,I107+I108)</f>
        <v>0</v>
      </c>
      <c r="E108" s="1428"/>
      <c r="F108" s="3469" t="s">
        <v>2749</v>
      </c>
      <c r="G108" s="3470"/>
      <c r="H108" s="2787" t="str">
        <f>C111</f>
        <v>总额（万元）</v>
      </c>
      <c r="I108" s="52">
        <f>C38</f>
        <v>0</v>
      </c>
      <c r="J108" s="2812"/>
    </row>
    <row r="109" spans="1:36" ht="12.75">
      <c r="A109" s="3469" t="s">
        <v>2723</v>
      </c>
      <c r="B109" s="3470"/>
      <c r="C109" s="2787" t="str">
        <f>C108</f>
        <v>总额（万元）</v>
      </c>
      <c r="D109" s="52">
        <f>IF(D36="同一抵押权人同一抵押物续贷",C36&amp;"（未扣减，详见特别提示）",C36)</f>
        <v>0</v>
      </c>
      <c r="E109" s="1428"/>
      <c r="F109" s="3443"/>
      <c r="G109" s="3444"/>
      <c r="H109" s="3467"/>
      <c r="I109" s="3468"/>
      <c r="J109" s="2830"/>
    </row>
    <row r="110" spans="1:36" ht="28.5" customHeight="1">
      <c r="A110" s="3469" t="s">
        <v>2747</v>
      </c>
      <c r="B110" s="3470"/>
      <c r="C110" s="2787" t="str">
        <f>C108</f>
        <v>总额（万元）</v>
      </c>
      <c r="D110" s="52">
        <f>C37</f>
        <v>0</v>
      </c>
      <c r="E110" s="1428"/>
      <c r="F110" s="3471" t="str">
        <f>IF(项目基本情况!F5="已注销","——","3.房地产抵押价值")</f>
        <v>3.房地产抵押价值</v>
      </c>
      <c r="G110" s="3472"/>
      <c r="H110" s="2773" t="str">
        <f>C112</f>
        <v>总价（万元）</v>
      </c>
      <c r="I110" s="2786">
        <f ca="1">IF(F110="——","——",I102-I105)</f>
        <v>129</v>
      </c>
      <c r="J110" s="2828"/>
    </row>
    <row r="111" spans="1:36" ht="12.75">
      <c r="A111" s="3469" t="s">
        <v>2726</v>
      </c>
      <c r="B111" s="3470"/>
      <c r="C111" s="2787" t="str">
        <f>C108</f>
        <v>总额（万元）</v>
      </c>
      <c r="D111" s="52">
        <f>C38</f>
        <v>0</v>
      </c>
      <c r="E111" s="1428"/>
      <c r="F111" s="3473"/>
      <c r="G111" s="3474"/>
      <c r="H111" s="2785" t="s">
        <v>2721</v>
      </c>
      <c r="I111" s="2789">
        <f ca="1">D113</f>
        <v>18236</v>
      </c>
      <c r="J111" s="2831"/>
    </row>
    <row r="112" spans="1:36" ht="26.25" customHeight="1">
      <c r="A112" s="3443" t="str">
        <f>IF(项目基本情况!F5="已注销","——","3.房地产抵押价值")</f>
        <v>3.房地产抵押价值</v>
      </c>
      <c r="B112" s="3444"/>
      <c r="C112" s="2785" t="str">
        <f>B101</f>
        <v>总价（万元）</v>
      </c>
      <c r="D112" s="2786">
        <f ca="1">IF(A112="——","——",D106-D108)</f>
        <v>129</v>
      </c>
      <c r="E112" s="1428"/>
      <c r="F112" s="3471" t="str">
        <f>IF(项目基本情况!F5="已注销及未注销","4.抵押担保权已注销时的房地产抵押价值",IF(项目基本情况!F5="已注销","3.抵押担保权已注销时的房地产抵押价值","——"))</f>
        <v>——</v>
      </c>
      <c r="G112" s="3472"/>
      <c r="H112" s="2773" t="str">
        <f>C114</f>
        <v>总价（万元）</v>
      </c>
      <c r="I112" s="2786" t="str">
        <f>IF(F112="——","——",I102-I107-I108)</f>
        <v>——</v>
      </c>
      <c r="J112" s="2828"/>
    </row>
    <row r="113" spans="1:16" ht="12.75">
      <c r="A113" s="3443"/>
      <c r="B113" s="3444"/>
      <c r="C113" s="2785" t="s">
        <v>2714</v>
      </c>
      <c r="D113" s="52">
        <f ca="1">ROUND(IF(D112=D106,D107,IF(H19="元",D112/项目基本情况!C12,D112*10000/项目基本情况!C12)),0)</f>
        <v>18236</v>
      </c>
      <c r="E113" s="1428"/>
      <c r="F113" s="3473"/>
      <c r="G113" s="3474"/>
      <c r="H113" s="2785" t="s">
        <v>2750</v>
      </c>
      <c r="I113" s="52" t="str">
        <f>D115</f>
        <v>——</v>
      </c>
      <c r="J113" s="2812"/>
    </row>
    <row r="114" spans="1:16" ht="12.75">
      <c r="A114" s="3443" t="str">
        <f>IF(项目基本情况!F5="已注销及未注销","4.抵押担保权已注销时的房地产抵押价值",IF(项目基本情况!F5="已注销","3.抵押担保权已注销时的房地产抵押价值","——"))</f>
        <v>——</v>
      </c>
      <c r="B114" s="3444"/>
      <c r="C114" s="2785" t="str">
        <f>B101</f>
        <v>总价（万元）</v>
      </c>
      <c r="D114" s="2786" t="str">
        <f>IF(A114="——","——",D106-D110-D111)</f>
        <v>——</v>
      </c>
      <c r="E114" s="1428"/>
      <c r="F114" s="3471" t="str">
        <f>IF(项目基本情况!G5="抵押净值",IF(OR(项目基本情况!F5="已注销",项目基本情况!F5="房地产抵押价值"),"4.抵押净值","5.抵押净值"),"——")</f>
        <v>——</v>
      </c>
      <c r="G114" s="3472"/>
      <c r="H114" s="2785" t="str">
        <f>C116</f>
        <v>总价（万元）</v>
      </c>
      <c r="I114" s="2786" t="str">
        <f>IF(F114="——","——",O59)</f>
        <v>——</v>
      </c>
      <c r="J114" s="2828"/>
    </row>
    <row r="115" spans="1:16" ht="13.5" thickBot="1">
      <c r="A115" s="3443"/>
      <c r="B115" s="3444"/>
      <c r="C115" s="2785" t="s">
        <v>2714</v>
      </c>
      <c r="D115" s="52" t="str">
        <f>IF(A114="——","——",ROUND(IF(D114=D106,D107,IF(H19="元",D114/项目基本情况!C12,D114*10000/项目基本情况!C12)),0))</f>
        <v>——</v>
      </c>
      <c r="E115" s="1428"/>
      <c r="F115" s="3480"/>
      <c r="G115" s="3481"/>
      <c r="H115" s="2790" t="s">
        <v>2714</v>
      </c>
      <c r="I115" s="2774" t="str">
        <f ca="1">D117</f>
        <v>——</v>
      </c>
      <c r="J115" s="2812"/>
    </row>
    <row r="116" spans="1:16" ht="15.75">
      <c r="A116" s="3443" t="str">
        <f>IF(项目基本情况!G5="抵押净值",IF(OR(项目基本情况!F5="已注销",项目基本情况!F5="房地产抵押价值"),"4.抵押净值","5.抵押净值"),"——")</f>
        <v>——</v>
      </c>
      <c r="B116" s="3444"/>
      <c r="C116" s="2785" t="str">
        <f>B101</f>
        <v>总价（万元）</v>
      </c>
      <c r="D116" s="2786" t="str">
        <f>IF(A116="——","——",O59)</f>
        <v>——</v>
      </c>
      <c r="E116" s="1428"/>
      <c r="F116" s="3484"/>
      <c r="G116" s="3484"/>
      <c r="H116" s="3485"/>
      <c r="I116" s="3485"/>
      <c r="J116" s="2832"/>
      <c r="O116" s="32"/>
      <c r="P116" s="32"/>
    </row>
    <row r="117" spans="1:16" ht="13.5" thickBot="1">
      <c r="A117" s="3482"/>
      <c r="B117" s="3483"/>
      <c r="C117" s="2790" t="s">
        <v>2714</v>
      </c>
      <c r="D117" s="2774" t="str">
        <f ca="1">IF(D116=D112,D113,IF(A116="——","——",O61))</f>
        <v>——</v>
      </c>
      <c r="E117" s="1428"/>
      <c r="F117" s="3553" t="str">
        <f>IF(B32="总价","（以上估价结果中单价为总价除以建筑面积得出）","（以上估价结果中总价为楼面单价乘以建筑面积得出）")</f>
        <v>（以上估价结果中单价为总价除以建筑面积得出）</v>
      </c>
      <c r="G117" s="3553"/>
      <c r="H117" s="3553"/>
      <c r="I117" s="3553"/>
      <c r="J117" s="2833"/>
      <c r="O117" s="32"/>
      <c r="P117" s="32"/>
    </row>
    <row r="118" spans="1:16" ht="15">
      <c r="A118" s="3487" t="s">
        <v>1816</v>
      </c>
      <c r="B118" s="3488"/>
      <c r="C118" s="3488"/>
      <c r="D118" s="3488"/>
      <c r="E118" s="3488"/>
      <c r="F118" s="3488"/>
      <c r="G118" s="3488"/>
      <c r="H118" s="3488"/>
      <c r="I118" s="3488"/>
      <c r="J118" s="2834"/>
    </row>
    <row r="119" spans="1:16" ht="12.75">
      <c r="A119" s="3448" t="s">
        <v>2732</v>
      </c>
      <c r="B119" s="3475" t="s">
        <v>2742</v>
      </c>
      <c r="C119" s="3475" t="s">
        <v>2743</v>
      </c>
      <c r="D119" s="3477" t="s">
        <v>2734</v>
      </c>
      <c r="E119" s="3478"/>
      <c r="F119" s="3449" t="s">
        <v>2744</v>
      </c>
      <c r="G119" s="3449"/>
      <c r="H119" s="3449" t="s">
        <v>2735</v>
      </c>
      <c r="I119" s="3479"/>
      <c r="J119" s="2812"/>
    </row>
    <row r="120" spans="1:16" ht="12.75">
      <c r="A120" s="3448"/>
      <c r="B120" s="3476"/>
      <c r="C120" s="3476"/>
      <c r="D120" s="2059" t="s">
        <v>2736</v>
      </c>
      <c r="E120" s="2059" t="s">
        <v>2741</v>
      </c>
      <c r="F120" s="2059" t="s">
        <v>2736</v>
      </c>
      <c r="G120" s="2059" t="s">
        <v>2737</v>
      </c>
      <c r="H120" s="2059" t="s">
        <v>2736</v>
      </c>
      <c r="I120" s="52" t="s">
        <v>2737</v>
      </c>
      <c r="J120" s="2812"/>
    </row>
    <row r="121" spans="1:16" ht="12.75">
      <c r="A121" s="2049" t="str">
        <f>项目基本情况!I1</f>
        <v>北京市房地产</v>
      </c>
      <c r="B121" s="2059">
        <f>项目基本情况!C12</f>
        <v>70.739999999999995</v>
      </c>
      <c r="C121" s="2059">
        <f>项目基本情况!C13</f>
        <v>0</v>
      </c>
      <c r="D121" s="2059">
        <f ca="1">ROUND(IF(B32="总价",C34,IF('数据-取费表'!B3="万元",E121*B121/10000,E121*B121)),0)</f>
        <v>92</v>
      </c>
      <c r="E121" s="2059">
        <f ca="1">ROUND(IF(B32="楼面单价",C34,IF(H19="元",D121/B121,D121*10000/B121)),0)</f>
        <v>13005</v>
      </c>
      <c r="F121" s="2059">
        <f ca="1">ROUND(IF(B32="总价",C35,IF('数据-取费表'!B3="万元",G121*B121/10000,G121*B121)),0)</f>
        <v>37</v>
      </c>
      <c r="G121" s="2059">
        <f ca="1">ROUND(IF(B32="楼面单价",C35,IF(H19="元",F121/B121,F121*10000/B121)),0)</f>
        <v>5230</v>
      </c>
      <c r="H121" s="2059">
        <f ca="1">ROUND(IF(B32="总价",C32,IF('数据-取费表'!B3="万元",I121*B121/10000,I121*B121)),0)</f>
        <v>129</v>
      </c>
      <c r="I121" s="52">
        <f ca="1">ROUND(IF(B32="楼面单价",C32,IF(H19="元",H121/B121,H121*10000/B121)),0)</f>
        <v>18236</v>
      </c>
      <c r="J121" s="2812"/>
    </row>
    <row r="122" spans="1:16" ht="12.75">
      <c r="A122" s="3448" t="s">
        <v>2738</v>
      </c>
      <c r="B122" s="3449"/>
      <c r="C122" s="3449"/>
      <c r="D122" s="3462" t="str">
        <f ca="1">IF(H19="元",NUMBERSTRING(INT(D121),2)&amp;"元整",NUMBERSTRING(INT(D121*10000),2)&amp;"元整")</f>
        <v>玖拾贰万元整</v>
      </c>
      <c r="E122" s="3463"/>
      <c r="F122" s="3462" t="str">
        <f ca="1">IF(H19="元",NUMBERSTRING(INT(F121),2)&amp;"元整",NUMBERSTRING(INT(F121*10000),2)&amp;"元整")</f>
        <v>叁拾柒万元整</v>
      </c>
      <c r="G122" s="3463"/>
      <c r="H122" s="3462" t="str">
        <f ca="1">IF(H19="元",NUMBERSTRING(INT(H121),2)&amp;"元整",NUMBERSTRING(INT(H121*10000),2)&amp;"元整")</f>
        <v>壹佰贰拾玖万元整</v>
      </c>
      <c r="I122" s="3464"/>
      <c r="J122" s="2835"/>
    </row>
    <row r="123" spans="1:16" ht="12.75">
      <c r="A123" s="3465" t="str">
        <f>IF(项目基本情况!D5="房地产市场价值","——",MID(A108,3,LEN(A108)-2))</f>
        <v>估价师所知悉的法定优先受偿款</v>
      </c>
      <c r="B123" s="3460"/>
      <c r="C123" s="3466"/>
      <c r="D123" s="3452">
        <f>I105</f>
        <v>0</v>
      </c>
      <c r="E123" s="3460"/>
      <c r="F123" s="3460"/>
      <c r="G123" s="3460"/>
      <c r="H123" s="3460"/>
      <c r="I123" s="3461"/>
      <c r="J123" s="2828"/>
    </row>
    <row r="124" spans="1:16" ht="12.75">
      <c r="A124" s="3454" t="s">
        <v>2738</v>
      </c>
      <c r="B124" s="3455"/>
      <c r="C124" s="3456"/>
      <c r="D124" s="3457">
        <f>H109</f>
        <v>0</v>
      </c>
      <c r="E124" s="3458"/>
      <c r="F124" s="3458"/>
      <c r="G124" s="3458"/>
      <c r="H124" s="3458"/>
      <c r="I124" s="3459"/>
      <c r="J124" s="2836"/>
    </row>
    <row r="125" spans="1:16" ht="12.75">
      <c r="A125" s="3443" t="str">
        <f>IF(项目基本情况!D5="房地产市场价值","——",MID(A112,3,LEN(A112)-2))</f>
        <v>房地产抵押价值</v>
      </c>
      <c r="B125" s="3444"/>
      <c r="C125" s="3444"/>
      <c r="D125" s="3452">
        <f ca="1">I110</f>
        <v>129</v>
      </c>
      <c r="E125" s="3460"/>
      <c r="F125" s="3460"/>
      <c r="G125" s="3460"/>
      <c r="H125" s="3460"/>
      <c r="I125" s="3461"/>
      <c r="J125" s="2828"/>
    </row>
    <row r="126" spans="1:16" ht="12.75">
      <c r="A126" s="3448" t="s">
        <v>2738</v>
      </c>
      <c r="B126" s="3449"/>
      <c r="C126" s="3449"/>
      <c r="D126" s="3457">
        <f ca="1">I111</f>
        <v>18236</v>
      </c>
      <c r="E126" s="3458"/>
      <c r="F126" s="3458"/>
      <c r="G126" s="3458"/>
      <c r="H126" s="3458"/>
      <c r="I126" s="3459"/>
      <c r="J126" s="2836"/>
    </row>
    <row r="127" spans="1:16" ht="13.5" thickBot="1">
      <c r="A127" s="3443" t="str">
        <f>IF(项目基本情况!D5="房地产市场价值","——",MID(A114,3,LEN(A114)-2))</f>
        <v/>
      </c>
      <c r="B127" s="3444"/>
      <c r="C127" s="3444"/>
      <c r="D127" s="3445" t="str">
        <f>I112</f>
        <v>——</v>
      </c>
      <c r="E127" s="3446"/>
      <c r="F127" s="3446"/>
      <c r="G127" s="3446"/>
      <c r="H127" s="3446"/>
      <c r="I127" s="3447"/>
      <c r="J127" s="2828"/>
    </row>
    <row r="128" spans="1:16" ht="14.25" thickTop="1" thickBot="1">
      <c r="A128" s="3448" t="s">
        <v>2738</v>
      </c>
      <c r="B128" s="3449"/>
      <c r="C128" s="3450"/>
      <c r="D128" s="3451" t="str">
        <f>I113</f>
        <v>——</v>
      </c>
      <c r="E128" s="3451"/>
      <c r="F128" s="3451"/>
      <c r="G128" s="3451"/>
      <c r="H128" s="3451"/>
      <c r="I128" s="3451"/>
      <c r="J128" s="2836"/>
    </row>
    <row r="129" spans="1:10" ht="14.25" thickTop="1" thickBot="1">
      <c r="A129" s="3443" t="str">
        <f>IF(项目基本情况!D5="房地产市场价值","——",MID(F114,3,LEN(F114)-2))</f>
        <v/>
      </c>
      <c r="B129" s="3444"/>
      <c r="C129" s="3452"/>
      <c r="D129" s="3453" t="str">
        <f>I114</f>
        <v>——</v>
      </c>
      <c r="E129" s="3453"/>
      <c r="F129" s="3453"/>
      <c r="G129" s="3453"/>
      <c r="H129" s="3453"/>
      <c r="I129" s="3453"/>
      <c r="J129" s="2828"/>
    </row>
    <row r="130" spans="1:10" ht="14.25" thickTop="1" thickBot="1">
      <c r="A130" s="3434" t="s">
        <v>2738</v>
      </c>
      <c r="B130" s="3435"/>
      <c r="C130" s="3435"/>
      <c r="D130" s="3436">
        <f>H116</f>
        <v>0</v>
      </c>
      <c r="E130" s="3437"/>
      <c r="F130" s="3437"/>
      <c r="G130" s="3437"/>
      <c r="H130" s="3437"/>
      <c r="I130" s="3438"/>
      <c r="J130" s="2836"/>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7"/>
    </row>
    <row r="132" spans="1:10" ht="13.5" thickBot="1">
      <c r="A132" s="3439" t="str">
        <f>IF(B32="总价","（以上估价结果中楼面单价为总价除以建筑面积得出）","（以上估价结果中总价为楼面单价乘以建筑面积得出）")</f>
        <v>（以上估价结果中楼面单价为总价除以建筑面积得出）</v>
      </c>
      <c r="B132" s="3439"/>
      <c r="C132" s="3439"/>
      <c r="D132" s="3439"/>
      <c r="E132" s="3439"/>
      <c r="F132" s="3439"/>
      <c r="G132" s="3439"/>
      <c r="H132" s="3439"/>
      <c r="I132" s="3439"/>
      <c r="J132" s="2830"/>
    </row>
    <row r="133" spans="1:10" ht="21.75" customHeight="1">
      <c r="A133" s="1458" t="s">
        <v>1817</v>
      </c>
      <c r="B133" s="1459"/>
      <c r="C133" s="1460" t="s">
        <v>1818</v>
      </c>
      <c r="D133" s="1461"/>
      <c r="E133" s="1461"/>
      <c r="F133" s="1461"/>
      <c r="G133" s="1461"/>
      <c r="H133" s="1462"/>
      <c r="I133" s="1463"/>
      <c r="J133" s="2838"/>
    </row>
    <row r="134" spans="1:10" ht="21.75" customHeight="1">
      <c r="A134" s="1464">
        <v>1</v>
      </c>
      <c r="B134" s="1465"/>
      <c r="C134" s="1465"/>
      <c r="D134" s="1461"/>
      <c r="E134" s="1461"/>
      <c r="F134" s="1461"/>
      <c r="G134" s="1461"/>
      <c r="H134" s="1462"/>
      <c r="I134" s="1463"/>
      <c r="J134" s="2838"/>
    </row>
    <row r="135" spans="1:10" ht="21.75" customHeight="1">
      <c r="A135" s="1464">
        <v>2</v>
      </c>
      <c r="B135" s="1465"/>
      <c r="C135" s="1465"/>
      <c r="D135" s="1461"/>
      <c r="E135" s="1461"/>
      <c r="F135" s="1461"/>
      <c r="G135" s="1461"/>
      <c r="H135" s="1462"/>
      <c r="I135" s="1463"/>
      <c r="J135" s="2838"/>
    </row>
    <row r="136" spans="1:10" ht="21.75" customHeight="1">
      <c r="A136" s="1464">
        <v>3</v>
      </c>
      <c r="B136" s="1465"/>
      <c r="C136" s="1465"/>
      <c r="D136" s="1461"/>
      <c r="E136" s="1461"/>
      <c r="F136" s="32"/>
      <c r="G136" s="32"/>
      <c r="H136" s="32"/>
      <c r="I136" s="32"/>
      <c r="J136" s="2839"/>
    </row>
    <row r="137" spans="1:10" ht="21.75" customHeight="1">
      <c r="A137" s="1466"/>
      <c r="B137" s="1467"/>
      <c r="C137" s="1467"/>
      <c r="D137" s="1468"/>
      <c r="E137" s="1468"/>
      <c r="F137" s="1468"/>
      <c r="G137" s="1468"/>
      <c r="H137" s="1469"/>
      <c r="I137" s="1470"/>
      <c r="J137" s="2838"/>
    </row>
    <row r="138" spans="1:10" ht="21.75" customHeight="1">
      <c r="A138" s="1465"/>
      <c r="B138" s="1465"/>
      <c r="C138" s="1465"/>
      <c r="D138" s="1461"/>
      <c r="E138" s="1461"/>
      <c r="F138" s="1461"/>
      <c r="G138" s="1461"/>
      <c r="H138" s="1462"/>
      <c r="I138" s="658"/>
      <c r="J138" s="2839"/>
    </row>
    <row r="139" spans="1:10" ht="21.75" customHeight="1">
      <c r="A139" s="658"/>
      <c r="B139" s="658"/>
      <c r="C139" s="658"/>
      <c r="D139" s="658"/>
      <c r="E139" s="658"/>
      <c r="F139" s="1471" t="s">
        <v>1819</v>
      </c>
      <c r="G139" s="1472"/>
      <c r="H139" s="1472"/>
      <c r="I139" s="1473" t="s">
        <v>1820</v>
      </c>
      <c r="J139" s="2840"/>
    </row>
    <row r="140" spans="1:10" ht="21.75" customHeight="1">
      <c r="A140" s="658"/>
      <c r="B140" s="1474" t="s">
        <v>1821</v>
      </c>
      <c r="C140" s="658"/>
      <c r="D140" s="658"/>
      <c r="E140" s="658"/>
      <c r="F140" s="658"/>
      <c r="G140" s="658"/>
      <c r="H140" s="658"/>
      <c r="I140" s="658"/>
      <c r="J140" s="2839"/>
    </row>
    <row r="141" spans="1:10" ht="21.75" customHeight="1">
      <c r="A141" s="658"/>
      <c r="B141" s="658"/>
      <c r="C141" s="658"/>
      <c r="D141" s="658"/>
      <c r="E141" s="658"/>
      <c r="F141" s="658"/>
      <c r="G141" s="658"/>
      <c r="H141" s="658"/>
      <c r="I141" s="658"/>
      <c r="J141" s="2839"/>
    </row>
    <row r="142" spans="1:10" ht="21.75" customHeight="1">
      <c r="A142" s="658"/>
      <c r="B142" s="1472"/>
      <c r="C142" s="1472"/>
      <c r="D142" s="1472"/>
      <c r="E142" s="1472"/>
      <c r="F142" s="1472"/>
      <c r="G142" s="1472"/>
      <c r="H142" s="1472"/>
      <c r="I142" s="1473" t="s">
        <v>1822</v>
      </c>
      <c r="J142" s="2840"/>
    </row>
    <row r="143" spans="1:10" ht="21.75" customHeight="1">
      <c r="A143" s="658"/>
      <c r="B143" s="1474" t="s">
        <v>1823</v>
      </c>
      <c r="C143" s="658"/>
      <c r="D143" s="658"/>
      <c r="E143" s="658"/>
      <c r="F143" s="658"/>
      <c r="G143" s="658"/>
      <c r="H143" s="658"/>
      <c r="I143" s="658"/>
      <c r="J143" s="2839"/>
    </row>
    <row r="144" spans="1:10" ht="21.75" customHeight="1">
      <c r="A144" s="658"/>
      <c r="B144" s="1474"/>
      <c r="C144" s="658"/>
      <c r="D144" s="658"/>
      <c r="E144" s="658"/>
      <c r="F144" s="658"/>
      <c r="G144" s="658"/>
      <c r="H144" s="658"/>
      <c r="I144" s="658"/>
      <c r="J144" s="2839"/>
    </row>
    <row r="145" spans="1:36" ht="21.75" customHeight="1">
      <c r="A145" s="658"/>
      <c r="B145" s="1472"/>
      <c r="C145" s="1472"/>
      <c r="D145" s="1472"/>
      <c r="E145" s="1472"/>
      <c r="F145" s="1472"/>
      <c r="G145" s="1472"/>
      <c r="H145" s="1472"/>
      <c r="I145" s="1473" t="s">
        <v>1822</v>
      </c>
      <c r="J145" s="2840"/>
    </row>
    <row r="146" spans="1:36" ht="21.75" customHeight="1">
      <c r="A146" s="658"/>
      <c r="B146" s="1474"/>
      <c r="C146" s="1475"/>
      <c r="D146" s="1476"/>
      <c r="E146" s="1476"/>
      <c r="F146" s="1477"/>
      <c r="G146" s="658"/>
      <c r="H146" s="658"/>
      <c r="I146" s="658"/>
      <c r="J146" s="2839"/>
    </row>
    <row r="147" spans="1:36" s="32" customFormat="1" ht="21.75" customHeight="1">
      <c r="A147" s="658"/>
      <c r="B147" s="1474"/>
      <c r="C147" s="1475"/>
      <c r="D147" s="1476"/>
      <c r="E147" s="1476"/>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9"/>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9"/>
    </row>
    <row r="151" spans="1:36" s="658" customFormat="1" ht="21.75" customHeight="1">
      <c r="J151" s="2839"/>
    </row>
    <row r="152" spans="1:36" s="658" customFormat="1" ht="21.75" customHeight="1">
      <c r="J152" s="2839"/>
    </row>
    <row r="153" spans="1:36" s="658" customFormat="1" ht="21.75" customHeight="1">
      <c r="J153" s="2839"/>
    </row>
    <row r="154" spans="1:36" s="658" customFormat="1" ht="21.75" customHeight="1">
      <c r="J154" s="2839"/>
    </row>
    <row r="155" spans="1:36" s="658" customFormat="1" ht="21.75" customHeight="1">
      <c r="J155" s="2839"/>
    </row>
    <row r="156" spans="1:36" s="658" customFormat="1" ht="21.75" customHeight="1">
      <c r="J156" s="2839"/>
    </row>
    <row r="157" spans="1:36" s="658" customFormat="1" ht="21.75" customHeight="1">
      <c r="J157" s="2839"/>
    </row>
    <row r="158" spans="1:36" s="658" customFormat="1" ht="21.75" customHeight="1">
      <c r="J158" s="2839"/>
    </row>
    <row r="159" spans="1:36" s="658" customFormat="1" ht="21.75" customHeight="1">
      <c r="J159" s="2839"/>
    </row>
    <row r="160" spans="1:36"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10" s="658" customFormat="1" ht="21.75" customHeight="1">
      <c r="J369" s="2839"/>
    </row>
    <row r="370" spans="10:10" s="658" customFormat="1" ht="21.75" customHeight="1">
      <c r="J370" s="2839"/>
    </row>
    <row r="371" spans="10:10" s="658" customFormat="1" ht="21.75" customHeight="1">
      <c r="J371" s="2839"/>
    </row>
    <row r="372" spans="10:10" s="658" customFormat="1" ht="21.75" customHeight="1">
      <c r="J372" s="2839"/>
    </row>
    <row r="373" spans="10:10" s="658" customFormat="1" ht="21.75" customHeight="1">
      <c r="J373" s="2839"/>
    </row>
    <row r="374" spans="10:10" s="658" customFormat="1" ht="21.75" customHeight="1">
      <c r="J374" s="2839"/>
    </row>
    <row r="375" spans="10:10" s="658" customFormat="1" ht="21.75" customHeight="1">
      <c r="J375" s="2839"/>
    </row>
    <row r="376" spans="10:10" s="658" customFormat="1" ht="21.75" customHeight="1">
      <c r="J376" s="2839"/>
    </row>
    <row r="377" spans="10:10" s="658" customFormat="1" ht="21.75" customHeight="1">
      <c r="J377" s="2839"/>
    </row>
    <row r="378" spans="10:10" s="658" customFormat="1" ht="21.75" customHeight="1">
      <c r="J378" s="2839"/>
    </row>
    <row r="379" spans="10:10" s="658" customFormat="1" ht="21.75" customHeight="1">
      <c r="J379" s="2839"/>
    </row>
    <row r="380" spans="10:10" s="658" customFormat="1" ht="21.75" customHeight="1">
      <c r="J380" s="2839"/>
    </row>
    <row r="381" spans="10:10" s="658" customFormat="1" ht="21.75" customHeight="1">
      <c r="J381" s="2839"/>
    </row>
    <row r="382" spans="10:10" s="658" customFormat="1" ht="21.75" customHeight="1">
      <c r="J382" s="2839"/>
    </row>
    <row r="383" spans="10:10" s="658" customFormat="1" ht="21.75" customHeight="1">
      <c r="J383" s="2839"/>
    </row>
    <row r="384" spans="10:10" s="658" customFormat="1" ht="21.75" customHeight="1">
      <c r="J384" s="2839"/>
    </row>
    <row r="385" spans="10:10" s="658" customFormat="1" ht="21.75" customHeight="1">
      <c r="J385" s="2839"/>
    </row>
    <row r="386" spans="10:10" s="658" customFormat="1" ht="21.75" customHeight="1">
      <c r="J386" s="2839"/>
    </row>
    <row r="387" spans="10:10" s="658" customFormat="1" ht="21.75" customHeight="1">
      <c r="J387" s="2839"/>
    </row>
    <row r="388" spans="10:10" s="658" customFormat="1" ht="21.75" customHeight="1">
      <c r="J388" s="2839"/>
    </row>
    <row r="389" spans="10:10" s="658" customFormat="1" ht="21.75" customHeight="1">
      <c r="J389" s="2839"/>
    </row>
    <row r="390" spans="10:10" s="658" customFormat="1" ht="21.75" customHeight="1">
      <c r="J390" s="2839"/>
    </row>
    <row r="391" spans="10:10" s="658" customFormat="1" ht="21.75" customHeight="1">
      <c r="J391" s="2839"/>
    </row>
    <row r="392" spans="10:10" s="658" customFormat="1" ht="21.75" customHeight="1">
      <c r="J392" s="2839"/>
    </row>
    <row r="393" spans="10:10" s="658" customFormat="1" ht="21.75" customHeight="1">
      <c r="J393" s="2839"/>
    </row>
    <row r="394" spans="10:10" s="658" customFormat="1" ht="21.75" customHeight="1">
      <c r="J394" s="2839"/>
    </row>
    <row r="395" spans="10:10" s="658" customFormat="1" ht="21.75" customHeight="1">
      <c r="J395" s="2839"/>
    </row>
    <row r="396" spans="10:10" s="658" customFormat="1" ht="21.75" customHeight="1">
      <c r="J396" s="2839"/>
    </row>
    <row r="397" spans="10:10" s="658" customFormat="1" ht="21.75" customHeight="1">
      <c r="J397" s="2839"/>
    </row>
    <row r="398" spans="10:10" s="658" customFormat="1" ht="21.75" customHeight="1">
      <c r="J398" s="2839"/>
    </row>
    <row r="399" spans="10:10" s="658" customFormat="1" ht="21.75" customHeight="1">
      <c r="J399" s="2839"/>
    </row>
    <row r="400" spans="10:10" s="658" customFormat="1" ht="21.75" customHeight="1">
      <c r="J400" s="2839"/>
    </row>
    <row r="401" spans="10:27" s="658" customFormat="1" ht="21.75" customHeight="1">
      <c r="J401" s="2839"/>
    </row>
    <row r="402" spans="10:27" s="658" customFormat="1" ht="21.75" customHeight="1">
      <c r="J402" s="2839"/>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29"/>
      <c r="G516" s="1429"/>
      <c r="H516" s="1429"/>
      <c r="I516" s="1429"/>
      <c r="J516" s="2809"/>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34</v>
      </c>
      <c r="C2" s="79" t="str">
        <f>'数据-取费表'!B3</f>
        <v>万元</v>
      </c>
      <c r="D2" s="1483" t="s">
        <v>1183</v>
      </c>
      <c r="E2" s="1149" t="e">
        <f ca="1">SUMIF(INDIRECT("'"&amp;G2&amp;"'"&amp;"!A:A"),"承租人权益价值",INDIRECT("'"&amp;G2&amp;"'"&amp;"!c:c"))</f>
        <v>#REF!</v>
      </c>
      <c r="F2" s="1484"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4857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0">
        <f>IF(G8="已包含在土地购买价格中","0",'数据-取费表'!E13)</f>
        <v>0</v>
      </c>
      <c r="D8" s="1139"/>
      <c r="E8" s="115"/>
      <c r="F8" s="1138"/>
      <c r="G8" s="1485" t="s">
        <v>2994</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14148</v>
      </c>
      <c r="D10" s="1141">
        <f>IF('数据-取费表'!B10&lt;&gt;"住宅",IF(B1="仅计算典型户型",'数据-取费表'!E5,'数据-取费表'!B5),0)</f>
        <v>70.739999999999995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70.739999999999995</v>
      </c>
      <c r="E19" s="111">
        <f>'数据-取费表'!E15</f>
        <v>200</v>
      </c>
      <c r="F19" s="112"/>
      <c r="G19" s="1485" t="s">
        <v>2995</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277832</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247590</v>
      </c>
      <c r="D34" s="1136"/>
      <c r="E34" s="115"/>
      <c r="F34" s="1147" t="str">
        <f>IF('数据-取费表'!B26=0,"",'数据-取费表'!E20)</f>
        <v/>
      </c>
      <c r="G34" s="95"/>
    </row>
    <row r="35" spans="1:123" ht="13.5" customHeight="1">
      <c r="A35" s="92" t="s">
        <v>1867</v>
      </c>
      <c r="B35" s="93" t="s">
        <v>1916</v>
      </c>
      <c r="C35" s="115">
        <f>ROUND(C34*F35,0)</f>
        <v>12380</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14148</v>
      </c>
      <c r="D37" s="1136">
        <f>IF(B1="仅计算典型户型",'数据-取费表'!E5,'数据-取费表'!B5)</f>
        <v>70.739999999999995</v>
      </c>
      <c r="E37" s="115">
        <f>'数据-取费表'!E23</f>
        <v>200</v>
      </c>
      <c r="F37" s="1148"/>
      <c r="G37" s="124" t="s">
        <v>1921</v>
      </c>
    </row>
    <row r="38" spans="1:123" ht="13.5" customHeight="1">
      <c r="A38" s="92" t="s">
        <v>1922</v>
      </c>
      <c r="B38" s="93" t="s">
        <v>1923</v>
      </c>
      <c r="C38" s="115">
        <f>ROUND(C34*F38,0)</f>
        <v>3714</v>
      </c>
      <c r="D38" s="115"/>
      <c r="E38" s="115"/>
      <c r="F38" s="1148">
        <f>'数据-取费表'!E24</f>
        <v>1.4999999999999999E-2</v>
      </c>
      <c r="G38" s="95" t="s">
        <v>1917</v>
      </c>
    </row>
    <row r="39" spans="1:123" s="91" customFormat="1" ht="13.5" customHeight="1">
      <c r="A39" s="120" t="s">
        <v>1882</v>
      </c>
      <c r="B39" s="89" t="s">
        <v>1885</v>
      </c>
      <c r="C39" s="99">
        <f>ROUND(C33*F20,0)</f>
        <v>8335</v>
      </c>
      <c r="D39" s="99"/>
      <c r="E39" s="99"/>
      <c r="F39" s="2854">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4">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12019</v>
      </c>
      <c r="D41" s="101">
        <f ca="1">C44</f>
        <v>1.2999999999999999E-3</v>
      </c>
      <c r="E41" s="102" t="s">
        <v>1925</v>
      </c>
      <c r="F41" s="285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11669</v>
      </c>
      <c r="D42" s="104"/>
      <c r="E42" s="104"/>
      <c r="F42" s="105"/>
      <c r="G42" s="3573" t="s">
        <v>1927</v>
      </c>
    </row>
    <row r="43" spans="1:123" ht="13.5" customHeight="1">
      <c r="A43" s="92" t="s">
        <v>1867</v>
      </c>
      <c r="B43" s="93" t="s">
        <v>1896</v>
      </c>
      <c r="C43" s="104">
        <f ca="1">ROUND(IF('数据-取费表'!B24&lt;=1,C39*F22*'数据-取费表'!B23/2,C39*(POWER((1+F22),'数据-取费表'!B23/2)-1)),0)</f>
        <v>350</v>
      </c>
      <c r="D43" s="104"/>
      <c r="E43" s="104"/>
      <c r="F43" s="105"/>
      <c r="G43" s="3574"/>
    </row>
    <row r="44" spans="1:123" ht="13.5" customHeight="1">
      <c r="A44" s="92" t="s">
        <v>1869</v>
      </c>
      <c r="B44" s="93" t="s">
        <v>1898</v>
      </c>
      <c r="C44" s="104">
        <f ca="1">ROUND(IF('数据-取费表'!B24&lt;=1,C40*F22*'数据-取费表'!B23/2,C40*(POWER((1+F22),'数据-取费表'!B23/2)-1)),4)</f>
        <v>1.2999999999999999E-3</v>
      </c>
      <c r="D44" s="104"/>
      <c r="E44" s="104"/>
      <c r="F44" s="105"/>
      <c r="G44" s="3575"/>
    </row>
    <row r="45" spans="1:123" s="91" customFormat="1" ht="13.5" customHeight="1">
      <c r="A45" s="120" t="s">
        <v>1891</v>
      </c>
      <c r="B45" s="110" t="s">
        <v>1903</v>
      </c>
      <c r="C45" s="111">
        <f>C46</f>
        <v>57233</v>
      </c>
      <c r="D45" s="101">
        <f>C47</f>
        <v>6.0000000000000001E-3</v>
      </c>
      <c r="E45" s="102" t="s">
        <v>1925</v>
      </c>
      <c r="F45" s="2855">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57233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4">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390442</v>
      </c>
      <c r="D49" s="99"/>
      <c r="E49" s="99"/>
      <c r="F49" s="126"/>
      <c r="G49" s="100" t="s">
        <v>1935</v>
      </c>
    </row>
    <row r="50" spans="1:123" s="122" customFormat="1" ht="24">
      <c r="A50" s="992" t="s">
        <v>1936</v>
      </c>
      <c r="B50" s="89" t="s">
        <v>1937</v>
      </c>
      <c r="C50" s="99"/>
      <c r="D50" s="99"/>
      <c r="E50" s="99"/>
      <c r="F50" s="126">
        <f>IF('数据-取费表'!B26=0,'数据-取费表'!E20,1)</f>
        <v>0.88</v>
      </c>
      <c r="G50" s="113" t="s">
        <v>1938</v>
      </c>
    </row>
    <row r="51" spans="1:123" ht="16.5" customHeight="1">
      <c r="A51" s="992" t="s">
        <v>1939</v>
      </c>
      <c r="B51" s="89" t="s">
        <v>1940</v>
      </c>
      <c r="C51" s="99">
        <f ca="1">ROUND(C49*F50,0)</f>
        <v>343589</v>
      </c>
      <c r="D51" s="99"/>
      <c r="E51" s="99"/>
      <c r="F51" s="126"/>
      <c r="G51" s="100" t="s">
        <v>1941</v>
      </c>
    </row>
    <row r="52" spans="1:123" s="88" customFormat="1" ht="16.5" thickBot="1">
      <c r="A52" s="127" t="s">
        <v>1942</v>
      </c>
      <c r="B52" s="128"/>
      <c r="C52" s="129">
        <f ca="1">C31+C51</f>
        <v>343589</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161</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22782</v>
      </c>
      <c r="C3" s="1369" t="s">
        <v>1232</v>
      </c>
      <c r="D3" s="922"/>
      <c r="E3" s="922"/>
      <c r="F3" s="922"/>
      <c r="G3" s="922"/>
      <c r="H3" s="922"/>
      <c r="I3" s="922"/>
      <c r="J3" s="922"/>
      <c r="K3" s="922"/>
    </row>
    <row r="4" spans="1:33" s="143" customFormat="1" ht="16.5" customHeight="1">
      <c r="A4" s="140" t="s">
        <v>1233</v>
      </c>
      <c r="B4" s="141"/>
      <c r="C4" s="1092">
        <f>SUM(C8:K8)</f>
        <v>2475900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70.739999999999995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2475900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247590</v>
      </c>
      <c r="D11" s="164"/>
      <c r="E11" s="34"/>
      <c r="F11" s="165">
        <f>1-'数据-取费表'!E20</f>
        <v>0.12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12380</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1698</v>
      </c>
      <c r="D14" s="164">
        <f>IF(C1="仅计算典型户型",'数据-取费表'!E5,'数据-取费表'!B5)</f>
        <v>70.739999999999995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3714</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265382</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70.739999999999995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14148</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14148</v>
      </c>
      <c r="D20" s="164">
        <f>IF('数据-取费表'!B10&lt;&gt;"住宅",IF(C1="仅计算典型户型",'数据-取费表'!E5,'数据-取费表'!B5),0)</f>
        <v>70.739999999999995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279530</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8386</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8913</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59366</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59366</v>
      </c>
      <c r="D30" s="193"/>
      <c r="E30" s="206"/>
      <c r="F30" s="203"/>
      <c r="G30" s="147"/>
      <c r="H30" s="170"/>
      <c r="I30" s="170"/>
      <c r="J30" s="170"/>
      <c r="K30" s="171"/>
    </row>
    <row r="31" spans="1:33" s="182" customFormat="1" ht="13.5" customHeight="1" thickBot="1">
      <c r="A31" s="1371" t="s">
        <v>1289</v>
      </c>
      <c r="B31" s="177" t="s">
        <v>1290</v>
      </c>
      <c r="C31" s="207">
        <f>ROUND(C4*F31/(1+'数据-取费表'!F30),0)</f>
        <v>129690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1611609</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2976</v>
      </c>
      <c r="B1" s="3131"/>
      <c r="C1" s="3137"/>
      <c r="D1" s="3137"/>
      <c r="E1" s="3132"/>
      <c r="F1" s="3133"/>
      <c r="G1" s="3226"/>
      <c r="J1" s="3229" t="s">
        <v>2832</v>
      </c>
      <c r="K1" s="3230"/>
      <c r="L1" s="3230"/>
      <c r="M1" s="3230"/>
      <c r="N1" s="3230"/>
      <c r="O1" s="3230"/>
      <c r="P1" s="3230"/>
      <c r="Q1" s="3230"/>
      <c r="R1" s="3231"/>
      <c r="S1" s="3232"/>
      <c r="T1" s="3232"/>
      <c r="U1" s="3232"/>
    </row>
    <row r="2" spans="1:23" s="3140" customFormat="1" ht="13.15" customHeight="1">
      <c r="A2" s="3135" t="s">
        <v>2833</v>
      </c>
      <c r="B2" s="3136" t="e">
        <f>C40</f>
        <v>#DIV/0!</v>
      </c>
      <c r="C2" s="3137" t="s">
        <v>2834</v>
      </c>
      <c r="D2" s="3137"/>
      <c r="E2" s="3138"/>
      <c r="F2" s="3139"/>
      <c r="G2" s="3233"/>
      <c r="H2" s="3234"/>
      <c r="I2" s="3235"/>
      <c r="J2" s="3576" t="s">
        <v>2835</v>
      </c>
      <c r="K2" s="3577"/>
      <c r="L2" s="3236" t="s">
        <v>2836</v>
      </c>
      <c r="M2" s="3236" t="s">
        <v>2837</v>
      </c>
      <c r="N2" s="3236" t="s">
        <v>2838</v>
      </c>
      <c r="O2" s="3236" t="s">
        <v>2839</v>
      </c>
      <c r="P2" s="3236" t="s">
        <v>2840</v>
      </c>
      <c r="Q2" s="3237" t="s">
        <v>2841</v>
      </c>
      <c r="R2" s="3238" t="s">
        <v>2842</v>
      </c>
      <c r="S2" s="3232"/>
      <c r="T2" s="3232"/>
      <c r="U2" s="3232"/>
      <c r="V2" s="3235"/>
      <c r="W2" s="3234"/>
    </row>
    <row r="3" spans="1:23" s="3140" customFormat="1" ht="13.15" customHeight="1">
      <c r="A3" s="3142" t="s">
        <v>2843</v>
      </c>
      <c r="B3" s="3143" t="e">
        <f>ROUND(B2*10000/B4,0)</f>
        <v>#DIV/0!</v>
      </c>
      <c r="C3" s="3137" t="s">
        <v>2844</v>
      </c>
      <c r="D3" s="3137"/>
      <c r="E3" s="3138"/>
      <c r="F3" s="3139"/>
      <c r="G3" s="3233"/>
      <c r="H3" s="3234"/>
      <c r="I3" s="3235"/>
      <c r="J3" s="3578" t="s">
        <v>2845</v>
      </c>
      <c r="K3" s="3579"/>
      <c r="L3" s="3239"/>
      <c r="M3" s="3239"/>
      <c r="N3" s="3239"/>
      <c r="O3" s="3239"/>
      <c r="P3" s="3239"/>
      <c r="Q3" s="3240"/>
      <c r="R3" s="3241">
        <f>SUM(L3:Q3)</f>
        <v>0</v>
      </c>
      <c r="S3" s="3232"/>
      <c r="T3" s="3232"/>
      <c r="U3" s="3232"/>
      <c r="V3" s="3235"/>
      <c r="W3" s="3234"/>
    </row>
    <row r="4" spans="1:23" s="3140" customFormat="1" ht="13.15" customHeight="1">
      <c r="A4" s="3144" t="s">
        <v>2846</v>
      </c>
      <c r="B4" s="3201"/>
      <c r="C4" s="3137"/>
      <c r="D4" s="3137"/>
      <c r="E4" s="3138"/>
      <c r="F4" s="3139"/>
      <c r="G4" s="3233"/>
      <c r="H4" s="3234"/>
      <c r="I4" s="3235"/>
      <c r="J4" s="3578" t="s">
        <v>2847</v>
      </c>
      <c r="K4" s="3579"/>
      <c r="L4" s="3242"/>
      <c r="M4" s="3242"/>
      <c r="N4" s="3242"/>
      <c r="O4" s="3242"/>
      <c r="P4" s="3242"/>
      <c r="Q4" s="3243"/>
      <c r="R4" s="3244">
        <f>SUM(L4:Q4)</f>
        <v>0</v>
      </c>
      <c r="S4" s="3232"/>
      <c r="T4" s="3232"/>
      <c r="U4" s="3232"/>
      <c r="V4" s="3235"/>
      <c r="W4" s="3234"/>
    </row>
    <row r="5" spans="1:23" s="3140" customFormat="1" ht="13.15" customHeight="1" thickBot="1">
      <c r="A5" s="3145" t="s">
        <v>2848</v>
      </c>
      <c r="B5" s="3202"/>
      <c r="C5" s="3137"/>
      <c r="D5" s="3146"/>
      <c r="E5" s="3139"/>
      <c r="F5" s="3139"/>
      <c r="G5" s="3233"/>
      <c r="H5" s="3234"/>
      <c r="I5" s="3235"/>
      <c r="J5" s="3245" t="s">
        <v>2849</v>
      </c>
      <c r="K5" s="3246"/>
      <c r="L5" s="3246"/>
      <c r="M5" s="3247"/>
      <c r="N5" s="3247"/>
      <c r="O5" s="3247"/>
      <c r="P5" s="3247"/>
      <c r="Q5" s="3247"/>
      <c r="R5" s="3238">
        <f>SUM(R14,R19,R24,R25,R27,R28)</f>
        <v>0</v>
      </c>
      <c r="S5" s="3232"/>
      <c r="T5" s="3232" t="s">
        <v>2850</v>
      </c>
      <c r="U5" s="3232" t="e">
        <f>ROUND(R5*10000/365/R3,1)</f>
        <v>#DIV/0!</v>
      </c>
      <c r="V5" s="3235"/>
      <c r="W5" s="3234"/>
    </row>
    <row r="6" spans="1:23" s="3140" customFormat="1" ht="13.15" customHeight="1" thickBot="1">
      <c r="A6" s="3580" t="s">
        <v>2851</v>
      </c>
      <c r="B6" s="3581"/>
      <c r="C6" s="3582"/>
      <c r="D6" s="3203"/>
      <c r="E6" s="3147"/>
      <c r="F6" s="3148"/>
      <c r="G6" s="3248"/>
      <c r="H6" s="3234"/>
      <c r="I6" s="3235"/>
      <c r="J6" s="3583">
        <v>1</v>
      </c>
      <c r="K6" s="3584" t="s">
        <v>2852</v>
      </c>
      <c r="L6" s="3249" t="s">
        <v>2853</v>
      </c>
      <c r="M6" s="3250" t="s">
        <v>2854</v>
      </c>
      <c r="N6" s="3250" t="s">
        <v>2855</v>
      </c>
      <c r="O6" s="3250" t="s">
        <v>2856</v>
      </c>
      <c r="P6" s="3250" t="s">
        <v>2857</v>
      </c>
      <c r="Q6" s="3250" t="s">
        <v>2858</v>
      </c>
      <c r="R6" s="3241" t="s">
        <v>2859</v>
      </c>
      <c r="S6" s="3232"/>
      <c r="T6" s="3232" t="s">
        <v>2860</v>
      </c>
      <c r="U6" s="3232"/>
      <c r="V6" s="3235"/>
      <c r="W6" s="3234"/>
    </row>
    <row r="7" spans="1:23" s="3140" customFormat="1" ht="13.15" customHeight="1">
      <c r="A7" s="3150" t="s">
        <v>2861</v>
      </c>
      <c r="B7" s="3151"/>
      <c r="C7" s="3152"/>
      <c r="D7" s="3153">
        <f>SUM(D9,D10,D11,D17,0)</f>
        <v>0</v>
      </c>
      <c r="E7" s="3154" t="e">
        <f>E9+E10+E11+E17</f>
        <v>#DIV/0!</v>
      </c>
      <c r="F7" s="3155"/>
      <c r="G7" s="3251"/>
      <c r="H7" s="3234"/>
      <c r="I7" s="3235"/>
      <c r="J7" s="3583"/>
      <c r="K7" s="3585"/>
      <c r="L7" s="3252" t="s">
        <v>2961</v>
      </c>
      <c r="M7" s="3253"/>
      <c r="N7" s="3253"/>
      <c r="O7" s="3254"/>
      <c r="P7" s="3254"/>
      <c r="Q7" s="3255">
        <v>365</v>
      </c>
      <c r="R7" s="3256">
        <f>ROUND(M7*N7*O7*P7*Q7/10000,0)</f>
        <v>0</v>
      </c>
      <c r="S7" s="3232"/>
      <c r="T7" s="3232" t="s">
        <v>2862</v>
      </c>
      <c r="U7" s="3232"/>
      <c r="V7" s="3235"/>
      <c r="W7" s="3234"/>
    </row>
    <row r="8" spans="1:23" s="3140" customFormat="1" ht="13.15" customHeight="1">
      <c r="A8" s="3156" t="s">
        <v>2863</v>
      </c>
      <c r="B8" s="3587" t="s">
        <v>2864</v>
      </c>
      <c r="C8" s="3588"/>
      <c r="D8" s="3157" t="s">
        <v>2865</v>
      </c>
      <c r="E8" s="3158" t="s">
        <v>2866</v>
      </c>
      <c r="F8" s="3141" t="s">
        <v>2867</v>
      </c>
      <c r="G8" s="3311" t="s">
        <v>2975</v>
      </c>
      <c r="H8" s="3234"/>
      <c r="I8" s="3235"/>
      <c r="J8" s="3583"/>
      <c r="K8" s="3585"/>
      <c r="L8" s="3252" t="s">
        <v>2962</v>
      </c>
      <c r="M8" s="3253"/>
      <c r="N8" s="3253"/>
      <c r="O8" s="3254"/>
      <c r="P8" s="3254"/>
      <c r="Q8" s="3255">
        <v>365</v>
      </c>
      <c r="R8" s="3256">
        <f t="shared" ref="R8:R13" si="0">ROUND(M8*N8*O8*P8*Q8/10000,0)</f>
        <v>0</v>
      </c>
      <c r="S8" s="3232"/>
      <c r="T8" s="3232" t="s">
        <v>2868</v>
      </c>
      <c r="U8" s="3232"/>
      <c r="V8" s="3235"/>
      <c r="W8" s="3234"/>
    </row>
    <row r="9" spans="1:23" s="3140" customFormat="1" ht="13.15" customHeight="1">
      <c r="A9" s="3156">
        <v>1</v>
      </c>
      <c r="B9" s="3587" t="s">
        <v>2869</v>
      </c>
      <c r="C9" s="3588"/>
      <c r="D9" s="3157">
        <f>ROUND(D6*E9,0)</f>
        <v>0</v>
      </c>
      <c r="E9" s="3204"/>
      <c r="F9" s="3159" t="s">
        <v>2870</v>
      </c>
      <c r="G9" s="3257" t="s">
        <v>2973</v>
      </c>
      <c r="H9" s="3234"/>
      <c r="I9" s="3235"/>
      <c r="J9" s="3583"/>
      <c r="K9" s="3585"/>
      <c r="L9" s="3252" t="s">
        <v>2963</v>
      </c>
      <c r="M9" s="3253"/>
      <c r="N9" s="3253"/>
      <c r="O9" s="3254"/>
      <c r="P9" s="3254"/>
      <c r="Q9" s="3255">
        <v>365</v>
      </c>
      <c r="R9" s="3256">
        <f t="shared" si="0"/>
        <v>0</v>
      </c>
      <c r="S9" s="3232"/>
      <c r="T9" s="3232"/>
      <c r="U9" s="3232"/>
      <c r="V9" s="3235"/>
      <c r="W9" s="3234"/>
    </row>
    <row r="10" spans="1:23" s="3140" customFormat="1" ht="13.15" customHeight="1">
      <c r="A10" s="3156">
        <v>2</v>
      </c>
      <c r="B10" s="3587" t="s">
        <v>2871</v>
      </c>
      <c r="C10" s="3588"/>
      <c r="D10" s="3157">
        <f>ROUND(D6*E10,0)</f>
        <v>0</v>
      </c>
      <c r="E10" s="3204"/>
      <c r="F10" s="3159" t="s">
        <v>2872</v>
      </c>
      <c r="G10" s="3257" t="s">
        <v>2974</v>
      </c>
      <c r="H10" s="3234"/>
      <c r="I10" s="3235"/>
      <c r="J10" s="3583"/>
      <c r="K10" s="3585"/>
      <c r="L10" s="3252" t="s">
        <v>2964</v>
      </c>
      <c r="M10" s="3253"/>
      <c r="N10" s="3253"/>
      <c r="O10" s="3254"/>
      <c r="P10" s="3254"/>
      <c r="Q10" s="3255">
        <v>365</v>
      </c>
      <c r="R10" s="3256">
        <f t="shared" si="0"/>
        <v>0</v>
      </c>
      <c r="S10" s="3232"/>
      <c r="T10" s="3232"/>
      <c r="U10" s="3232"/>
      <c r="V10" s="3235"/>
      <c r="W10" s="3234"/>
    </row>
    <row r="11" spans="1:23" s="3140" customFormat="1" ht="13.15" customHeight="1">
      <c r="A11" s="3156">
        <v>3</v>
      </c>
      <c r="B11" s="3587" t="s">
        <v>2873</v>
      </c>
      <c r="C11" s="3588"/>
      <c r="D11" s="3157">
        <f>D12+D14+D15+D16</f>
        <v>0</v>
      </c>
      <c r="E11" s="3160" t="e">
        <f>D11/D6</f>
        <v>#DIV/0!</v>
      </c>
      <c r="F11" s="3141"/>
      <c r="G11" s="3257"/>
      <c r="H11" s="3234"/>
      <c r="I11" s="3235"/>
      <c r="J11" s="3583"/>
      <c r="K11" s="3585"/>
      <c r="L11" s="3252" t="s">
        <v>2965</v>
      </c>
      <c r="M11" s="3253"/>
      <c r="N11" s="3253"/>
      <c r="O11" s="3254"/>
      <c r="P11" s="3254"/>
      <c r="Q11" s="3255">
        <v>365</v>
      </c>
      <c r="R11" s="3256">
        <f t="shared" si="0"/>
        <v>0</v>
      </c>
      <c r="S11" s="3232"/>
      <c r="T11" s="3232"/>
      <c r="U11" s="3232"/>
      <c r="V11" s="3235"/>
      <c r="W11" s="3234"/>
    </row>
    <row r="12" spans="1:23" s="3140" customFormat="1" ht="13.15" customHeight="1">
      <c r="A12" s="3161" t="s">
        <v>2874</v>
      </c>
      <c r="B12" s="3589" t="s">
        <v>2875</v>
      </c>
      <c r="C12" s="3590"/>
      <c r="D12" s="3162">
        <f>ROUND(D13*1.2%*(1-30%),0)</f>
        <v>0</v>
      </c>
      <c r="E12" s="3163">
        <v>1.2E-2</v>
      </c>
      <c r="F12" s="3141" t="s">
        <v>2876</v>
      </c>
      <c r="G12" s="3257"/>
      <c r="H12" s="3234"/>
      <c r="I12" s="3235"/>
      <c r="J12" s="3583"/>
      <c r="K12" s="3585"/>
      <c r="L12" s="3252" t="s">
        <v>2966</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2877</v>
      </c>
      <c r="D13" s="3205"/>
      <c r="E13" s="3166"/>
      <c r="F13" s="3141"/>
      <c r="G13" s="3257"/>
      <c r="H13" s="3234"/>
      <c r="I13" s="3235"/>
      <c r="J13" s="3583"/>
      <c r="K13" s="3585"/>
      <c r="L13" s="3252" t="s">
        <v>2967</v>
      </c>
      <c r="M13" s="3253"/>
      <c r="N13" s="3253"/>
      <c r="O13" s="3254"/>
      <c r="P13" s="3254"/>
      <c r="Q13" s="3255">
        <v>365</v>
      </c>
      <c r="R13" s="3256">
        <f t="shared" si="0"/>
        <v>0</v>
      </c>
      <c r="S13" s="3232"/>
      <c r="T13" s="3232"/>
      <c r="U13" s="3232"/>
      <c r="V13" s="3235"/>
      <c r="W13" s="3234"/>
    </row>
    <row r="14" spans="1:23" s="3140" customFormat="1" ht="13.15" customHeight="1">
      <c r="A14" s="3161" t="s">
        <v>2878</v>
      </c>
      <c r="B14" s="3589" t="s">
        <v>2879</v>
      </c>
      <c r="C14" s="3590"/>
      <c r="D14" s="3162">
        <f>ROUND(E14*B5/10000,0)</f>
        <v>0</v>
      </c>
      <c r="E14" s="3206"/>
      <c r="F14" s="3141" t="s">
        <v>2880</v>
      </c>
      <c r="G14" s="3257"/>
      <c r="H14" s="3234"/>
      <c r="I14" s="3235"/>
      <c r="J14" s="3583"/>
      <c r="K14" s="3586"/>
      <c r="L14" s="3258" t="s">
        <v>2881</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2882</v>
      </c>
      <c r="B15" s="3589" t="s">
        <v>2883</v>
      </c>
      <c r="C15" s="3590"/>
      <c r="D15" s="3162">
        <f>ROUND(D6*E15,0)</f>
        <v>0</v>
      </c>
      <c r="E15" s="3163">
        <v>5.5E-2</v>
      </c>
      <c r="F15" s="3141" t="s">
        <v>2884</v>
      </c>
      <c r="G15" s="3257"/>
      <c r="H15" s="3234"/>
      <c r="I15" s="3235"/>
      <c r="J15" s="3583">
        <v>2</v>
      </c>
      <c r="K15" s="3584" t="s">
        <v>2885</v>
      </c>
      <c r="L15" s="3262" t="s">
        <v>2886</v>
      </c>
      <c r="M15" s="3263" t="s">
        <v>2887</v>
      </c>
      <c r="N15" s="3263" t="s">
        <v>2888</v>
      </c>
      <c r="O15" s="3264" t="s">
        <v>2889</v>
      </c>
      <c r="P15" s="3264" t="s">
        <v>2890</v>
      </c>
      <c r="Q15" s="3201" t="s">
        <v>2891</v>
      </c>
      <c r="R15" s="3265" t="s">
        <v>2892</v>
      </c>
      <c r="S15" s="3232"/>
      <c r="T15" s="3232"/>
      <c r="U15" s="3232"/>
      <c r="V15" s="3235"/>
      <c r="W15" s="3234"/>
    </row>
    <row r="16" spans="1:23" s="3140" customFormat="1" ht="13.15" customHeight="1">
      <c r="A16" s="3161" t="s">
        <v>2893</v>
      </c>
      <c r="B16" s="3589" t="s">
        <v>2894</v>
      </c>
      <c r="C16" s="3590"/>
      <c r="D16" s="3207">
        <f>D6*E16</f>
        <v>0</v>
      </c>
      <c r="E16" s="3208"/>
      <c r="F16" s="3159" t="s">
        <v>2895</v>
      </c>
      <c r="G16" s="3257"/>
      <c r="H16" s="3234"/>
      <c r="I16" s="3235"/>
      <c r="J16" s="3583"/>
      <c r="K16" s="3585"/>
      <c r="L16" s="3252" t="s">
        <v>2968</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91" t="s">
        <v>2896</v>
      </c>
      <c r="C17" s="3592"/>
      <c r="D17" s="3168">
        <f>ROUND(D6*E17,0)</f>
        <v>0</v>
      </c>
      <c r="E17" s="3209"/>
      <c r="F17" s="3169" t="s">
        <v>2897</v>
      </c>
      <c r="G17" s="3310">
        <v>0.1</v>
      </c>
      <c r="H17" s="3234"/>
      <c r="I17" s="3235"/>
      <c r="J17" s="3583"/>
      <c r="K17" s="3585"/>
      <c r="L17" s="3252" t="s">
        <v>2969</v>
      </c>
      <c r="M17" s="3253"/>
      <c r="N17" s="3253"/>
      <c r="O17" s="3254"/>
      <c r="P17" s="3255">
        <v>365</v>
      </c>
      <c r="Q17" s="3253"/>
      <c r="R17" s="3266">
        <f>ROUND(M17*N17*O17*P17/10000,0)</f>
        <v>0</v>
      </c>
      <c r="S17" s="3232"/>
      <c r="T17" s="3232"/>
      <c r="U17" s="3232"/>
      <c r="V17" s="3235"/>
      <c r="W17" s="3234"/>
    </row>
    <row r="18" spans="1:23" s="3140" customFormat="1" ht="13.15" customHeight="1" thickBot="1">
      <c r="A18" s="3150" t="s">
        <v>2898</v>
      </c>
      <c r="B18" s="3151"/>
      <c r="C18" s="3151"/>
      <c r="D18" s="3170">
        <f>ROUND(D6*E18,0)</f>
        <v>0</v>
      </c>
      <c r="E18" s="3210"/>
      <c r="F18" s="3171" t="s">
        <v>2899</v>
      </c>
      <c r="G18" s="3310">
        <v>0.05</v>
      </c>
      <c r="H18" s="3234"/>
      <c r="I18" s="3235"/>
      <c r="J18" s="3583"/>
      <c r="K18" s="3585"/>
      <c r="L18" s="3252" t="s">
        <v>2970</v>
      </c>
      <c r="M18" s="3253"/>
      <c r="N18" s="3253"/>
      <c r="O18" s="3254"/>
      <c r="P18" s="3255">
        <v>365</v>
      </c>
      <c r="Q18" s="3253"/>
      <c r="R18" s="3266">
        <f>ROUND(M18*N18*O18*P18/10000,0)</f>
        <v>0</v>
      </c>
      <c r="S18" s="3232"/>
      <c r="T18" s="3232"/>
      <c r="U18" s="3232"/>
      <c r="V18" s="3235"/>
      <c r="W18" s="3234"/>
    </row>
    <row r="19" spans="1:23" s="3140" customFormat="1" ht="13.15" customHeight="1" thickBot="1">
      <c r="A19" s="3172" t="s">
        <v>2900</v>
      </c>
      <c r="B19" s="3147"/>
      <c r="C19" s="3147"/>
      <c r="D19" s="3147"/>
      <c r="E19" s="3147"/>
      <c r="F19" s="3148"/>
      <c r="G19" s="3257"/>
      <c r="H19" s="3234"/>
      <c r="I19" s="3235"/>
      <c r="J19" s="3583"/>
      <c r="K19" s="3586"/>
      <c r="L19" s="3258" t="s">
        <v>2881</v>
      </c>
      <c r="M19" s="3259"/>
      <c r="N19" s="3259">
        <f>SUM(N16:N18)</f>
        <v>0</v>
      </c>
      <c r="O19" s="3260"/>
      <c r="P19" s="3267" t="s">
        <v>2971</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83">
        <v>3</v>
      </c>
      <c r="K20" s="3584" t="s">
        <v>2901</v>
      </c>
      <c r="L20" s="3262" t="s">
        <v>2902</v>
      </c>
      <c r="M20" s="3263" t="s">
        <v>2903</v>
      </c>
      <c r="N20" s="3269" t="s">
        <v>2904</v>
      </c>
      <c r="O20" s="3264" t="s">
        <v>2905</v>
      </c>
      <c r="P20" s="3206" t="s">
        <v>2890</v>
      </c>
      <c r="Q20" s="3201" t="s">
        <v>2891</v>
      </c>
      <c r="R20" s="3265" t="s">
        <v>2892</v>
      </c>
      <c r="S20" s="3270"/>
      <c r="T20" s="3270"/>
      <c r="U20" s="3270"/>
      <c r="V20" s="3235"/>
      <c r="W20" s="3234"/>
    </row>
    <row r="21" spans="1:23" s="3140" customFormat="1" ht="13.15" customHeight="1">
      <c r="A21" s="3150"/>
      <c r="B21" s="3151"/>
      <c r="C21" s="3174" t="s">
        <v>2906</v>
      </c>
      <c r="D21" s="3175" t="s">
        <v>2907</v>
      </c>
      <c r="E21" s="3176" t="s">
        <v>2908</v>
      </c>
      <c r="F21" s="3173"/>
      <c r="G21" s="3257"/>
      <c r="H21" s="3234"/>
      <c r="I21" s="3235"/>
      <c r="J21" s="3583"/>
      <c r="K21" s="3585"/>
      <c r="L21" s="3262" t="s">
        <v>2909</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2910</v>
      </c>
      <c r="D22" s="3212" t="s">
        <v>2911</v>
      </c>
      <c r="E22" s="3213" t="s">
        <v>2912</v>
      </c>
      <c r="F22" s="3173"/>
      <c r="G22" s="3272"/>
      <c r="H22" s="3234"/>
      <c r="I22" s="3235"/>
      <c r="J22" s="3583"/>
      <c r="K22" s="3585"/>
      <c r="L22" s="3262" t="s">
        <v>2913</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2914</v>
      </c>
      <c r="C23" s="3178">
        <f>D6</f>
        <v>0</v>
      </c>
      <c r="D23" s="3179">
        <f>C23*(1+D24)</f>
        <v>0</v>
      </c>
      <c r="E23" s="3180">
        <f>D23*(1+E24)</f>
        <v>0</v>
      </c>
      <c r="F23" s="3181"/>
      <c r="G23" s="3273"/>
      <c r="H23" s="3234"/>
      <c r="I23" s="3235"/>
      <c r="J23" s="3583"/>
      <c r="K23" s="3585"/>
      <c r="L23" s="3262" t="s">
        <v>2915</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2916</v>
      </c>
      <c r="C24" s="3184"/>
      <c r="D24" s="3214"/>
      <c r="E24" s="3215"/>
      <c r="F24" s="3185"/>
      <c r="G24" s="3273"/>
      <c r="H24" s="3234"/>
      <c r="I24" s="3235"/>
      <c r="J24" s="3583"/>
      <c r="K24" s="3586"/>
      <c r="L24" s="3258" t="s">
        <v>2881</v>
      </c>
      <c r="M24" s="3259">
        <f>SUM(M21:M23)</f>
        <v>0</v>
      </c>
      <c r="N24" s="3259"/>
      <c r="O24" s="3260"/>
      <c r="P24" s="3267" t="s">
        <v>2971</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2917</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2918</v>
      </c>
      <c r="C26" s="3178">
        <f>D7</f>
        <v>0</v>
      </c>
      <c r="D26" s="3179">
        <f>D23*D27</f>
        <v>0</v>
      </c>
      <c r="E26" s="3180">
        <f>E23*E27</f>
        <v>0</v>
      </c>
      <c r="F26" s="3181"/>
      <c r="G26" s="3273"/>
      <c r="H26" s="3234"/>
      <c r="I26" s="3235"/>
      <c r="J26" s="3593">
        <v>5</v>
      </c>
      <c r="K26" s="3281" t="s">
        <v>2919</v>
      </c>
      <c r="L26" s="3282"/>
      <c r="M26" s="3283"/>
      <c r="N26" s="3284" t="s">
        <v>2920</v>
      </c>
      <c r="O26" s="3284" t="s">
        <v>2921</v>
      </c>
      <c r="P26" s="3285" t="s">
        <v>2922</v>
      </c>
      <c r="Q26" s="3285" t="s">
        <v>2923</v>
      </c>
      <c r="R26" s="3241" t="s">
        <v>2892</v>
      </c>
      <c r="S26" s="3286"/>
      <c r="T26" s="3286"/>
      <c r="U26" s="3286"/>
      <c r="V26" s="3279"/>
      <c r="W26" s="3280"/>
    </row>
    <row r="27" spans="1:23" s="3140" customFormat="1" ht="13.15" customHeight="1">
      <c r="A27" s="3182"/>
      <c r="B27" s="3183" t="s">
        <v>2924</v>
      </c>
      <c r="C27" s="3187" t="e">
        <f>E7</f>
        <v>#DIV/0!</v>
      </c>
      <c r="D27" s="3214"/>
      <c r="E27" s="3215"/>
      <c r="F27" s="3185"/>
      <c r="G27" s="3273"/>
      <c r="H27" s="3280"/>
      <c r="I27" s="3279"/>
      <c r="J27" s="3594"/>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2925</v>
      </c>
      <c r="F28" s="3185"/>
      <c r="G28" s="3272"/>
      <c r="H28" s="3280"/>
      <c r="I28" s="3279"/>
      <c r="J28" s="3292">
        <v>6</v>
      </c>
      <c r="K28" s="3293" t="s">
        <v>2926</v>
      </c>
      <c r="L28" s="3294" t="s">
        <v>2927</v>
      </c>
      <c r="M28" s="3295"/>
      <c r="N28" s="3294" t="s">
        <v>2928</v>
      </c>
      <c r="O28" s="3296"/>
      <c r="P28" s="3294" t="s">
        <v>2929</v>
      </c>
      <c r="Q28" s="3297">
        <v>1.4999999999999999E-2</v>
      </c>
      <c r="R28" s="3298"/>
      <c r="S28" s="3270"/>
      <c r="T28" s="3270"/>
      <c r="U28" s="3270"/>
      <c r="V28" s="3279"/>
      <c r="W28" s="3280"/>
    </row>
    <row r="29" spans="1:23" s="3186" customFormat="1" ht="13.15" customHeight="1">
      <c r="A29" s="3177">
        <v>3</v>
      </c>
      <c r="B29" s="3149" t="s">
        <v>2930</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2924</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2931</v>
      </c>
      <c r="K31" s="3230"/>
      <c r="L31" s="3230"/>
      <c r="M31" s="3230"/>
      <c r="N31" s="3230"/>
      <c r="O31" s="3230"/>
      <c r="P31" s="3230"/>
      <c r="Q31" s="3230"/>
      <c r="R31" s="3231"/>
      <c r="S31" s="3270"/>
      <c r="T31" s="3232"/>
      <c r="U31" s="3232"/>
      <c r="V31" s="3279"/>
      <c r="W31" s="3280"/>
    </row>
    <row r="32" spans="1:23" s="3186" customFormat="1" ht="13.15" customHeight="1">
      <c r="A32" s="3177">
        <v>4</v>
      </c>
      <c r="B32" s="3149" t="s">
        <v>2932</v>
      </c>
      <c r="C32" s="3178">
        <f>C23-C26-C29</f>
        <v>0</v>
      </c>
      <c r="D32" s="3179">
        <f>D23-D26-D29</f>
        <v>0</v>
      </c>
      <c r="E32" s="3180">
        <f>E23-E26-E29</f>
        <v>0</v>
      </c>
      <c r="F32" s="3181"/>
      <c r="G32" s="3272"/>
      <c r="H32" s="3234"/>
      <c r="I32" s="3235"/>
      <c r="J32" s="3576" t="s">
        <v>2933</v>
      </c>
      <c r="K32" s="3577"/>
      <c r="L32" s="3236" t="s">
        <v>2934</v>
      </c>
      <c r="M32" s="3236" t="s">
        <v>2837</v>
      </c>
      <c r="N32" s="3236" t="s">
        <v>2838</v>
      </c>
      <c r="O32" s="3236" t="s">
        <v>2839</v>
      </c>
      <c r="P32" s="3236" t="s">
        <v>2840</v>
      </c>
      <c r="Q32" s="3237" t="s">
        <v>2935</v>
      </c>
      <c r="R32" s="3299" t="s">
        <v>2936</v>
      </c>
      <c r="S32" s="3270"/>
      <c r="T32" s="3232"/>
      <c r="U32" s="3232"/>
      <c r="V32" s="3279"/>
      <c r="W32" s="3280"/>
    </row>
    <row r="33" spans="1:23" s="3140" customFormat="1" ht="13.15" customHeight="1">
      <c r="A33" s="3177"/>
      <c r="B33" s="3149"/>
      <c r="C33" s="3178"/>
      <c r="D33" s="3189"/>
      <c r="E33" s="3190"/>
      <c r="F33" s="3181"/>
      <c r="G33" s="3272"/>
      <c r="H33" s="3280"/>
      <c r="I33" s="3279"/>
      <c r="J33" s="3578" t="s">
        <v>2937</v>
      </c>
      <c r="K33" s="3579"/>
      <c r="L33" s="3239"/>
      <c r="M33" s="3239"/>
      <c r="N33" s="3239"/>
      <c r="O33" s="3239"/>
      <c r="P33" s="3239"/>
      <c r="Q33" s="3240"/>
      <c r="R33" s="3300">
        <f>SUM(L33:Q33)</f>
        <v>0</v>
      </c>
      <c r="S33" s="3270"/>
      <c r="T33" s="3232"/>
      <c r="U33" s="3232"/>
      <c r="V33" s="3235"/>
      <c r="W33" s="3234"/>
    </row>
    <row r="34" spans="1:23" s="3140" customFormat="1" ht="13.15" customHeight="1">
      <c r="A34" s="3177">
        <v>5</v>
      </c>
      <c r="B34" s="3149" t="s">
        <v>2938</v>
      </c>
      <c r="C34" s="3217"/>
      <c r="D34" s="3218"/>
      <c r="E34" s="3219"/>
      <c r="F34" s="3181"/>
      <c r="G34" s="3272"/>
      <c r="H34" s="3280"/>
      <c r="I34" s="3279"/>
      <c r="J34" s="3578" t="s">
        <v>2939</v>
      </c>
      <c r="K34" s="3579"/>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2940</v>
      </c>
      <c r="C35" s="3220"/>
      <c r="D35" s="3221"/>
      <c r="E35" s="3222"/>
      <c r="F35" s="3181"/>
      <c r="G35" s="3302"/>
      <c r="H35" s="3234"/>
      <c r="I35" s="3279"/>
      <c r="J35" s="3245" t="s">
        <v>2941</v>
      </c>
      <c r="K35" s="3246"/>
      <c r="L35" s="3246"/>
      <c r="M35" s="3247"/>
      <c r="N35" s="3247"/>
      <c r="O35" s="3247"/>
      <c r="P35" s="3247"/>
      <c r="Q35" s="3247"/>
      <c r="R35" s="3303">
        <f>R40+R41+R43</f>
        <v>0</v>
      </c>
      <c r="S35" s="3270"/>
      <c r="T35" s="3232" t="s">
        <v>2942</v>
      </c>
      <c r="U35" s="3232"/>
      <c r="V35" s="3235"/>
      <c r="W35" s="3234"/>
    </row>
    <row r="36" spans="1:23" s="3140" customFormat="1" ht="13.15" customHeight="1" thickBot="1">
      <c r="A36" s="3177">
        <v>7</v>
      </c>
      <c r="B36" s="3191" t="s">
        <v>2943</v>
      </c>
      <c r="C36" s="3223"/>
      <c r="D36" s="3224"/>
      <c r="E36" s="3225"/>
      <c r="F36" s="3192">
        <f>C36+D36+E36</f>
        <v>0</v>
      </c>
      <c r="G36" s="3272"/>
      <c r="H36" s="3234"/>
      <c r="I36" s="3235"/>
      <c r="J36" s="3583">
        <v>1</v>
      </c>
      <c r="K36" s="3584" t="s">
        <v>2944</v>
      </c>
      <c r="L36" s="3249"/>
      <c r="M36" s="3250"/>
      <c r="N36" s="3250"/>
      <c r="O36" s="3250"/>
      <c r="P36" s="3250"/>
      <c r="Q36" s="3250"/>
      <c r="R36" s="3241" t="s">
        <v>2892</v>
      </c>
      <c r="S36" s="3270"/>
      <c r="T36" s="3232" t="s">
        <v>2945</v>
      </c>
      <c r="U36" s="3232"/>
      <c r="V36" s="3235"/>
      <c r="W36" s="3234"/>
    </row>
    <row r="37" spans="1:23" s="3140" customFormat="1" ht="13.15" customHeight="1">
      <c r="A37" s="3177"/>
      <c r="B37" s="3149"/>
      <c r="C37" s="3149"/>
      <c r="D37" s="3149"/>
      <c r="E37" s="3149"/>
      <c r="F37" s="3181"/>
      <c r="G37" s="3272"/>
      <c r="H37" s="3234"/>
      <c r="I37" s="3235"/>
      <c r="J37" s="3583"/>
      <c r="K37" s="3585"/>
      <c r="L37" s="3262"/>
      <c r="M37" s="3263"/>
      <c r="N37" s="3201"/>
      <c r="O37" s="3264"/>
      <c r="P37" s="3264"/>
      <c r="Q37" s="3206"/>
      <c r="R37" s="3304"/>
      <c r="S37" s="3270"/>
      <c r="T37" s="3232" t="s">
        <v>2946</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83"/>
      <c r="K38" s="3585"/>
      <c r="L38" s="3262"/>
      <c r="M38" s="3263"/>
      <c r="N38" s="3201"/>
      <c r="O38" s="3264"/>
      <c r="P38" s="3264"/>
      <c r="Q38" s="3206"/>
      <c r="R38" s="3304"/>
      <c r="S38" s="3270"/>
      <c r="T38" s="3232" t="s">
        <v>2868</v>
      </c>
      <c r="U38" s="3232"/>
      <c r="V38" s="3235"/>
      <c r="W38" s="3234"/>
    </row>
    <row r="39" spans="1:23" s="3140" customFormat="1" ht="13.15" customHeight="1">
      <c r="A39" s="3177">
        <v>9</v>
      </c>
      <c r="B39" s="3149" t="s">
        <v>2947</v>
      </c>
      <c r="C39" s="3162" t="e">
        <f>C38</f>
        <v>#DIV/0!</v>
      </c>
      <c r="D39" s="3149">
        <f>D38/(1+D34)^C36</f>
        <v>0</v>
      </c>
      <c r="E39" s="3149">
        <f>E38/(1+E34)^(C36+D36)</f>
        <v>0</v>
      </c>
      <c r="F39" s="3181"/>
      <c r="G39" s="3305"/>
      <c r="H39" s="3234"/>
      <c r="I39" s="3235"/>
      <c r="J39" s="3583"/>
      <c r="K39" s="3585"/>
      <c r="L39" s="3262"/>
      <c r="M39" s="3263"/>
      <c r="N39" s="3201"/>
      <c r="O39" s="3264"/>
      <c r="P39" s="3264"/>
      <c r="Q39" s="3206"/>
      <c r="R39" s="3304"/>
      <c r="S39" s="3270"/>
      <c r="T39" s="3232"/>
      <c r="U39" s="3232"/>
      <c r="V39" s="3235"/>
      <c r="W39" s="3234"/>
    </row>
    <row r="40" spans="1:23" s="3140" customFormat="1" ht="13.15" customHeight="1">
      <c r="A40" s="3193">
        <v>10</v>
      </c>
      <c r="B40" s="3149" t="s">
        <v>2948</v>
      </c>
      <c r="C40" s="3194" t="e">
        <f>C39+D39+E39</f>
        <v>#DIV/0!</v>
      </c>
      <c r="D40" s="3195"/>
      <c r="E40" s="3195"/>
      <c r="F40" s="3196"/>
      <c r="G40" s="3272"/>
      <c r="H40" s="3234"/>
      <c r="I40" s="3235"/>
      <c r="J40" s="3583"/>
      <c r="K40" s="3586"/>
      <c r="L40" s="3258" t="s">
        <v>2949</v>
      </c>
      <c r="M40" s="3259"/>
      <c r="N40" s="3259"/>
      <c r="O40" s="3260"/>
      <c r="P40" s="3260"/>
      <c r="Q40" s="3261"/>
      <c r="R40" s="3238">
        <f>SUM(R37:R39)</f>
        <v>0</v>
      </c>
      <c r="S40" s="3270"/>
      <c r="T40" s="3232"/>
      <c r="U40" s="3232"/>
      <c r="V40" s="3235"/>
      <c r="W40" s="3234"/>
    </row>
    <row r="41" spans="1:23" s="3140" customFormat="1" ht="13.15" customHeight="1" thickBot="1">
      <c r="A41" s="3197">
        <v>11</v>
      </c>
      <c r="B41" s="3198" t="s">
        <v>2950</v>
      </c>
      <c r="C41" s="3198" t="e">
        <f>ROUND(C40*10000/B4,0)</f>
        <v>#DIV/0!</v>
      </c>
      <c r="D41" s="3199"/>
      <c r="E41" s="3199"/>
      <c r="F41" s="3200"/>
      <c r="G41" s="3306"/>
      <c r="H41" s="3234"/>
      <c r="I41" s="3235"/>
      <c r="J41" s="3274">
        <v>2</v>
      </c>
      <c r="K41" s="3275" t="s">
        <v>2951</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93">
        <v>3</v>
      </c>
      <c r="K42" s="3281" t="s">
        <v>2952</v>
      </c>
      <c r="L42" s="3282"/>
      <c r="M42" s="3283"/>
      <c r="N42" s="3284" t="s">
        <v>2953</v>
      </c>
      <c r="O42" s="3284" t="s">
        <v>2954</v>
      </c>
      <c r="P42" s="3285" t="s">
        <v>2955</v>
      </c>
      <c r="Q42" s="3285" t="s">
        <v>2956</v>
      </c>
      <c r="R42" s="3241" t="s">
        <v>2859</v>
      </c>
      <c r="S42" s="3286"/>
      <c r="T42" s="3286"/>
      <c r="U42" s="3232"/>
      <c r="V42" s="3235"/>
      <c r="W42" s="3234"/>
    </row>
    <row r="43" spans="1:23" ht="13.15" customHeight="1">
      <c r="A43" s="3140"/>
      <c r="B43" s="3140"/>
      <c r="C43" s="3140"/>
      <c r="D43" s="3140"/>
      <c r="E43" s="3140"/>
      <c r="F43" s="3140"/>
      <c r="I43" s="3227"/>
      <c r="J43" s="3594"/>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2957</v>
      </c>
      <c r="L44" s="3309" t="s">
        <v>2958</v>
      </c>
      <c r="M44" s="3295"/>
      <c r="N44" s="3309" t="s">
        <v>2959</v>
      </c>
      <c r="O44" s="3295"/>
      <c r="P44" s="3309" t="s">
        <v>2960</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70.739999999999995</v>
      </c>
      <c r="E1" s="2067"/>
      <c r="F1" s="2067"/>
      <c r="G1" s="2067"/>
      <c r="H1" s="2067"/>
      <c r="I1" s="2067"/>
      <c r="J1" s="2067"/>
      <c r="K1" s="3016"/>
      <c r="L1" s="2068" t="s">
        <v>2439</v>
      </c>
      <c r="M1" s="2069">
        <f>SUMPRODUCT((区片价!B5:B9=I2)*(区片价!C3:F3=E2)*(区片价!C5:F9))</f>
        <v>0</v>
      </c>
      <c r="N1" s="2070">
        <f>SUMPRODUCT((因素修正幅度!B5:B9=I2)*(因素修正幅度!C3:F3=E2)*(因素修正幅度!C5:F9))</f>
        <v>0</v>
      </c>
      <c r="O1" s="3016"/>
      <c r="P1" s="3016"/>
      <c r="Q1" s="3016"/>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0</v>
      </c>
      <c r="C2" s="2075" t="s">
        <v>2446</v>
      </c>
      <c r="D2" s="1569" t="s">
        <v>2447</v>
      </c>
      <c r="E2" s="2076" t="s">
        <v>3088</v>
      </c>
      <c r="F2" s="1569" t="s">
        <v>2448</v>
      </c>
      <c r="G2" s="2077">
        <f>项目基本情况!F9</f>
        <v>0</v>
      </c>
      <c r="H2" s="1570" t="s">
        <v>2449</v>
      </c>
      <c r="I2" s="2077">
        <f>项目基本情况!F10</f>
        <v>0</v>
      </c>
      <c r="J2" s="2078"/>
      <c r="K2" s="3016"/>
      <c r="L2" s="2079" t="s">
        <v>2450</v>
      </c>
      <c r="M2" s="2080">
        <f>SUMPRODUCT((区片价!B10:B28=I2)*(区片价!C3:F3=E2)*(区片价!C10:F28))</f>
        <v>0</v>
      </c>
      <c r="N2" s="2081">
        <f>SUMPRODUCT((因素修正幅度!B10:B28=I2)*(因素修正幅度!C3:F3=E2)*(因素修正幅度!C10:F28))</f>
        <v>0</v>
      </c>
      <c r="O2" s="3016"/>
      <c r="P2" s="3016"/>
      <c r="Q2" s="3016"/>
      <c r="R2" s="2071">
        <v>1</v>
      </c>
      <c r="S2" s="2071">
        <f>ROUND(IF(G3&gt;1,IF(R2&lt;7,SUMPRODUCT((B93:B98=R2)*(C92:N92=G2)*(C93:N98)),SUMIF(C92:N92,G2,C100:N100)),IF(R2&lt;7,SUMPRODUCT((B102:B107=R2)*(C92:N92=G2)*(C102:N107)),SUMIF(C92:N92,G2,C109:N109))),4)</f>
        <v>0</v>
      </c>
      <c r="T2" s="2071">
        <f>ROUND($C$5*$C$18*$C$19*$C$20*S2*$C$24,0)</f>
        <v>0</v>
      </c>
      <c r="U2" s="2082"/>
      <c r="V2" s="2071">
        <f>ROUND(T2*U2/10000,0)</f>
        <v>0</v>
      </c>
      <c r="W2" s="2072"/>
      <c r="X2" s="2072"/>
      <c r="Y2" s="2072"/>
      <c r="Z2" s="2072"/>
      <c r="AA2" s="2072"/>
      <c r="AB2" s="2072"/>
      <c r="AC2" s="2072"/>
      <c r="AD2" s="2073"/>
      <c r="AE2" s="2073"/>
      <c r="AF2" s="2073"/>
      <c r="AG2" s="2073"/>
      <c r="AH2" s="2073"/>
      <c r="AI2" s="2073"/>
      <c r="AJ2" s="2074"/>
    </row>
    <row r="3" spans="1:36" ht="25.5">
      <c r="A3" s="1626" t="s">
        <v>2451</v>
      </c>
      <c r="B3" s="1626">
        <f>ROUND(B2/D1,0)</f>
        <v>0</v>
      </c>
      <c r="C3" s="2075" t="s">
        <v>2452</v>
      </c>
      <c r="D3" s="1569" t="s">
        <v>2453</v>
      </c>
      <c r="E3" s="2076" t="s">
        <v>3089</v>
      </c>
      <c r="F3" s="1571" t="s">
        <v>2454</v>
      </c>
      <c r="G3" s="2083">
        <f>项目基本情况!C15</f>
        <v>2.5</v>
      </c>
      <c r="H3" s="50" t="s">
        <v>2455</v>
      </c>
      <c r="I3" s="2084"/>
      <c r="J3" s="2078" t="s">
        <v>2456</v>
      </c>
      <c r="K3" s="3016"/>
      <c r="L3" s="2079" t="s">
        <v>2457</v>
      </c>
      <c r="M3" s="2080">
        <f>SUMPRODUCT((区片价!B29:B48=I2)*(区片价!C3:F3=E2)*(区片价!C29:F48))</f>
        <v>0</v>
      </c>
      <c r="N3" s="2081">
        <f>SUMPRODUCT((因素修正幅度!B29:B48=I2)*(因素修正幅度!C3:F3=E2)*(因素修正幅度!C29:F48))</f>
        <v>0</v>
      </c>
      <c r="O3" s="3016"/>
      <c r="P3" s="3016"/>
      <c r="Q3" s="3016"/>
      <c r="R3" s="2071">
        <v>2</v>
      </c>
      <c r="S3" s="2071">
        <f>ROUND(IF(G3&gt;1,IF(R3&lt;7,SUMPRODUCT((B93:B98=R3)*(C92:N92=G2)*(C93:N98)),SUMIF(C92:N92,G2,C100:N100)),IF(R3&lt;7,SUMPRODUCT((B102:B107=R3)*(C92:N92=G2)*(C102:N107)),SUMIF(C92:N92,G2,C109:N109))),4)</f>
        <v>0</v>
      </c>
      <c r="T3" s="2071">
        <f t="shared" ref="T3:T16" si="0">ROUND($C$5*$C$18*$C$19*$C$20*S3*$C$24,0)</f>
        <v>0</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97"/>
      <c r="B4" s="3598"/>
      <c r="C4" s="3598"/>
      <c r="D4" s="3599"/>
      <c r="E4" s="3599"/>
      <c r="F4" s="3599"/>
      <c r="G4" s="3599"/>
      <c r="H4" s="3599"/>
      <c r="I4" s="3599"/>
      <c r="J4" s="3600"/>
      <c r="K4" s="3016"/>
      <c r="L4" s="2079" t="s">
        <v>2458</v>
      </c>
      <c r="M4" s="2080">
        <f>SUMPRODUCT((区片价!B49:B75=I2)*(区片价!C3:F3=E2)*(区片价!C49:F75))</f>
        <v>0</v>
      </c>
      <c r="N4" s="2081">
        <f>SUMPRODUCT((因素修正幅度!B49:B75=I2)*(因素修正幅度!C3:F3=E2)*(因素修正幅度!C49:F75))</f>
        <v>0</v>
      </c>
      <c r="O4" s="3016"/>
      <c r="P4" s="3016"/>
      <c r="Q4" s="3016"/>
      <c r="R4" s="2071">
        <v>3</v>
      </c>
      <c r="S4" s="2071">
        <f>ROUND(IF(G3&gt;1,IF(R4&lt;7,SUMPRODUCT((B93:B98=R4)*(C92:N92=G2)*(C93:N98)),SUMIF(C92:N92,G2,C100:N100)),IF(R4&lt;7,SUMPRODUCT((B102:B107=R4)*(C92:N92=G2)*(C102:N107)),SUMIF(C92:N92,G2,C109:N109))),4)</f>
        <v>0</v>
      </c>
      <c r="T4" s="2071">
        <f t="shared" si="0"/>
        <v>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0</v>
      </c>
      <c r="D5" s="2086">
        <f>ROUND(C6+C16,0)</f>
        <v>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6"/>
      <c r="P5" s="3016"/>
      <c r="Q5" s="3016"/>
      <c r="R5" s="2071">
        <v>4</v>
      </c>
      <c r="S5" s="2071">
        <f>ROUND(IF(G3&gt;1,IF(R5&lt;7,SUMPRODUCT((B93:B98=R5)*(C92:N92=G2)*(C93:N98)),SUMIF(C92:N92,G2,C100:N100)),IF(R5&lt;7,SUMPRODUCT((B102:B107=R5)*(C92:N92=G2)*(C102:N107)),SUMIF(C92:N92,G2,C109:N109))),4)</f>
        <v>0</v>
      </c>
      <c r="T5" s="2071">
        <f t="shared" si="0"/>
        <v>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0</v>
      </c>
      <c r="D6" s="2095" t="s">
        <v>2463</v>
      </c>
      <c r="E6" s="1573"/>
      <c r="F6" s="1573"/>
      <c r="G6" s="2096"/>
      <c r="H6" s="2096"/>
      <c r="I6" s="2096"/>
      <c r="J6" s="2097"/>
      <c r="K6" s="3017"/>
      <c r="L6" s="2079" t="s">
        <v>2464</v>
      </c>
      <c r="M6" s="2080">
        <f>SUMPRODUCT((区片价!B110:B157=I2)*(区片价!C3:F3=E2)*(区片价!C110:F157))</f>
        <v>0</v>
      </c>
      <c r="N6" s="2081">
        <f>SUMPRODUCT((因素修正幅度!B110:B157=I2)*(因素修正幅度!C3:F3=E2)*(因素修正幅度!C110:F157))</f>
        <v>0</v>
      </c>
      <c r="O6" s="3016"/>
      <c r="P6" s="3016"/>
      <c r="Q6" s="3016"/>
      <c r="R6" s="2071">
        <v>5</v>
      </c>
      <c r="S6" s="2071">
        <f>ROUND(IF(G3&gt;1,IF(R6&lt;7,SUMPRODUCT((B93:B98=R6)*(C92:N92=G2)*(C93:N98)),SUMIF(C92:N92,G2,C100:N100)),IF(R6&lt;7,SUMPRODUCT((B102:B107=R6)*(C92:N92=G2)*(C102:N107)),SUMIF(C92:N92,G2,C109:N109))),4)</f>
        <v>0</v>
      </c>
      <c r="T6" s="2071">
        <f t="shared" si="0"/>
        <v>0</v>
      </c>
      <c r="U6" s="2082"/>
      <c r="V6" s="2071">
        <f t="shared" si="1"/>
        <v>0</v>
      </c>
      <c r="W6" s="2072"/>
      <c r="X6" s="2072"/>
      <c r="Y6" s="2072"/>
      <c r="Z6" s="2072"/>
      <c r="AA6" s="2072"/>
      <c r="AB6" s="2072"/>
      <c r="AC6" s="2089"/>
      <c r="AD6" s="2090"/>
      <c r="AE6" s="2090"/>
      <c r="AF6" s="2090"/>
      <c r="AG6" s="2090"/>
      <c r="AH6" s="2090"/>
      <c r="AI6" s="2090"/>
      <c r="AJ6" s="2091"/>
    </row>
    <row r="7" spans="1:36" ht="24">
      <c r="A7" s="3601" t="str">
        <f>IF(E2="商业",IF(C8="不临58条商业街","",2),"")</f>
        <v/>
      </c>
      <c r="B7" s="1574" t="s">
        <v>2465</v>
      </c>
      <c r="C7" s="2098">
        <f>IF(C8="不临58条商业街",1,ROUND(1+(1.6*E8+1.2*E9+0.8*E10+0.4*E11)*C9,4))</f>
        <v>1</v>
      </c>
      <c r="D7" s="2099" t="s">
        <v>2466</v>
      </c>
      <c r="E7" s="2100"/>
      <c r="F7" s="2101"/>
      <c r="G7" s="2101"/>
      <c r="H7" s="2101"/>
      <c r="I7" s="2101"/>
      <c r="J7" s="2102"/>
      <c r="K7" s="3017"/>
      <c r="L7" s="2079" t="s">
        <v>2467</v>
      </c>
      <c r="M7" s="2080">
        <f>SUMPRODUCT((区片价!B158:B205=I2)*(区片价!C3:F3=E2)*(区片价!C158:F205))</f>
        <v>0</v>
      </c>
      <c r="N7" s="2081">
        <f>SUMPRODUCT((因素修正幅度!B158:B205=I2)*(因素修正幅度!C3:F3=E2)*(因素修正幅度!C158:F205))</f>
        <v>0</v>
      </c>
      <c r="O7" s="3016"/>
      <c r="P7" s="3016"/>
      <c r="Q7" s="3016"/>
      <c r="R7" s="2071">
        <v>6</v>
      </c>
      <c r="S7" s="2071">
        <f>ROUND(IF(G3&gt;1,IF(R7&lt;7,SUMPRODUCT((B93:B98=R7)*(C92:N92=G2)*(C93:N98)),SUMIF(C92:N92,G2,C100:N100)),IF(R7&lt;7,SUMPRODUCT((B102:B107=R7)*(C92:N92=G2)*(C102:N107)),SUMIF(C92:N92,G2,C109:N109))),4)</f>
        <v>0</v>
      </c>
      <c r="T7" s="2071">
        <f t="shared" si="0"/>
        <v>0</v>
      </c>
      <c r="U7" s="2082"/>
      <c r="V7" s="2071">
        <f t="shared" si="1"/>
        <v>0</v>
      </c>
      <c r="W7" s="2103" t="s">
        <v>2468</v>
      </c>
      <c r="X7" s="2104">
        <f>G2</f>
        <v>0</v>
      </c>
      <c r="Y7" s="2104" t="s">
        <v>2469</v>
      </c>
      <c r="Z7" s="2105">
        <f>G3</f>
        <v>2.5</v>
      </c>
      <c r="AA7" s="2072"/>
      <c r="AB7" s="2072"/>
      <c r="AC7" s="2072"/>
      <c r="AD7" s="2073"/>
      <c r="AE7" s="2073"/>
      <c r="AF7" s="2073"/>
      <c r="AG7" s="2073"/>
      <c r="AH7" s="2073"/>
      <c r="AI7" s="2073"/>
      <c r="AJ7" s="2074"/>
    </row>
    <row r="8" spans="1:36" ht="15">
      <c r="A8" s="3602"/>
      <c r="B8" s="50" t="s">
        <v>2470</v>
      </c>
      <c r="C8" s="2106" t="s">
        <v>3052</v>
      </c>
      <c r="D8" s="65" t="s">
        <v>89</v>
      </c>
      <c r="E8" s="2107" t="e">
        <f>ROUND(C11/E7,4)</f>
        <v>#DIV/0!</v>
      </c>
      <c r="F8" s="2108" t="s">
        <v>2471</v>
      </c>
      <c r="G8" s="2109"/>
      <c r="H8" s="2109"/>
      <c r="I8" s="2109"/>
      <c r="J8" s="2110"/>
      <c r="K8" s="3016"/>
      <c r="L8" s="2079" t="s">
        <v>2472</v>
      </c>
      <c r="M8" s="2080">
        <f>SUMPRODUCT((区片价!B206:B244=I2)*(区片价!C3:F3=E2)*(区片价!C206:F244))</f>
        <v>0</v>
      </c>
      <c r="N8" s="2081">
        <f>SUMPRODUCT((因素修正幅度!B206:B244=I2)*(因素修正幅度!C3:F3=E2)*(因素修正幅度!C206:F244))</f>
        <v>0</v>
      </c>
      <c r="O8" s="3016"/>
      <c r="P8" s="3016"/>
      <c r="Q8" s="3016"/>
      <c r="R8" s="2071">
        <v>7</v>
      </c>
      <c r="S8" s="2082"/>
      <c r="T8" s="2071">
        <f t="shared" si="0"/>
        <v>0</v>
      </c>
      <c r="U8" s="2082"/>
      <c r="V8" s="2071">
        <f t="shared" si="1"/>
        <v>0</v>
      </c>
      <c r="W8" s="3595" t="s">
        <v>2473</v>
      </c>
      <c r="X8" s="3596"/>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602"/>
      <c r="B9" s="50" t="s">
        <v>2486</v>
      </c>
      <c r="C9" s="2112">
        <f>SUMIF(修正!C59:C119,C8,修正!E59:E119)</f>
        <v>0</v>
      </c>
      <c r="D9" s="50" t="s">
        <v>90</v>
      </c>
      <c r="E9" s="50" t="e">
        <f>ROUND(C11/E7,4)</f>
        <v>#DIV/0!</v>
      </c>
      <c r="F9" s="2108" t="s">
        <v>2487</v>
      </c>
      <c r="G9" s="2109"/>
      <c r="H9" s="2109"/>
      <c r="I9" s="2109"/>
      <c r="J9" s="2110"/>
      <c r="K9" s="3016"/>
      <c r="L9" s="2079" t="s">
        <v>2488</v>
      </c>
      <c r="M9" s="2080">
        <f>SUMPRODUCT((区片价!B245:B289=I2)*(区片价!C3:F3=E2)*(区片价!C245:F289))</f>
        <v>0</v>
      </c>
      <c r="N9" s="2081">
        <f>SUMPRODUCT((因素修正幅度!B245:B289=I2)*(因素修正幅度!C3:F3=E2)*(因素修正幅度!C245:F289))</f>
        <v>0</v>
      </c>
      <c r="O9" s="3016"/>
      <c r="P9" s="3016"/>
      <c r="Q9" s="3016"/>
      <c r="R9" s="2071">
        <v>8</v>
      </c>
      <c r="S9" s="2082"/>
      <c r="T9" s="2071">
        <f t="shared" si="0"/>
        <v>0</v>
      </c>
      <c r="U9" s="2082"/>
      <c r="V9" s="2071">
        <f t="shared" si="1"/>
        <v>0</v>
      </c>
      <c r="W9" s="3596" t="s">
        <v>2489</v>
      </c>
      <c r="X9" s="2113" t="s">
        <v>2490</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602"/>
      <c r="B10" s="50" t="s">
        <v>2491</v>
      </c>
      <c r="C10" s="50">
        <f>SUMIF(修正!C59:C119,C8,修正!F59:F119)</f>
        <v>0</v>
      </c>
      <c r="D10" s="50" t="s">
        <v>91</v>
      </c>
      <c r="E10" s="50" t="e">
        <f>ROUND(C11/E7,4)</f>
        <v>#DIV/0!</v>
      </c>
      <c r="F10" s="2108" t="s">
        <v>2492</v>
      </c>
      <c r="G10" s="2109"/>
      <c r="H10" s="2109"/>
      <c r="I10" s="2109"/>
      <c r="J10" s="2110"/>
      <c r="K10" s="3016"/>
      <c r="L10" s="2079" t="s">
        <v>2493</v>
      </c>
      <c r="M10" s="2080">
        <f>SUMPRODUCT((区片价!B290:B316=I2)*(区片价!C3:F3=E2)*(区片价!C290:F316))</f>
        <v>0</v>
      </c>
      <c r="N10" s="2081">
        <f>SUMPRODUCT((因素修正幅度!B290:B316=I2)*(因素修正幅度!C3:F3=E2)*(因素修正幅度!C290:F316))</f>
        <v>0</v>
      </c>
      <c r="O10" s="3016"/>
      <c r="P10" s="3016"/>
      <c r="Q10" s="3016"/>
      <c r="R10" s="2071">
        <v>9</v>
      </c>
      <c r="S10" s="2082"/>
      <c r="T10" s="2071">
        <f t="shared" si="0"/>
        <v>0</v>
      </c>
      <c r="U10" s="2082"/>
      <c r="V10" s="2071">
        <f t="shared" si="1"/>
        <v>0</v>
      </c>
      <c r="W10" s="3596"/>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02"/>
      <c r="B11" s="1575" t="s">
        <v>2494</v>
      </c>
      <c r="C11" s="1575">
        <f>C10/4</f>
        <v>0</v>
      </c>
      <c r="D11" s="1575" t="s">
        <v>92</v>
      </c>
      <c r="E11" s="1575" t="e">
        <f>ROUND(C11/E7,4)</f>
        <v>#DIV/0!</v>
      </c>
      <c r="F11" s="2117" t="s">
        <v>2495</v>
      </c>
      <c r="G11" s="2118"/>
      <c r="H11" s="2118"/>
      <c r="I11" s="2118"/>
      <c r="J11" s="2119"/>
      <c r="K11" s="3016"/>
      <c r="L11" s="2079" t="s">
        <v>2496</v>
      </c>
      <c r="M11" s="2080">
        <f>SUMPRODUCT((区片价!B317:B337=I2)*(区片价!C3:F3=E2)*(区片价!C317:F337))</f>
        <v>0</v>
      </c>
      <c r="N11" s="2081">
        <f>SUMPRODUCT((因素修正幅度!B317:B337=I2)*(因素修正幅度!C3:F3=E2)*(因素修正幅度!C317:F337))</f>
        <v>0</v>
      </c>
      <c r="O11" s="3016"/>
      <c r="P11" s="3016"/>
      <c r="Q11" s="3016"/>
      <c r="R11" s="2071">
        <v>10</v>
      </c>
      <c r="S11" s="2082"/>
      <c r="T11" s="2071">
        <f t="shared" si="0"/>
        <v>0</v>
      </c>
      <c r="U11" s="2082"/>
      <c r="V11" s="2071">
        <f t="shared" si="1"/>
        <v>0</v>
      </c>
      <c r="W11" s="3596" t="s">
        <v>2497</v>
      </c>
      <c r="X11" s="2120" t="s">
        <v>2498</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hidden="1" thickBot="1">
      <c r="A12" s="3601" t="str">
        <f>IF(E2="住宅",2,"")</f>
        <v/>
      </c>
      <c r="B12" s="1576" t="s">
        <v>2499</v>
      </c>
      <c r="C12" s="2098">
        <f>ROUND(C15*D15*E15*F15*G15*H15*I15*J15,4)</f>
        <v>1.32</v>
      </c>
      <c r="D12" s="2122" t="s">
        <v>2500</v>
      </c>
      <c r="E12" s="2123"/>
      <c r="F12" s="2123"/>
      <c r="G12" s="2123"/>
      <c r="H12" s="2123"/>
      <c r="I12" s="2123"/>
      <c r="J12" s="2124"/>
      <c r="K12" s="3016"/>
      <c r="L12" s="2125" t="s">
        <v>2501</v>
      </c>
      <c r="M12" s="2126">
        <f>SUMPRODUCT((区片价!B338:B344=I2)*(区片价!C3:F3=E2)*(区片价!C338:F344))</f>
        <v>0</v>
      </c>
      <c r="N12" s="2127">
        <f>SUMPRODUCT((因素修正幅度!B338:B344=I2)*(因素修正幅度!C3:F3=E2)*(因素修正幅度!C338:F344))</f>
        <v>0</v>
      </c>
      <c r="O12" s="3016"/>
      <c r="P12" s="3016"/>
      <c r="Q12" s="3016"/>
      <c r="R12" s="2071">
        <v>11</v>
      </c>
      <c r="S12" s="2082"/>
      <c r="T12" s="2071">
        <f t="shared" si="0"/>
        <v>0</v>
      </c>
      <c r="U12" s="2082"/>
      <c r="V12" s="2071">
        <f t="shared" si="1"/>
        <v>0</v>
      </c>
      <c r="W12" s="3596"/>
      <c r="X12" s="2128" t="s">
        <v>2502</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hidden="1">
      <c r="A13" s="3603"/>
      <c r="B13" s="1577" t="s">
        <v>2503</v>
      </c>
      <c r="C13" s="2129" t="s">
        <v>2504</v>
      </c>
      <c r="D13" s="1578" t="s">
        <v>2505</v>
      </c>
      <c r="E13" s="1578" t="s">
        <v>2506</v>
      </c>
      <c r="F13" s="264" t="s">
        <v>2507</v>
      </c>
      <c r="G13" s="2130" t="s">
        <v>2508</v>
      </c>
      <c r="H13" s="2130" t="s">
        <v>2508</v>
      </c>
      <c r="I13" s="2130" t="s">
        <v>2508</v>
      </c>
      <c r="J13" s="2131" t="s">
        <v>2508</v>
      </c>
      <c r="K13" s="3016"/>
      <c r="L13" s="3016"/>
      <c r="M13" s="3016"/>
      <c r="N13" s="3016"/>
      <c r="O13" s="3016"/>
      <c r="P13" s="3016"/>
      <c r="Q13" s="3016"/>
      <c r="R13" s="2071">
        <v>12</v>
      </c>
      <c r="S13" s="2082"/>
      <c r="T13" s="2071">
        <f t="shared" si="0"/>
        <v>0</v>
      </c>
      <c r="U13" s="2082"/>
      <c r="V13" s="2071">
        <f t="shared" si="1"/>
        <v>0</v>
      </c>
      <c r="W13" s="3596"/>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hidden="1">
      <c r="A14" s="3603"/>
      <c r="B14" s="1578"/>
      <c r="C14" s="2132" t="s">
        <v>2509</v>
      </c>
      <c r="D14" s="2133" t="s">
        <v>2510</v>
      </c>
      <c r="E14" s="2133" t="s">
        <v>2510</v>
      </c>
      <c r="F14" s="2134" t="s">
        <v>2511</v>
      </c>
      <c r="G14" s="2135" t="s">
        <v>2512</v>
      </c>
      <c r="H14" s="2136"/>
      <c r="I14" s="2137"/>
      <c r="J14" s="2138"/>
      <c r="K14" s="3016"/>
      <c r="L14" s="3016"/>
      <c r="M14" s="3016"/>
      <c r="N14" s="3016"/>
      <c r="O14" s="3016"/>
      <c r="P14" s="3016"/>
      <c r="Q14" s="3016"/>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hidden="1" thickBot="1">
      <c r="A15" s="3604"/>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6"/>
      <c r="L15" s="3016"/>
      <c r="M15" s="3016"/>
      <c r="N15" s="3016"/>
      <c r="O15" s="3016"/>
      <c r="P15" s="3016"/>
      <c r="Q15" s="3016"/>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605">
        <f>IF(E2="办公",2,IF(E2="工业",2,IF(E2="住宅",3,IF(E2="商业",IF(C8="不临58条商业街",2,3)))))</f>
        <v>2</v>
      </c>
      <c r="B16" s="1598" t="s">
        <v>2519</v>
      </c>
      <c r="C16" s="1574">
        <f>ROUND(IF(F17="与级别开发程度一致",0,(G17-E17)/C17),0)</f>
        <v>0</v>
      </c>
      <c r="D16" s="3618" t="s">
        <v>2523</v>
      </c>
      <c r="E16" s="3619"/>
      <c r="F16" s="3618" t="s">
        <v>2520</v>
      </c>
      <c r="G16" s="3619"/>
      <c r="H16" s="2142" t="s">
        <v>2988</v>
      </c>
      <c r="I16" s="2142" t="s">
        <v>2989</v>
      </c>
      <c r="J16" s="2143" t="s">
        <v>2991</v>
      </c>
      <c r="K16" s="2142" t="s">
        <v>2990</v>
      </c>
      <c r="L16" s="2142" t="s">
        <v>2992</v>
      </c>
      <c r="M16" s="2142" t="s">
        <v>2993</v>
      </c>
      <c r="N16" s="2142"/>
      <c r="O16" s="2144"/>
      <c r="P16" s="3016"/>
      <c r="Q16" s="3016"/>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606"/>
      <c r="B17" s="1599" t="s">
        <v>2522</v>
      </c>
      <c r="C17" s="2145">
        <f>SUMPRODUCT((修正!A2:A5=E2)*(修正!B1:M1=G2)*(修正!B2:M5))</f>
        <v>0</v>
      </c>
      <c r="D17" s="2139" t="str">
        <f>IF(OR(G2="八级",G2="九级",G2="十级",G2="十一级",G2="十二级"),"五通一平","七通一平")</f>
        <v>七通一平</v>
      </c>
      <c r="E17" s="2146">
        <f>SUMPRODUCT((修正!B1:M1=G2)*(修正!B15:M15))</f>
        <v>0</v>
      </c>
      <c r="F17" s="2147" t="s">
        <v>3051</v>
      </c>
      <c r="G17" s="1588">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6"/>
      <c r="Q17" s="3016"/>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8"/>
      <c r="L18" s="3018"/>
      <c r="M18" s="3018"/>
      <c r="N18" s="3018"/>
      <c r="O18" s="3016"/>
      <c r="P18" s="3016"/>
      <c r="Q18" s="3016"/>
      <c r="R18" s="3016"/>
      <c r="S18" s="3016"/>
      <c r="T18" s="3016"/>
      <c r="U18" s="3016"/>
      <c r="V18" s="3016"/>
      <c r="W18" s="3016"/>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ROUND(IF(H19="按公示增长率计算",SUMPRODUCT((地价!A3:A36=YEAR(G19)&amp;"-"&amp;ROUNDUP(MONTH(G19)/3,0))*(地价!X2:AB2=E2)*(地价!X3:AB36)),IF(H19="地价指数",M20/M19,(1+I19)^O19)),4)</f>
        <v>0</v>
      </c>
      <c r="D19" s="2157" t="s">
        <v>2529</v>
      </c>
      <c r="E19" s="2158">
        <v>41640</v>
      </c>
      <c r="F19" s="2157" t="s">
        <v>2530</v>
      </c>
      <c r="G19" s="2159">
        <f>'数据-取费表'!B2</f>
        <v>44777</v>
      </c>
      <c r="H19" s="2160" t="s">
        <v>2664</v>
      </c>
      <c r="I19" s="2161" t="str">
        <f>IF(H19="季度增幅（自定义）",SUMIF(N21:N24,E2,O21:O24),"")</f>
        <v/>
      </c>
      <c r="J19" s="2162"/>
      <c r="K19" s="3018"/>
      <c r="L19" s="2043" t="s">
        <v>2531</v>
      </c>
      <c r="M19" s="2163">
        <f>ROUND(SUMIF(地价!B2:F2,E2,地价!B36:F36),0)</f>
        <v>258</v>
      </c>
      <c r="N19" s="2164" t="s">
        <v>2532</v>
      </c>
      <c r="O19" s="2165">
        <f>ROUNDDOWN(DATEDIF(E19,G19,"M")/3,0)</f>
        <v>34</v>
      </c>
      <c r="P19" s="3016"/>
      <c r="Q19" s="3018"/>
      <c r="R19" s="3016"/>
      <c r="S19" s="3016"/>
      <c r="T19" s="3016"/>
      <c r="U19" s="3016"/>
      <c r="V19" s="3016"/>
      <c r="W19" s="3016"/>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0.94810000000000005</v>
      </c>
      <c r="D20" s="2169" t="s">
        <v>2535</v>
      </c>
      <c r="E20" s="3121">
        <f>存贷款利率!E18/100</f>
        <v>4.3499999999999997E-2</v>
      </c>
      <c r="F20" s="2169" t="s">
        <v>2524</v>
      </c>
      <c r="G20" s="3122">
        <f>SUMIF(M26:P26,E2,M28:P28)</f>
        <v>5.1999999999999998E-2</v>
      </c>
      <c r="H20" s="2169" t="s">
        <v>2536</v>
      </c>
      <c r="I20" s="2170">
        <f>'数据-取费表'!B13</f>
        <v>40.700000000000003</v>
      </c>
      <c r="J20" s="2171">
        <f>IF(E2="住宅",70,IF(E2="商业",40,50))</f>
        <v>50</v>
      </c>
      <c r="K20" s="3018"/>
      <c r="L20" s="2172" t="s">
        <v>2537</v>
      </c>
      <c r="M20" s="2173">
        <f>ROUND(SUMPRODUCT((地价!A4:A36=YEAR(G19)&amp;"-"&amp;ROUNDUP(MONTH(G19)/3,0))*(地价!B2:F2=E2)*(地价!B4:F36)),0)</f>
        <v>0</v>
      </c>
      <c r="N20" s="2174" t="s">
        <v>2538</v>
      </c>
      <c r="O20" s="2175" t="s">
        <v>2539</v>
      </c>
      <c r="P20" s="2176" t="s">
        <v>2540</v>
      </c>
      <c r="Q20" s="3018"/>
      <c r="R20" s="3016"/>
      <c r="S20" s="3016"/>
      <c r="T20" s="3016"/>
      <c r="U20" s="3016"/>
      <c r="V20" s="3016"/>
      <c r="W20" s="3016"/>
      <c r="X20" s="1590"/>
      <c r="Y20" s="1590"/>
      <c r="Z20" s="1590"/>
      <c r="AA20" s="1590"/>
      <c r="AB20" s="1590"/>
      <c r="AC20" s="1590"/>
      <c r="AD20" s="1590"/>
      <c r="AE20" s="2155"/>
      <c r="AF20" s="2155"/>
    </row>
    <row r="21" spans="1:35" s="2092" customFormat="1" ht="14.25">
      <c r="A21" s="2177" t="s">
        <v>2541</v>
      </c>
      <c r="B21" s="1582" t="s">
        <v>2542</v>
      </c>
      <c r="C21" s="2178">
        <f>IF(B21="容积率修正",IF(G3&lt;=10,D22,J22),C23)</f>
        <v>0</v>
      </c>
      <c r="D21" s="2179"/>
      <c r="E21" s="2179"/>
      <c r="F21" s="2179"/>
      <c r="G21" s="2179"/>
      <c r="H21" s="2179"/>
      <c r="I21" s="2179"/>
      <c r="J21" s="2044"/>
      <c r="K21" s="3018"/>
      <c r="L21" s="3018"/>
      <c r="M21" s="3018"/>
      <c r="N21" s="2180" t="s">
        <v>2543</v>
      </c>
      <c r="O21" s="2181"/>
      <c r="P21" s="2182">
        <f>SUMPRODUCT((地价!A3:A36=YEAR(G19)&amp;"-"&amp;ROUNDUP(MONTH(G19)/3,0))*(地价!AD2:AH2=N21)*(地价!AD3:AH36))</f>
        <v>0</v>
      </c>
      <c r="Q21" s="3018"/>
      <c r="R21" s="3016"/>
      <c r="S21" s="3016"/>
      <c r="T21" s="3016"/>
      <c r="U21" s="3016"/>
      <c r="V21" s="3016"/>
      <c r="W21" s="3016"/>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0</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8"/>
      <c r="L22" s="3018"/>
      <c r="M22" s="3018"/>
      <c r="N22" s="2180" t="s">
        <v>2546</v>
      </c>
      <c r="O22" s="2181"/>
      <c r="P22" s="2182">
        <f>SUMPRODUCT((地价!A3:A36=YEAR(G19)&amp;"-"&amp;ROUNDUP(MONTH(G19)/3,0))*(地价!AD2:AH2=N22)*(地价!AD3:AH36))</f>
        <v>0</v>
      </c>
      <c r="Q22" s="3018"/>
      <c r="R22" s="3016"/>
      <c r="S22" s="3016"/>
      <c r="T22" s="3016"/>
      <c r="U22" s="3016"/>
      <c r="V22" s="3016"/>
      <c r="W22" s="3016"/>
      <c r="X22" s="1590"/>
      <c r="Y22" s="1590"/>
      <c r="Z22" s="1590"/>
      <c r="AA22" s="1590"/>
      <c r="AB22" s="1590"/>
      <c r="AC22" s="1590"/>
      <c r="AD22" s="1590"/>
      <c r="AE22" s="2155"/>
      <c r="AF22" s="2155"/>
    </row>
    <row r="23" spans="1:35" ht="27">
      <c r="A23" s="2040">
        <v>2</v>
      </c>
      <c r="B23" s="2039" t="s">
        <v>2547</v>
      </c>
      <c r="C23" s="2184">
        <f>ROUND(IF(G3&gt;1,IF(I3&lt;7,SUMPRODUCT((B93:B98=I3)*(C92:N92=G2)*(C93:N98)),SUMIF(C92:N92,G2,C100:N100)),IF(I3&lt;7,SUMPRODUCT((B102:B107=I3)*(C92:N92=G2)*(C102:N107)),SUMIF(C92:N92,G2,C109:N109))),4)</f>
        <v>0</v>
      </c>
      <c r="D23" s="2136"/>
      <c r="E23" s="2136"/>
      <c r="F23" s="2185"/>
      <c r="G23" s="2186"/>
      <c r="H23" s="1587"/>
      <c r="I23" s="2039"/>
      <c r="J23" s="2183"/>
      <c r="K23" s="3016"/>
      <c r="L23" s="3016"/>
      <c r="M23" s="3016"/>
      <c r="N23" s="2180" t="s">
        <v>2548</v>
      </c>
      <c r="O23" s="2181"/>
      <c r="P23" s="2182">
        <f>SUMPRODUCT((地价!A3:A36=YEAR(G19)&amp;"-"&amp;ROUNDUP(MONTH(G19)/3,0))*(地价!AD2:AH2=N23)*(地价!AD3:AH36))</f>
        <v>0</v>
      </c>
      <c r="Q23" s="3016"/>
      <c r="R23" s="3016"/>
      <c r="S23" s="3016"/>
      <c r="T23" s="3016"/>
      <c r="U23" s="3016"/>
      <c r="V23" s="3016"/>
      <c r="W23" s="3016"/>
      <c r="X23" s="1590"/>
      <c r="Y23" s="1590"/>
      <c r="Z23" s="1590"/>
      <c r="AA23" s="1590"/>
      <c r="AB23" s="1590"/>
      <c r="AC23" s="1590"/>
      <c r="AD23" s="1590"/>
      <c r="AE23" s="1590"/>
      <c r="AF23" s="1590"/>
    </row>
    <row r="24" spans="1:35" s="2092" customFormat="1" ht="15.75" thickBot="1">
      <c r="A24" s="2187" t="s">
        <v>2549</v>
      </c>
      <c r="B24" s="1584" t="s">
        <v>2550</v>
      </c>
      <c r="C24" s="2188">
        <f>SUMIF(A46:A88,E2,B46:B88)</f>
        <v>1.05</v>
      </c>
      <c r="D24" s="2189"/>
      <c r="E24" s="2190"/>
      <c r="F24" s="2190"/>
      <c r="G24" s="2190"/>
      <c r="H24" s="2190"/>
      <c r="I24" s="2190"/>
      <c r="J24" s="2191"/>
      <c r="K24" s="3018"/>
      <c r="L24" s="3018"/>
      <c r="M24" s="3018"/>
      <c r="N24" s="2192" t="s">
        <v>2551</v>
      </c>
      <c r="O24" s="2193"/>
      <c r="P24" s="2194">
        <f>SUMPRODUCT((地价!A3:A36=YEAR(G19)&amp;"-"&amp;ROUNDUP(MONTH(G19)/3,0))*(地价!AD2:AH2=N24)*(地价!AD3:AH36))</f>
        <v>0</v>
      </c>
      <c r="Q24" s="3018"/>
      <c r="R24" s="3016"/>
      <c r="S24" s="3016"/>
      <c r="T24" s="3016"/>
      <c r="U24" s="3016"/>
      <c r="V24" s="3016"/>
      <c r="W24" s="3016"/>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6"/>
      <c r="L25" s="3016"/>
      <c r="M25" s="3016"/>
      <c r="N25" s="3019" t="s">
        <v>2554</v>
      </c>
      <c r="O25" s="3020"/>
      <c r="P25" s="3021">
        <f>SUMPRODUCT((地价!A3:A36=YEAR(G19)&amp;"-"&amp;ROUNDUP(MONTH(G19)/3,0))*(地价!AD2:AH2=N25)*(地价!AD3:AH36))</f>
        <v>0</v>
      </c>
      <c r="Q25" s="3016"/>
      <c r="R25" s="3016"/>
      <c r="S25" s="3016"/>
      <c r="T25" s="3016"/>
      <c r="U25" s="3016"/>
      <c r="V25" s="3016"/>
      <c r="W25" s="3016"/>
      <c r="X25" s="1590"/>
      <c r="Y25" s="1590"/>
      <c r="Z25" s="1590"/>
      <c r="AA25" s="1590"/>
      <c r="AB25" s="1590"/>
      <c r="AC25" s="1590"/>
      <c r="AD25" s="1590"/>
      <c r="AE25" s="1590"/>
      <c r="AF25" s="1590"/>
    </row>
    <row r="26" spans="1:35" ht="15">
      <c r="A26" s="1670"/>
      <c r="B26" s="2039" t="s">
        <v>2555</v>
      </c>
      <c r="C26" s="2856">
        <f>IF(B21="容积率修正",E29+SUM(E33:E39),SUM(V2:V16)+SUM(E33:E39))</f>
        <v>0</v>
      </c>
      <c r="D26" s="2197"/>
      <c r="E26" s="2136"/>
      <c r="F26" s="1445"/>
      <c r="G26" s="2136"/>
      <c r="H26" s="2136"/>
      <c r="I26" s="2136"/>
      <c r="J26" s="2198"/>
      <c r="K26" s="3016"/>
      <c r="L26" s="3022" t="s">
        <v>2514</v>
      </c>
      <c r="M26" s="2099" t="s">
        <v>2515</v>
      </c>
      <c r="N26" s="2099" t="s">
        <v>2516</v>
      </c>
      <c r="O26" s="2099" t="s">
        <v>2517</v>
      </c>
      <c r="P26" s="3023" t="s">
        <v>2518</v>
      </c>
      <c r="Q26" s="3016"/>
      <c r="R26" s="3016"/>
      <c r="S26" s="3016"/>
      <c r="T26" s="3016"/>
      <c r="U26" s="3016"/>
      <c r="V26" s="3016"/>
      <c r="W26" s="3016"/>
      <c r="X26" s="1590"/>
      <c r="Y26" s="1590"/>
      <c r="Z26" s="1590"/>
      <c r="AA26" s="1590"/>
      <c r="AB26" s="1590"/>
      <c r="AC26" s="1590"/>
      <c r="AD26" s="1590"/>
      <c r="AE26" s="1590"/>
      <c r="AF26" s="1590"/>
    </row>
    <row r="27" spans="1:35" ht="15.75" thickBot="1">
      <c r="A27" s="1670"/>
      <c r="B27" s="1586" t="s">
        <v>2556</v>
      </c>
      <c r="C27" s="2199">
        <f>E30+SUM(I33:I39)</f>
        <v>0</v>
      </c>
      <c r="D27" s="2148"/>
      <c r="E27" s="2200"/>
      <c r="F27" s="2201"/>
      <c r="G27" s="2200"/>
      <c r="H27" s="2200"/>
      <c r="I27" s="2200"/>
      <c r="J27" s="2202"/>
      <c r="K27" s="3016"/>
      <c r="L27" s="2203" t="s">
        <v>2521</v>
      </c>
      <c r="M27" s="2112">
        <v>0.25</v>
      </c>
      <c r="N27" s="2112">
        <v>0.2</v>
      </c>
      <c r="O27" s="2112">
        <v>0.15</v>
      </c>
      <c r="P27" s="2204">
        <v>0.1</v>
      </c>
      <c r="Q27" s="3016"/>
      <c r="R27" s="3016"/>
      <c r="S27" s="3016"/>
      <c r="T27" s="3016"/>
      <c r="U27" s="3016"/>
      <c r="V27" s="3016"/>
      <c r="W27" s="3016"/>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6"/>
      <c r="L28" s="2208" t="s">
        <v>2524</v>
      </c>
      <c r="M28" s="2209">
        <f>ROUND($E$20*(1+M27),3)</f>
        <v>5.3999999999999999E-2</v>
      </c>
      <c r="N28" s="2209">
        <f>ROUND($E$20*(1+N27),3)</f>
        <v>5.1999999999999998E-2</v>
      </c>
      <c r="O28" s="2209">
        <f>ROUND($E$20*(1+O27),3)</f>
        <v>0.05</v>
      </c>
      <c r="P28" s="2127">
        <f>ROUND($E$20*(1+P27),3)</f>
        <v>4.8000000000000001E-2</v>
      </c>
      <c r="Q28" s="3016"/>
      <c r="R28" s="3016"/>
      <c r="S28" s="3016"/>
      <c r="T28" s="3016"/>
      <c r="U28" s="3016"/>
      <c r="V28" s="3016"/>
      <c r="W28" s="3016"/>
      <c r="X28" s="1590"/>
      <c r="Y28" s="1590"/>
      <c r="Z28" s="1590"/>
      <c r="AA28" s="1590"/>
      <c r="AB28" s="1590"/>
      <c r="AC28" s="1590"/>
      <c r="AD28" s="1590"/>
      <c r="AE28" s="1590"/>
      <c r="AF28" s="1590"/>
    </row>
    <row r="29" spans="1:35">
      <c r="A29" s="2210"/>
      <c r="B29" s="1587" t="s">
        <v>2561</v>
      </c>
      <c r="C29" s="54">
        <f>ROUND(C5*C18*C19*C20*C21*C24,0)</f>
        <v>0</v>
      </c>
      <c r="D29" s="2211">
        <f>项目基本情况!C12</f>
        <v>70.739999999999995</v>
      </c>
      <c r="E29" s="1998">
        <f>ROUND(C29*D29,0)</f>
        <v>0</v>
      </c>
      <c r="F29" s="2212" t="s">
        <v>2562</v>
      </c>
      <c r="G29" s="2213"/>
      <c r="H29" s="2213"/>
      <c r="I29" s="2213"/>
      <c r="J29" s="2214"/>
      <c r="K29" s="3016"/>
      <c r="L29" s="3016"/>
      <c r="M29" s="3016"/>
      <c r="N29" s="3016"/>
      <c r="O29" s="3016"/>
      <c r="P29" s="3016"/>
      <c r="Q29" s="3016"/>
      <c r="R29" s="3016"/>
      <c r="S29" s="3016"/>
      <c r="T29" s="3016"/>
      <c r="U29" s="3016"/>
      <c r="V29" s="3016"/>
      <c r="W29" s="3016"/>
      <c r="X29" s="1590"/>
      <c r="Y29" s="1590"/>
      <c r="Z29" s="1590"/>
      <c r="AA29" s="1590"/>
      <c r="AB29" s="1590"/>
      <c r="AC29" s="1590"/>
      <c r="AD29" s="1590"/>
      <c r="AE29" s="1590"/>
      <c r="AF29" s="1590"/>
    </row>
    <row r="30" spans="1:35" ht="25.5" thickBot="1">
      <c r="A30" s="2215"/>
      <c r="B30" s="1588" t="s">
        <v>2563</v>
      </c>
      <c r="C30" s="2139">
        <f>ROUND(IF(E2="工业",C29*M39,C29*M38),0)</f>
        <v>0</v>
      </c>
      <c r="D30" s="2216"/>
      <c r="E30" s="1998">
        <f>ROUND(C30*D30,0)</f>
        <v>0</v>
      </c>
      <c r="F30" s="2217" t="s">
        <v>2564</v>
      </c>
      <c r="G30" s="2218"/>
      <c r="H30" s="2218"/>
      <c r="I30" s="2218"/>
      <c r="J30" s="2219"/>
      <c r="K30" s="3016"/>
      <c r="L30" s="3016"/>
      <c r="M30" s="3016"/>
      <c r="N30" s="3016"/>
      <c r="O30" s="3016"/>
      <c r="P30" s="3016"/>
      <c r="Q30" s="3016"/>
      <c r="R30" s="3016"/>
      <c r="S30" s="3016"/>
      <c r="T30" s="3016"/>
      <c r="U30" s="3016"/>
      <c r="V30" s="3016"/>
      <c r="W30" s="3016"/>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6"/>
      <c r="L31" s="3016"/>
      <c r="M31" s="3016"/>
      <c r="N31" s="3016"/>
      <c r="O31" s="3016"/>
      <c r="P31" s="3016"/>
      <c r="Q31" s="3016"/>
      <c r="R31" s="3016"/>
      <c r="S31" s="3016"/>
      <c r="T31" s="3016"/>
      <c r="U31" s="3016"/>
      <c r="V31" s="3016"/>
      <c r="W31" s="3016"/>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6"/>
      <c r="L32" s="3016"/>
      <c r="M32" s="3016"/>
      <c r="N32" s="3016"/>
      <c r="O32" s="3016"/>
      <c r="P32" s="3016"/>
      <c r="Q32" s="3016"/>
      <c r="R32" s="3016"/>
      <c r="S32" s="3016"/>
      <c r="T32" s="3016"/>
      <c r="U32" s="3016"/>
      <c r="V32" s="3016"/>
      <c r="W32" s="3016"/>
      <c r="X32" s="1590"/>
      <c r="Y32" s="1590"/>
      <c r="Z32" s="1590"/>
      <c r="AA32" s="1590"/>
      <c r="AB32" s="1590"/>
      <c r="AC32" s="1590"/>
      <c r="AD32" s="1590"/>
      <c r="AE32" s="1590"/>
      <c r="AF32" s="1590"/>
    </row>
    <row r="33" spans="1:33">
      <c r="A33" s="3615" t="s">
        <v>2569</v>
      </c>
      <c r="B33" s="2224" t="s">
        <v>2570</v>
      </c>
      <c r="C33" s="54">
        <f>ROUND(D5*C19*C20*C24*F33,0)</f>
        <v>0</v>
      </c>
      <c r="D33" s="2211"/>
      <c r="E33" s="50">
        <f t="shared" ref="E33:E39" si="6">ROUND(C33*D33,0)</f>
        <v>0</v>
      </c>
      <c r="F33" s="50">
        <f>SUMIF(修正!A45:A56,G2,修正!B45:B56)</f>
        <v>0</v>
      </c>
      <c r="G33" s="50">
        <f t="shared" ref="G33" si="7">ROUND(IF(E2="工业",C33*$M$39,C33*$M$38),0)</f>
        <v>0</v>
      </c>
      <c r="H33" s="50">
        <f>D33</f>
        <v>0</v>
      </c>
      <c r="I33" s="50">
        <f t="shared" ref="I33:I39" si="8">ROUND(G33*H33,0)</f>
        <v>0</v>
      </c>
      <c r="J33" s="2198"/>
      <c r="K33" s="3016"/>
      <c r="L33" s="3016"/>
      <c r="M33" s="3016"/>
      <c r="N33" s="3016"/>
      <c r="O33" s="3016"/>
      <c r="P33" s="3016"/>
      <c r="Q33" s="3016"/>
      <c r="R33" s="3016"/>
      <c r="S33" s="3016"/>
      <c r="T33" s="3016"/>
      <c r="U33" s="3016"/>
      <c r="V33" s="3016"/>
      <c r="W33" s="3016"/>
      <c r="X33" s="1590"/>
      <c r="Y33" s="1590"/>
      <c r="Z33" s="1590"/>
      <c r="AA33" s="1590"/>
      <c r="AB33" s="1590"/>
      <c r="AC33" s="1590"/>
      <c r="AD33" s="1590"/>
      <c r="AE33" s="1590"/>
      <c r="AF33" s="1590"/>
    </row>
    <row r="34" spans="1:33">
      <c r="A34" s="3616"/>
      <c r="B34" s="2129" t="s">
        <v>2571</v>
      </c>
      <c r="C34" s="54">
        <f>ROUND(D5*C19*C20*C24*F34,0)</f>
        <v>0</v>
      </c>
      <c r="D34" s="2211"/>
      <c r="E34" s="50">
        <f t="shared" si="6"/>
        <v>0</v>
      </c>
      <c r="F34" s="50">
        <f>SUMIF(修正!A45:A56,G2,修正!C45:C56)</f>
        <v>0</v>
      </c>
      <c r="G34" s="50">
        <f>ROUND(IF(E2="工业",C34*$M$39,C34*$M$38),0)</f>
        <v>0</v>
      </c>
      <c r="H34" s="50">
        <f t="shared" ref="H34:H39" si="9">D34</f>
        <v>0</v>
      </c>
      <c r="I34" s="50">
        <f t="shared" si="8"/>
        <v>0</v>
      </c>
      <c r="J34" s="2198"/>
      <c r="K34" s="3016"/>
      <c r="L34" s="3016"/>
      <c r="M34" s="3016"/>
      <c r="N34" s="3016"/>
      <c r="O34" s="3016"/>
      <c r="P34" s="3016"/>
      <c r="Q34" s="3016"/>
      <c r="R34" s="3016"/>
      <c r="S34" s="3016"/>
      <c r="T34" s="3016"/>
      <c r="U34" s="3016"/>
      <c r="V34" s="3016"/>
      <c r="W34" s="3016"/>
      <c r="X34" s="1590"/>
      <c r="Y34" s="1590"/>
      <c r="Z34" s="1590"/>
      <c r="AA34" s="1590"/>
      <c r="AB34" s="1590"/>
      <c r="AC34" s="1590"/>
      <c r="AD34" s="1590"/>
      <c r="AE34" s="1590"/>
      <c r="AF34" s="1590"/>
    </row>
    <row r="35" spans="1:33">
      <c r="A35" s="3616"/>
      <c r="B35" s="2129" t="s">
        <v>2572</v>
      </c>
      <c r="C35" s="54">
        <f>ROUND(D5*C19*C20*C24*F35,0)</f>
        <v>0</v>
      </c>
      <c r="D35" s="2211"/>
      <c r="E35" s="50">
        <f t="shared" si="6"/>
        <v>0</v>
      </c>
      <c r="F35" s="50">
        <f>SUMIF(修正!A45:A56,G2,修正!D45:D56)</f>
        <v>0</v>
      </c>
      <c r="G35" s="50">
        <f>ROUND(IF(E2="工业",C35*$M$39,C35*$M$38),0)</f>
        <v>0</v>
      </c>
      <c r="H35" s="50">
        <f t="shared" si="9"/>
        <v>0</v>
      </c>
      <c r="I35" s="50">
        <f t="shared" si="8"/>
        <v>0</v>
      </c>
      <c r="J35" s="2198"/>
      <c r="K35" s="3016"/>
      <c r="L35" s="3016"/>
      <c r="M35" s="3016"/>
      <c r="N35" s="3016"/>
      <c r="O35" s="3016"/>
      <c r="P35" s="3016"/>
      <c r="Q35" s="3016"/>
      <c r="R35" s="3016"/>
      <c r="S35" s="3016"/>
      <c r="T35" s="3016"/>
      <c r="U35" s="3016"/>
      <c r="V35" s="3016"/>
      <c r="W35" s="3016"/>
      <c r="X35" s="1590"/>
      <c r="Y35" s="1590"/>
      <c r="Z35" s="1590"/>
      <c r="AA35" s="1590"/>
      <c r="AB35" s="1590"/>
      <c r="AC35" s="1590"/>
      <c r="AD35" s="1590"/>
      <c r="AE35" s="1590"/>
      <c r="AF35" s="1590"/>
    </row>
    <row r="36" spans="1:33" ht="13.5" thickBot="1">
      <c r="A36" s="3617"/>
      <c r="B36" s="2129" t="s">
        <v>2573</v>
      </c>
      <c r="C36" s="54">
        <f>ROUND(D5*C19*C20*C24*F36,0)</f>
        <v>0</v>
      </c>
      <c r="D36" s="2211"/>
      <c r="E36" s="50">
        <f t="shared" si="6"/>
        <v>0</v>
      </c>
      <c r="F36" s="50">
        <f>SUMIF(修正!A45:A56,G2,修正!E45:E56)</f>
        <v>0</v>
      </c>
      <c r="G36" s="50">
        <f>ROUND(IF(E2="工业",C36*$M$39,C36*$M$38),0)</f>
        <v>0</v>
      </c>
      <c r="H36" s="50">
        <f t="shared" si="9"/>
        <v>0</v>
      </c>
      <c r="I36" s="50">
        <f t="shared" si="8"/>
        <v>0</v>
      </c>
      <c r="J36" s="2198"/>
      <c r="K36" s="3016"/>
      <c r="L36" s="3016"/>
      <c r="M36" s="3016"/>
      <c r="N36" s="3016"/>
      <c r="O36" s="3016"/>
      <c r="P36" s="3016"/>
      <c r="Q36" s="3016"/>
      <c r="R36" s="3016"/>
      <c r="S36" s="3016"/>
      <c r="T36" s="3016"/>
      <c r="U36" s="3016"/>
      <c r="V36" s="3016"/>
      <c r="W36" s="3016"/>
      <c r="X36" s="1590"/>
      <c r="Y36" s="1590"/>
      <c r="Z36" s="1590"/>
      <c r="AA36" s="1590"/>
      <c r="AB36" s="1590"/>
      <c r="AC36" s="1590"/>
      <c r="AD36" s="1590"/>
      <c r="AE36" s="1590"/>
      <c r="AF36" s="1590"/>
    </row>
    <row r="37" spans="1:33">
      <c r="A37" s="2225"/>
      <c r="B37" s="2129" t="s">
        <v>2574</v>
      </c>
      <c r="C37" s="50">
        <f>ROUND(D5*C19*C20*C24*F37,0)</f>
        <v>0</v>
      </c>
      <c r="D37" s="2211"/>
      <c r="E37" s="50">
        <f t="shared" si="6"/>
        <v>0</v>
      </c>
      <c r="F37" s="54">
        <f>SUMIF(修正!A45:A56,G2,修正!F45:F56)</f>
        <v>0</v>
      </c>
      <c r="G37" s="50">
        <f>ROUND(IF(E2="工业",C37*$M$39,C37*$M$38),0)</f>
        <v>0</v>
      </c>
      <c r="H37" s="50">
        <f t="shared" si="9"/>
        <v>0</v>
      </c>
      <c r="I37" s="50">
        <f t="shared" si="8"/>
        <v>0</v>
      </c>
      <c r="J37" s="2198"/>
      <c r="K37" s="3016"/>
      <c r="L37" s="2226" t="s">
        <v>2575</v>
      </c>
      <c r="M37" s="2102"/>
      <c r="N37" s="3016"/>
      <c r="O37" s="3016"/>
      <c r="P37" s="3016"/>
      <c r="Q37" s="3016"/>
      <c r="R37" s="3016"/>
      <c r="S37" s="3016"/>
      <c r="T37" s="3016"/>
      <c r="U37" s="3016"/>
      <c r="V37" s="3016"/>
      <c r="W37" s="3016"/>
      <c r="X37" s="1590"/>
      <c r="Y37" s="1590"/>
      <c r="Z37" s="1590"/>
      <c r="AA37" s="1590"/>
      <c r="AB37" s="1590"/>
      <c r="AC37" s="1590"/>
      <c r="AD37" s="1590"/>
      <c r="AE37" s="1590"/>
      <c r="AF37" s="1590"/>
    </row>
    <row r="38" spans="1:33">
      <c r="A38" s="2225"/>
      <c r="B38" s="2129" t="s">
        <v>2576</v>
      </c>
      <c r="C38" s="50">
        <f>ROUND(D5*C19*C41*C24*F38,0)</f>
        <v>0</v>
      </c>
      <c r="D38" s="2211"/>
      <c r="E38" s="50">
        <f t="shared" si="6"/>
        <v>0</v>
      </c>
      <c r="F38" s="54">
        <f>SUMIF(修正!A45:A56,G2,修正!G45:G56)</f>
        <v>0</v>
      </c>
      <c r="G38" s="50">
        <f>ROUND(IF(E2="工业",C38*$M$39,C38*$M$38),0)</f>
        <v>0</v>
      </c>
      <c r="H38" s="50">
        <f t="shared" si="9"/>
        <v>0</v>
      </c>
      <c r="I38" s="50">
        <f t="shared" si="8"/>
        <v>0</v>
      </c>
      <c r="J38" s="2198"/>
      <c r="K38" s="3016"/>
      <c r="L38" s="2227" t="s">
        <v>2577</v>
      </c>
      <c r="M38" s="2228">
        <v>0.25</v>
      </c>
      <c r="N38" s="3016"/>
      <c r="O38" s="3016"/>
      <c r="P38" s="3016"/>
      <c r="Q38" s="3016"/>
      <c r="R38" s="3016"/>
      <c r="S38" s="3016"/>
      <c r="T38" s="3016"/>
      <c r="U38" s="3016"/>
      <c r="V38" s="3016"/>
      <c r="W38" s="3016"/>
      <c r="X38" s="1590"/>
      <c r="Y38" s="1590"/>
      <c r="Z38" s="1590"/>
      <c r="AA38" s="1590"/>
      <c r="AB38" s="1590"/>
      <c r="AC38" s="1590"/>
      <c r="AD38" s="1590"/>
      <c r="AE38" s="1590"/>
      <c r="AF38" s="1590"/>
    </row>
    <row r="39" spans="1:33" ht="13.5" thickBot="1">
      <c r="A39" s="2215"/>
      <c r="B39" s="2229" t="s">
        <v>2578</v>
      </c>
      <c r="C39" s="2139">
        <f>ROUND(D5*C19*C41*C24*F39,0)</f>
        <v>0</v>
      </c>
      <c r="D39" s="2216"/>
      <c r="E39" s="2139">
        <f t="shared" si="6"/>
        <v>0</v>
      </c>
      <c r="F39" s="56">
        <f>SUMIF(修正!A45:A56,G2,修正!H45:H56)</f>
        <v>0</v>
      </c>
      <c r="G39" s="2139">
        <f>ROUND(IF(E2="工业",C39*$M$39,C39*$M$38),0)</f>
        <v>0</v>
      </c>
      <c r="H39" s="2139">
        <f t="shared" si="9"/>
        <v>0</v>
      </c>
      <c r="I39" s="2139">
        <f t="shared" si="8"/>
        <v>0</v>
      </c>
      <c r="J39" s="2202"/>
      <c r="K39" s="3016"/>
      <c r="L39" s="2230" t="s">
        <v>2518</v>
      </c>
      <c r="M39" s="2231">
        <v>0.15</v>
      </c>
      <c r="N39" s="3016"/>
      <c r="O39" s="3016"/>
      <c r="P39" s="3016"/>
      <c r="Q39" s="3016"/>
      <c r="R39" s="3016"/>
      <c r="S39" s="3016"/>
      <c r="T39" s="3016"/>
      <c r="U39" s="3016"/>
      <c r="V39" s="3016"/>
      <c r="W39" s="3016"/>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6"/>
      <c r="L40" s="3016"/>
      <c r="M40" s="3016"/>
      <c r="N40" s="3016"/>
      <c r="O40" s="3016"/>
      <c r="P40" s="3016"/>
      <c r="Q40" s="3016"/>
      <c r="R40" s="3016"/>
      <c r="S40" s="3016"/>
      <c r="T40" s="3016"/>
      <c r="U40" s="3016"/>
      <c r="V40" s="3016"/>
      <c r="W40" s="3016"/>
      <c r="X40" s="1590"/>
      <c r="Y40" s="1590"/>
      <c r="Z40" s="1590"/>
      <c r="AA40" s="1590"/>
      <c r="AB40" s="1590"/>
      <c r="AC40" s="1590"/>
      <c r="AD40" s="1590"/>
      <c r="AE40" s="1590"/>
      <c r="AF40" s="1590"/>
    </row>
    <row r="41" spans="1:33" s="2232" customFormat="1">
      <c r="A41" s="1590"/>
      <c r="B41" s="2233" t="s">
        <v>2658</v>
      </c>
      <c r="C41" s="50">
        <f>ROUND(POWER(1+E41,H41-G41)*(POWER(1+E41,G41)-1)/(POWER(1+E41,H41)-1),4)</f>
        <v>0</v>
      </c>
      <c r="D41" s="50" t="s">
        <v>2656</v>
      </c>
      <c r="E41" s="2234">
        <f>G20</f>
        <v>5.1999999999999998E-2</v>
      </c>
      <c r="F41" s="50" t="s">
        <v>2657</v>
      </c>
      <c r="G41" s="2235"/>
      <c r="H41" s="50">
        <v>50</v>
      </c>
      <c r="I41" s="1590"/>
      <c r="J41" s="1590"/>
      <c r="K41" s="3016"/>
      <c r="L41" s="3016"/>
      <c r="M41" s="3016"/>
      <c r="N41" s="3016"/>
      <c r="O41" s="3016"/>
      <c r="P41" s="3016"/>
      <c r="Q41" s="3016"/>
      <c r="R41" s="3016"/>
      <c r="S41" s="3016"/>
      <c r="T41" s="3016"/>
      <c r="U41" s="3016"/>
      <c r="V41" s="3016"/>
      <c r="W41" s="3016"/>
      <c r="X41" s="1590"/>
      <c r="Y41" s="1590"/>
      <c r="Z41" s="1590"/>
      <c r="AA41" s="1590"/>
      <c r="AB41" s="1590"/>
      <c r="AC41" s="1590"/>
      <c r="AD41" s="1590"/>
      <c r="AE41" s="1590"/>
      <c r="AF41" s="1590"/>
    </row>
    <row r="42" spans="1:33" s="2232"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0"/>
      <c r="Y42" s="1590"/>
      <c r="Z42" s="1590"/>
      <c r="AA42" s="1590"/>
      <c r="AB42" s="1590"/>
      <c r="AC42" s="1590"/>
      <c r="AD42" s="1590"/>
      <c r="AE42" s="1590"/>
      <c r="AF42" s="1590"/>
    </row>
    <row r="43" spans="1:33" s="2232"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0"/>
      <c r="Y43" s="1590"/>
      <c r="Z43" s="1590"/>
      <c r="AA43" s="1590"/>
      <c r="AB43" s="1590"/>
      <c r="AC43" s="1590"/>
      <c r="AD43" s="1590"/>
      <c r="AE43" s="1590"/>
      <c r="AF43" s="1590"/>
    </row>
    <row r="44" spans="1:33" s="2232"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0"/>
      <c r="Y44" s="1590"/>
      <c r="Z44" s="1590"/>
      <c r="AA44" s="1590"/>
      <c r="AB44" s="1590"/>
      <c r="AC44" s="1590"/>
      <c r="AD44" s="1590"/>
      <c r="AE44" s="1590"/>
      <c r="AF44" s="1590"/>
    </row>
    <row r="45" spans="1:33" s="2232" customFormat="1" ht="15.75" thickBot="1">
      <c r="A45" s="2236" t="s">
        <v>2579</v>
      </c>
      <c r="B45" s="2237"/>
      <c r="C45" s="607"/>
      <c r="D45" s="607"/>
      <c r="E45" s="607"/>
      <c r="F45" s="607"/>
      <c r="G45" s="607"/>
      <c r="H45" s="607"/>
      <c r="I45" s="607"/>
      <c r="J45" s="607"/>
      <c r="K45" s="607"/>
      <c r="L45" s="607"/>
      <c r="M45" s="607"/>
      <c r="N45" s="2067"/>
      <c r="O45" s="1590"/>
      <c r="P45" s="1590"/>
      <c r="Q45" s="3016"/>
      <c r="R45" s="3016"/>
      <c r="S45" s="3016"/>
      <c r="T45" s="3016"/>
      <c r="U45" s="3016"/>
      <c r="V45" s="3016"/>
      <c r="W45" s="3016"/>
      <c r="X45" s="1590"/>
      <c r="Y45" s="1590"/>
      <c r="Z45" s="1590"/>
      <c r="AA45" s="1590"/>
      <c r="AB45" s="1590"/>
      <c r="AC45" s="1590"/>
      <c r="AD45" s="1590"/>
      <c r="AE45" s="1590"/>
      <c r="AF45" s="1590"/>
    </row>
    <row r="46" spans="1:33" s="2232" customFormat="1" ht="15">
      <c r="A46" s="2238" t="s">
        <v>2580</v>
      </c>
      <c r="B46" s="2239">
        <f>1+E48</f>
        <v>1</v>
      </c>
      <c r="C46" s="2240"/>
      <c r="D46" s="2241"/>
      <c r="E46" s="2242"/>
      <c r="F46" s="2243"/>
      <c r="G46" s="607"/>
      <c r="H46" s="607"/>
      <c r="I46" s="607"/>
      <c r="J46" s="607"/>
      <c r="K46" s="607"/>
      <c r="L46" s="607"/>
      <c r="M46" s="2067"/>
      <c r="N46" s="2244"/>
      <c r="O46" s="1590"/>
      <c r="P46" s="1590"/>
      <c r="Q46" s="3016"/>
      <c r="R46" s="3016"/>
      <c r="S46" s="3016"/>
      <c r="T46" s="3016"/>
      <c r="U46" s="3016"/>
      <c r="V46" s="3016"/>
      <c r="W46" s="3016"/>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6"/>
      <c r="R47" s="3016"/>
      <c r="S47" s="3016"/>
      <c r="T47" s="3016"/>
      <c r="U47" s="3016"/>
      <c r="V47" s="3016"/>
      <c r="W47" s="3016"/>
      <c r="X47" s="1590"/>
      <c r="Y47" s="1590"/>
      <c r="Z47" s="1590"/>
      <c r="AA47" s="1590"/>
      <c r="AB47" s="1590"/>
      <c r="AC47" s="1590"/>
      <c r="AD47" s="1590"/>
      <c r="AE47" s="1590"/>
      <c r="AF47" s="1590"/>
      <c r="AG47" s="1590"/>
    </row>
    <row r="48" spans="1:33" s="2232" customFormat="1" ht="38.25">
      <c r="A48" s="2245" t="s">
        <v>2595</v>
      </c>
      <c r="B48" s="2249" t="str">
        <f>估价对象房地状况!C16</f>
        <v>估价对象位于XX商圈，周边商业氛围成熟，人流量大，商业繁华度好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6"/>
      <c r="R48" s="3016"/>
      <c r="S48" s="3016"/>
      <c r="T48" s="3016"/>
      <c r="U48" s="3016"/>
      <c r="V48" s="3016"/>
      <c r="W48" s="3016"/>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6"/>
      <c r="R49" s="3016"/>
      <c r="S49" s="3016"/>
      <c r="T49" s="3016"/>
      <c r="U49" s="3016"/>
      <c r="V49" s="3016"/>
      <c r="W49" s="3016"/>
      <c r="X49" s="1590"/>
      <c r="Y49" s="1590"/>
      <c r="Z49" s="1590"/>
      <c r="AA49" s="1590"/>
      <c r="AB49" s="1590"/>
      <c r="AC49" s="1590"/>
      <c r="AD49" s="1590"/>
      <c r="AE49" s="1590"/>
      <c r="AF49" s="1590"/>
      <c r="AG49" s="1590"/>
    </row>
    <row r="50" spans="1:33" s="2232" customFormat="1" ht="24">
      <c r="A50" s="2245" t="s">
        <v>2597</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6"/>
      <c r="R50" s="3016"/>
      <c r="S50" s="3016"/>
      <c r="T50" s="3016"/>
      <c r="U50" s="3016"/>
      <c r="V50" s="3016"/>
      <c r="W50" s="3016"/>
      <c r="X50" s="1590"/>
      <c r="Y50" s="1590"/>
      <c r="Z50" s="1590"/>
      <c r="AA50" s="1590"/>
      <c r="AB50" s="1590"/>
      <c r="AC50" s="1590"/>
      <c r="AD50" s="1590"/>
      <c r="AE50" s="1590"/>
      <c r="AF50" s="1590"/>
      <c r="AG50" s="1590"/>
    </row>
    <row r="51" spans="1:33" s="2232" customFormat="1" ht="36.75">
      <c r="A51" s="2245" t="s">
        <v>2598</v>
      </c>
      <c r="B51" s="2259" t="s">
        <v>2599</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6"/>
      <c r="R51" s="3016"/>
      <c r="S51" s="3016"/>
      <c r="T51" s="3016"/>
      <c r="U51" s="3016"/>
      <c r="V51" s="3016"/>
      <c r="W51" s="3016"/>
      <c r="X51" s="1590"/>
      <c r="Y51" s="1590"/>
      <c r="Z51" s="1590"/>
      <c r="AA51" s="1590"/>
      <c r="AB51" s="1590"/>
      <c r="AC51" s="1590"/>
      <c r="AD51" s="1590"/>
      <c r="AE51" s="1590"/>
      <c r="AF51" s="1590"/>
      <c r="AG51" s="1590"/>
    </row>
    <row r="52" spans="1:33" s="2232" customFormat="1" ht="24">
      <c r="A52" s="2245" t="s">
        <v>2600</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6"/>
      <c r="R52" s="3016"/>
      <c r="S52" s="3016"/>
      <c r="T52" s="3016"/>
      <c r="U52" s="3016"/>
      <c r="V52" s="3016"/>
      <c r="W52" s="3016"/>
      <c r="X52" s="1590"/>
      <c r="Y52" s="1590"/>
      <c r="Z52" s="1590"/>
      <c r="AA52" s="1590"/>
      <c r="AB52" s="1590"/>
      <c r="AC52" s="1590"/>
      <c r="AD52" s="1590"/>
      <c r="AE52" s="1590"/>
      <c r="AF52" s="1590"/>
      <c r="AG52" s="1590"/>
    </row>
    <row r="53" spans="1:33" s="2232" customFormat="1" ht="24">
      <c r="A53" s="2245" t="s">
        <v>2601</v>
      </c>
      <c r="B53" s="2260" t="s">
        <v>2602</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6"/>
      <c r="R53" s="3016"/>
      <c r="S53" s="3016"/>
      <c r="T53" s="3016"/>
      <c r="U53" s="3016"/>
      <c r="V53" s="3016"/>
      <c r="W53" s="3016"/>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6"/>
      <c r="R54" s="3016"/>
      <c r="S54" s="3016"/>
      <c r="T54" s="3016"/>
      <c r="U54" s="3016"/>
      <c r="V54" s="3016"/>
      <c r="W54" s="3016"/>
      <c r="X54" s="1590"/>
      <c r="Y54" s="1590"/>
      <c r="Z54" s="1590"/>
      <c r="AA54" s="1590"/>
      <c r="AB54" s="1590"/>
      <c r="AC54" s="1590"/>
      <c r="AD54" s="1590"/>
      <c r="AE54" s="1590"/>
      <c r="AF54" s="1590"/>
      <c r="AG54" s="1590"/>
    </row>
    <row r="55" spans="1:33" s="2232" customFormat="1" ht="25.5">
      <c r="A55" s="2261" t="s">
        <v>2604</v>
      </c>
      <c r="B55" s="2257" t="str">
        <f>估价对象房地状况!C22</f>
        <v>估价对象所在区域基础设施水平</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6"/>
      <c r="R55" s="3016"/>
      <c r="S55" s="3016"/>
      <c r="T55" s="3016"/>
      <c r="U55" s="3016"/>
      <c r="V55" s="3016"/>
      <c r="W55" s="3016"/>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6"/>
      <c r="R56" s="3016"/>
      <c r="S56" s="3016"/>
      <c r="T56" s="3016"/>
      <c r="U56" s="3016"/>
      <c r="V56" s="3016"/>
      <c r="W56" s="3016"/>
      <c r="X56" s="1590"/>
      <c r="Y56" s="1590"/>
      <c r="Z56" s="1590"/>
      <c r="AA56" s="1590"/>
      <c r="AB56" s="1590"/>
      <c r="AC56" s="1590"/>
      <c r="AD56" s="1590"/>
      <c r="AE56" s="1590"/>
      <c r="AF56" s="1590"/>
      <c r="AG56" s="1590"/>
    </row>
    <row r="57" spans="1:33" s="2232" customFormat="1" ht="15">
      <c r="A57" s="2238" t="s">
        <v>2606</v>
      </c>
      <c r="B57" s="2267">
        <f>1+E59</f>
        <v>1.05</v>
      </c>
      <c r="C57" s="2241"/>
      <c r="D57" s="2241"/>
      <c r="E57" s="2242"/>
      <c r="F57" s="2243"/>
      <c r="G57" s="607"/>
      <c r="H57" s="607"/>
      <c r="I57" s="607"/>
      <c r="J57" s="607"/>
      <c r="K57" s="607"/>
      <c r="L57" s="607"/>
      <c r="M57" s="607"/>
      <c r="N57" s="607"/>
      <c r="O57" s="1590"/>
      <c r="P57" s="1590"/>
      <c r="Q57" s="3016"/>
      <c r="R57" s="3016"/>
      <c r="S57" s="3016"/>
      <c r="T57" s="3016"/>
      <c r="U57" s="3016"/>
      <c r="V57" s="3016"/>
      <c r="W57" s="3016"/>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2249</v>
      </c>
      <c r="K58" s="1873" t="s">
        <v>2250</v>
      </c>
      <c r="L58" s="1873" t="s">
        <v>2251</v>
      </c>
      <c r="M58" s="1873" t="s">
        <v>2252</v>
      </c>
      <c r="N58" s="1873" t="s">
        <v>2253</v>
      </c>
      <c r="O58" s="1590"/>
      <c r="P58" s="1590"/>
      <c r="Q58" s="3016"/>
      <c r="R58" s="3016"/>
      <c r="S58" s="3016"/>
      <c r="T58" s="3016"/>
      <c r="U58" s="3016"/>
      <c r="V58" s="3016"/>
      <c r="W58" s="3016"/>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t="s">
        <v>31</v>
      </c>
      <c r="D59" s="2250">
        <f t="shared" ref="D59:D67" si="15">SUMIF($J$58:$N$58,C59,J59:N59)</f>
        <v>0</v>
      </c>
      <c r="E59" s="2251">
        <f>ROUND(SUM(D59:D67),4)</f>
        <v>0.05</v>
      </c>
      <c r="F59" s="2252">
        <f>IF(E2="办公",SUMIF(L1:L12,G2,N1:N12),"——")</f>
        <v>0</v>
      </c>
      <c r="G59" s="2253">
        <v>1.5599999999999999E-2</v>
      </c>
      <c r="H59" s="2254">
        <f t="shared" ref="H59:H67" si="16">IFERROR(ROUNDDOWN($F$59*I59/2,4),"——")</f>
        <v>0</v>
      </c>
      <c r="I59" s="2255">
        <v>0.24</v>
      </c>
      <c r="J59" s="2256">
        <f t="shared" ref="J59:J67" si="17">K59+$G59</f>
        <v>3.1199999999999999E-2</v>
      </c>
      <c r="K59" s="2256">
        <f t="shared" ref="K59:K67" si="18">$L59+$G59</f>
        <v>1.5599999999999999E-2</v>
      </c>
      <c r="L59" s="2256">
        <v>0</v>
      </c>
      <c r="M59" s="2256">
        <f t="shared" ref="M59:N67" si="19">L59-$G59</f>
        <v>-1.5599999999999999E-2</v>
      </c>
      <c r="N59" s="2256">
        <f t="shared" si="19"/>
        <v>-3.1199999999999999E-2</v>
      </c>
      <c r="O59" s="1590"/>
      <c r="P59" s="1590"/>
      <c r="Q59" s="3016"/>
      <c r="R59" s="3016"/>
      <c r="S59" s="3016"/>
      <c r="T59" s="3016"/>
      <c r="U59" s="3016"/>
      <c r="V59" s="3016"/>
      <c r="W59" s="3016"/>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估价对象周边道路状况、公共交通通达情况、停车便捷程度，综合评价交通便捷度较好</v>
      </c>
      <c r="C60" s="2133" t="s">
        <v>30</v>
      </c>
      <c r="D60" s="2250">
        <f t="shared" si="15"/>
        <v>1.95E-2</v>
      </c>
      <c r="E60" s="2258"/>
      <c r="F60" s="2252"/>
      <c r="G60" s="2253">
        <v>1.95E-2</v>
      </c>
      <c r="H60" s="2254">
        <f t="shared" si="16"/>
        <v>0</v>
      </c>
      <c r="I60" s="2255">
        <v>0.3</v>
      </c>
      <c r="J60" s="2256">
        <f t="shared" si="17"/>
        <v>3.9E-2</v>
      </c>
      <c r="K60" s="2256">
        <f t="shared" si="18"/>
        <v>1.95E-2</v>
      </c>
      <c r="L60" s="2256">
        <v>0</v>
      </c>
      <c r="M60" s="2256">
        <f t="shared" si="19"/>
        <v>-1.95E-2</v>
      </c>
      <c r="N60" s="2256">
        <f t="shared" si="19"/>
        <v>-3.9E-2</v>
      </c>
      <c r="O60" s="1590"/>
      <c r="P60" s="1590"/>
      <c r="Q60" s="3016"/>
      <c r="R60" s="3016"/>
      <c r="S60" s="3016"/>
      <c r="T60" s="3016"/>
      <c r="U60" s="3016"/>
      <c r="V60" s="3016"/>
      <c r="W60" s="3016"/>
      <c r="X60" s="1590"/>
      <c r="Y60" s="1590"/>
      <c r="Z60" s="1590"/>
      <c r="AA60" s="1590"/>
      <c r="AB60" s="1590"/>
      <c r="AC60" s="1590"/>
      <c r="AD60" s="1590"/>
      <c r="AE60" s="1590"/>
      <c r="AF60" s="1590"/>
      <c r="AG60" s="1590"/>
    </row>
    <row r="61" spans="1:33" s="2232" customFormat="1" ht="24">
      <c r="A61" s="2245" t="s">
        <v>2597</v>
      </c>
      <c r="B61" s="2257">
        <f>估价对象房地状况!C19</f>
        <v>0</v>
      </c>
      <c r="C61" s="2133" t="s">
        <v>30</v>
      </c>
      <c r="D61" s="2250">
        <f t="shared" si="15"/>
        <v>5.1999999999999998E-3</v>
      </c>
      <c r="E61" s="2258"/>
      <c r="F61" s="2252"/>
      <c r="G61" s="2253">
        <v>5.1999999999999998E-3</v>
      </c>
      <c r="H61" s="2254">
        <f t="shared" si="16"/>
        <v>0</v>
      </c>
      <c r="I61" s="2255">
        <v>0.08</v>
      </c>
      <c r="J61" s="2256">
        <f t="shared" si="17"/>
        <v>1.04E-2</v>
      </c>
      <c r="K61" s="2256">
        <f t="shared" si="18"/>
        <v>5.1999999999999998E-3</v>
      </c>
      <c r="L61" s="2256">
        <v>0</v>
      </c>
      <c r="M61" s="2256">
        <f t="shared" si="19"/>
        <v>-5.1999999999999998E-3</v>
      </c>
      <c r="N61" s="2256">
        <f t="shared" si="19"/>
        <v>-1.04E-2</v>
      </c>
      <c r="O61" s="1590"/>
      <c r="P61" s="1590"/>
      <c r="Q61" s="3016"/>
      <c r="R61" s="3016"/>
      <c r="S61" s="3016"/>
      <c r="T61" s="3016"/>
      <c r="U61" s="3016"/>
      <c r="V61" s="3016"/>
      <c r="W61" s="3016"/>
      <c r="X61" s="1590"/>
      <c r="Y61" s="1590"/>
      <c r="Z61" s="1590"/>
      <c r="AA61" s="1590"/>
      <c r="AB61" s="1590"/>
      <c r="AC61" s="1590"/>
      <c r="AD61" s="1590"/>
      <c r="AE61" s="1590"/>
      <c r="AF61" s="1590"/>
      <c r="AG61" s="1590"/>
    </row>
    <row r="62" spans="1:33" s="2232" customFormat="1" ht="36.75">
      <c r="A62" s="2245" t="s">
        <v>2598</v>
      </c>
      <c r="B62" s="2259" t="s">
        <v>2599</v>
      </c>
      <c r="C62" s="2133" t="s">
        <v>30</v>
      </c>
      <c r="D62" s="2250">
        <f t="shared" si="15"/>
        <v>2.5999999999999999E-3</v>
      </c>
      <c r="E62" s="2258"/>
      <c r="F62" s="2252"/>
      <c r="G62" s="2253">
        <v>2.5999999999999999E-3</v>
      </c>
      <c r="H62" s="2254">
        <f t="shared" si="16"/>
        <v>0</v>
      </c>
      <c r="I62" s="2255">
        <v>0.04</v>
      </c>
      <c r="J62" s="2256">
        <f t="shared" si="17"/>
        <v>5.1999999999999998E-3</v>
      </c>
      <c r="K62" s="2256">
        <f t="shared" si="18"/>
        <v>2.5999999999999999E-3</v>
      </c>
      <c r="L62" s="2256">
        <v>0</v>
      </c>
      <c r="M62" s="2256">
        <f t="shared" si="19"/>
        <v>-2.5999999999999999E-3</v>
      </c>
      <c r="N62" s="2256">
        <f t="shared" si="19"/>
        <v>-5.1999999999999998E-3</v>
      </c>
      <c r="O62" s="1590"/>
      <c r="P62" s="1590"/>
      <c r="Q62" s="3016"/>
      <c r="R62" s="3016"/>
      <c r="S62" s="3016"/>
      <c r="T62" s="3016"/>
      <c r="U62" s="3016"/>
      <c r="V62" s="3016"/>
      <c r="W62" s="3016"/>
      <c r="X62" s="1590"/>
      <c r="Y62" s="1590"/>
      <c r="Z62" s="1590"/>
      <c r="AA62" s="1590"/>
      <c r="AB62" s="1590"/>
      <c r="AC62" s="1590"/>
      <c r="AD62" s="1590"/>
      <c r="AE62" s="1590"/>
      <c r="AF62" s="1590"/>
      <c r="AG62" s="1590"/>
    </row>
    <row r="63" spans="1:33" s="2232" customFormat="1" ht="24">
      <c r="A63" s="2245" t="s">
        <v>2600</v>
      </c>
      <c r="B63" s="2257">
        <f>估价对象房地状况!C24</f>
        <v>0</v>
      </c>
      <c r="C63" s="2133" t="s">
        <v>31</v>
      </c>
      <c r="D63" s="2250">
        <f t="shared" si="15"/>
        <v>0</v>
      </c>
      <c r="E63" s="2258"/>
      <c r="F63" s="2252"/>
      <c r="G63" s="2253">
        <v>3.2000000000000002E-3</v>
      </c>
      <c r="H63" s="2254">
        <f t="shared" si="16"/>
        <v>0</v>
      </c>
      <c r="I63" s="2255">
        <v>0.05</v>
      </c>
      <c r="J63" s="2256">
        <f t="shared" si="17"/>
        <v>6.4000000000000003E-3</v>
      </c>
      <c r="K63" s="2256">
        <f t="shared" si="18"/>
        <v>3.2000000000000002E-3</v>
      </c>
      <c r="L63" s="2256">
        <v>0</v>
      </c>
      <c r="M63" s="2256">
        <f t="shared" si="19"/>
        <v>-3.2000000000000002E-3</v>
      </c>
      <c r="N63" s="2256">
        <f t="shared" si="19"/>
        <v>-6.4000000000000003E-3</v>
      </c>
      <c r="O63" s="1590"/>
      <c r="P63" s="1590"/>
      <c r="Q63" s="3016"/>
      <c r="R63" s="3016"/>
      <c r="S63" s="3016"/>
      <c r="T63" s="3016"/>
      <c r="U63" s="3016"/>
      <c r="V63" s="3016"/>
      <c r="W63" s="3016"/>
      <c r="X63" s="1590"/>
      <c r="Y63" s="1590"/>
      <c r="Z63" s="1590"/>
      <c r="AA63" s="1590"/>
      <c r="AB63" s="1590"/>
      <c r="AC63" s="1590"/>
      <c r="AD63" s="1590"/>
      <c r="AE63" s="1590"/>
      <c r="AF63" s="1590"/>
      <c r="AG63" s="1590"/>
    </row>
    <row r="64" spans="1:33" s="2232" customFormat="1" ht="24">
      <c r="A64" s="2245" t="s">
        <v>2601</v>
      </c>
      <c r="B64" s="2260" t="s">
        <v>2602</v>
      </c>
      <c r="C64" s="2133" t="s">
        <v>30</v>
      </c>
      <c r="D64" s="2250">
        <f t="shared" si="15"/>
        <v>3.2000000000000002E-3</v>
      </c>
      <c r="E64" s="2258"/>
      <c r="F64" s="2252"/>
      <c r="G64" s="2253">
        <v>3.2000000000000002E-3</v>
      </c>
      <c r="H64" s="2254">
        <f t="shared" si="16"/>
        <v>0</v>
      </c>
      <c r="I64" s="2255">
        <v>0.05</v>
      </c>
      <c r="J64" s="2256">
        <f t="shared" si="17"/>
        <v>6.4000000000000003E-3</v>
      </c>
      <c r="K64" s="2256">
        <f t="shared" si="18"/>
        <v>3.2000000000000002E-3</v>
      </c>
      <c r="L64" s="2256">
        <v>0</v>
      </c>
      <c r="M64" s="2256">
        <f t="shared" si="19"/>
        <v>-3.2000000000000002E-3</v>
      </c>
      <c r="N64" s="2256">
        <f t="shared" si="19"/>
        <v>-6.4000000000000003E-3</v>
      </c>
      <c r="O64" s="1590"/>
      <c r="P64" s="1590"/>
      <c r="Q64" s="3016"/>
      <c r="R64" s="3016"/>
      <c r="S64" s="3016"/>
      <c r="T64" s="3016"/>
      <c r="U64" s="3016"/>
      <c r="V64" s="3016"/>
      <c r="W64" s="3016"/>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v>
      </c>
      <c r="C65" s="2133" t="s">
        <v>31</v>
      </c>
      <c r="D65" s="2250">
        <f t="shared" si="15"/>
        <v>0</v>
      </c>
      <c r="E65" s="2258"/>
      <c r="F65" s="2252"/>
      <c r="G65" s="2253">
        <v>3.8999999999999998E-3</v>
      </c>
      <c r="H65" s="2254">
        <f t="shared" si="16"/>
        <v>0</v>
      </c>
      <c r="I65" s="2255">
        <v>0.06</v>
      </c>
      <c r="J65" s="2256">
        <f t="shared" si="17"/>
        <v>7.7999999999999996E-3</v>
      </c>
      <c r="K65" s="2256">
        <f t="shared" si="18"/>
        <v>3.8999999999999998E-3</v>
      </c>
      <c r="L65" s="2256">
        <v>0</v>
      </c>
      <c r="M65" s="2256">
        <f t="shared" si="19"/>
        <v>-3.8999999999999998E-3</v>
      </c>
      <c r="N65" s="2256">
        <f t="shared" si="19"/>
        <v>-7.7999999999999996E-3</v>
      </c>
      <c r="O65" s="1590"/>
      <c r="P65" s="1590"/>
      <c r="Q65" s="3016"/>
      <c r="R65" s="3016"/>
      <c r="S65" s="3016"/>
      <c r="T65" s="3016"/>
      <c r="U65" s="3016"/>
      <c r="V65" s="3016"/>
      <c r="W65" s="3016"/>
      <c r="X65" s="1590"/>
      <c r="Y65" s="1590"/>
      <c r="Z65" s="1590"/>
      <c r="AA65" s="1590"/>
      <c r="AB65" s="1590"/>
      <c r="AC65" s="1590"/>
      <c r="AD65" s="1590"/>
      <c r="AE65" s="1590"/>
      <c r="AF65" s="1590"/>
      <c r="AG65" s="1590"/>
    </row>
    <row r="66" spans="1:33" s="2232" customFormat="1" ht="25.5">
      <c r="A66" s="2245" t="s">
        <v>2604</v>
      </c>
      <c r="B66" s="2262" t="str">
        <f>估价对象房地状况!C22</f>
        <v>估价对象所在区域基础设施水平</v>
      </c>
      <c r="C66" s="2133" t="s">
        <v>29</v>
      </c>
      <c r="D66" s="2250">
        <f t="shared" si="15"/>
        <v>1.5599999999999999E-2</v>
      </c>
      <c r="E66" s="2258"/>
      <c r="F66" s="2252"/>
      <c r="G66" s="2253">
        <v>7.7999999999999996E-3</v>
      </c>
      <c r="H66" s="2254">
        <f t="shared" si="16"/>
        <v>0</v>
      </c>
      <c r="I66" s="2255">
        <v>0.12</v>
      </c>
      <c r="J66" s="2256">
        <f t="shared" si="17"/>
        <v>1.5599999999999999E-2</v>
      </c>
      <c r="K66" s="2256">
        <f t="shared" si="18"/>
        <v>7.7999999999999996E-3</v>
      </c>
      <c r="L66" s="2256">
        <v>0</v>
      </c>
      <c r="M66" s="2256">
        <f t="shared" si="19"/>
        <v>-7.7999999999999996E-3</v>
      </c>
      <c r="N66" s="2256">
        <f t="shared" si="19"/>
        <v>-1.5599999999999999E-2</v>
      </c>
      <c r="O66" s="1590"/>
      <c r="P66" s="1590"/>
      <c r="Q66" s="3016"/>
      <c r="R66" s="3016"/>
      <c r="S66" s="3016"/>
      <c r="T66" s="3016"/>
      <c r="U66" s="3016"/>
      <c r="V66" s="3016"/>
      <c r="W66" s="3016"/>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t="s">
        <v>30</v>
      </c>
      <c r="D67" s="2250">
        <f t="shared" si="15"/>
        <v>3.8999999999999998E-3</v>
      </c>
      <c r="E67" s="2265"/>
      <c r="F67" s="2252"/>
      <c r="G67" s="2253">
        <v>3.8999999999999998E-3</v>
      </c>
      <c r="H67" s="2254">
        <f t="shared" si="16"/>
        <v>0</v>
      </c>
      <c r="I67" s="2266">
        <v>0.06</v>
      </c>
      <c r="J67" s="2256">
        <f t="shared" si="17"/>
        <v>7.7999999999999996E-3</v>
      </c>
      <c r="K67" s="2256">
        <f t="shared" si="18"/>
        <v>3.8999999999999998E-3</v>
      </c>
      <c r="L67" s="2256">
        <v>0</v>
      </c>
      <c r="M67" s="2256">
        <f t="shared" si="19"/>
        <v>-3.8999999999999998E-3</v>
      </c>
      <c r="N67" s="2256">
        <f t="shared" si="19"/>
        <v>-7.7999999999999996E-3</v>
      </c>
      <c r="O67" s="1590"/>
      <c r="P67" s="1590"/>
      <c r="Q67" s="3016"/>
      <c r="R67" s="3016"/>
      <c r="S67" s="3016"/>
      <c r="T67" s="3016"/>
      <c r="U67" s="3016"/>
      <c r="V67" s="3016"/>
      <c r="W67" s="3016"/>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7"/>
      <c r="H68" s="607"/>
      <c r="I68" s="607"/>
      <c r="J68" s="607"/>
      <c r="K68" s="607"/>
      <c r="L68" s="607"/>
      <c r="M68" s="607"/>
      <c r="N68" s="607"/>
      <c r="O68" s="1590"/>
      <c r="P68" s="1590"/>
      <c r="Q68" s="3016"/>
      <c r="R68" s="3016"/>
      <c r="S68" s="3016"/>
      <c r="T68" s="3016"/>
      <c r="U68" s="3016"/>
      <c r="V68" s="3016"/>
      <c r="W68" s="3016"/>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2249</v>
      </c>
      <c r="K69" s="1873" t="s">
        <v>2250</v>
      </c>
      <c r="L69" s="1873" t="s">
        <v>2251</v>
      </c>
      <c r="M69" s="1873" t="s">
        <v>2252</v>
      </c>
      <c r="N69" s="1873" t="s">
        <v>2253</v>
      </c>
      <c r="O69" s="1590"/>
      <c r="P69" s="1590"/>
      <c r="Q69" s="3016"/>
      <c r="R69" s="3016"/>
      <c r="S69" s="3016"/>
      <c r="T69" s="3016"/>
      <c r="U69" s="3016"/>
      <c r="V69" s="3016"/>
      <c r="W69" s="3016"/>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6"/>
      <c r="R70" s="3016"/>
      <c r="S70" s="3016"/>
      <c r="T70" s="3016"/>
      <c r="U70" s="3016"/>
      <c r="V70" s="3016"/>
      <c r="W70" s="3016"/>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6"/>
      <c r="R71" s="3016"/>
      <c r="S71" s="3016"/>
      <c r="T71" s="3016"/>
      <c r="U71" s="3016"/>
      <c r="V71" s="3016"/>
      <c r="W71" s="3016"/>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6"/>
      <c r="R72" s="3016"/>
      <c r="S72" s="3016"/>
      <c r="T72" s="3016"/>
      <c r="U72" s="3016"/>
      <c r="V72" s="3016"/>
      <c r="W72" s="3016"/>
      <c r="X72" s="1590"/>
      <c r="Y72" s="1590"/>
      <c r="Z72" s="1590"/>
      <c r="AA72" s="1590"/>
      <c r="AB72" s="1590"/>
      <c r="AC72" s="1590"/>
      <c r="AD72" s="1590"/>
      <c r="AE72" s="1590"/>
      <c r="AF72" s="1590"/>
      <c r="AG72" s="1590"/>
    </row>
    <row r="73" spans="1:33" s="2232" customFormat="1" ht="14.25">
      <c r="A73" s="2245" t="s">
        <v>2613</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6"/>
      <c r="R73" s="3016"/>
      <c r="S73" s="3016"/>
      <c r="T73" s="3016"/>
      <c r="U73" s="3016"/>
      <c r="V73" s="3016"/>
      <c r="W73" s="3016"/>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6"/>
      <c r="R74" s="3016"/>
      <c r="S74" s="3016"/>
      <c r="T74" s="3016"/>
      <c r="U74" s="3016"/>
      <c r="V74" s="3016"/>
      <c r="W74" s="3016"/>
      <c r="X74" s="1590"/>
      <c r="Y74" s="1590"/>
      <c r="Z74" s="1590"/>
      <c r="AA74" s="1590"/>
      <c r="AB74" s="1590"/>
      <c r="AC74" s="1590"/>
      <c r="AD74" s="1590"/>
      <c r="AE74" s="1590"/>
      <c r="AF74" s="1590"/>
      <c r="AG74" s="1590"/>
    </row>
    <row r="75" spans="1:33" s="2232" customFormat="1" ht="25.5">
      <c r="A75" s="2245" t="s">
        <v>2604</v>
      </c>
      <c r="B75" s="2262" t="str">
        <f>估价对象房地状况!C22</f>
        <v>估价对象所在区域基础设施水平</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6"/>
      <c r="R75" s="3016"/>
      <c r="S75" s="3016"/>
      <c r="T75" s="3016"/>
      <c r="U75" s="3016"/>
      <c r="V75" s="3016"/>
      <c r="W75" s="3016"/>
      <c r="X75" s="1590"/>
      <c r="Y75" s="1590"/>
      <c r="Z75" s="1590"/>
      <c r="AA75" s="1590"/>
      <c r="AB75" s="1590"/>
      <c r="AC75" s="1590"/>
      <c r="AD75" s="1590"/>
      <c r="AE75" s="1590"/>
      <c r="AF75" s="1590"/>
      <c r="AG75" s="1590"/>
    </row>
    <row r="76" spans="1:33" ht="24">
      <c r="A76" s="2245" t="s">
        <v>2601</v>
      </c>
      <c r="B76" s="2260" t="s">
        <v>2602</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4"/>
      <c r="R76" s="3024"/>
      <c r="S76" s="3024"/>
      <c r="T76" s="3024"/>
      <c r="U76" s="3024"/>
      <c r="V76" s="3024"/>
      <c r="W76" s="3024"/>
      <c r="AA76" s="1591"/>
      <c r="AG76" s="2232"/>
    </row>
    <row r="77" spans="1:33" ht="38.25">
      <c r="A77" s="2245" t="s">
        <v>2605</v>
      </c>
      <c r="B77" s="2249" t="str">
        <f>估价对象房地状况!C20</f>
        <v>区域自然环境：；人文环境；综合评价环境状况一般</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4"/>
      <c r="R77" s="3024"/>
      <c r="S77" s="3024"/>
      <c r="T77" s="3024"/>
      <c r="U77" s="3024"/>
      <c r="V77" s="3024"/>
      <c r="W77" s="3024"/>
      <c r="AA77" s="1591"/>
      <c r="AG77" s="2232"/>
    </row>
    <row r="78" spans="1:33" ht="24.75" thickBot="1">
      <c r="A78" s="2263" t="s">
        <v>2614</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4"/>
      <c r="R78" s="3024"/>
      <c r="S78" s="3024"/>
      <c r="T78" s="3024"/>
      <c r="U78" s="3024"/>
      <c r="V78" s="3024"/>
      <c r="W78" s="3024"/>
      <c r="AA78" s="1591"/>
      <c r="AG78" s="2232"/>
    </row>
    <row r="79" spans="1:33" ht="15">
      <c r="A79" s="2238" t="s">
        <v>2615</v>
      </c>
      <c r="B79" s="2267">
        <f>1+E81</f>
        <v>1</v>
      </c>
      <c r="C79" s="2241"/>
      <c r="D79" s="2241"/>
      <c r="E79" s="2242"/>
      <c r="F79" s="2243"/>
      <c r="G79" s="607"/>
      <c r="H79" s="607"/>
      <c r="I79" s="607"/>
      <c r="J79" s="607"/>
      <c r="K79" s="607"/>
      <c r="L79" s="607"/>
      <c r="M79" s="607"/>
      <c r="N79" s="607"/>
      <c r="Q79" s="3024"/>
      <c r="R79" s="3024"/>
      <c r="S79" s="3024"/>
      <c r="T79" s="3024"/>
      <c r="U79" s="3024"/>
      <c r="V79" s="3024"/>
      <c r="W79" s="3024"/>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2249</v>
      </c>
      <c r="K80" s="1873" t="s">
        <v>2250</v>
      </c>
      <c r="L80" s="1873" t="s">
        <v>2251</v>
      </c>
      <c r="M80" s="1873" t="s">
        <v>2252</v>
      </c>
      <c r="N80" s="1873" t="s">
        <v>2253</v>
      </c>
      <c r="Q80" s="3024"/>
      <c r="R80" s="3024"/>
      <c r="S80" s="3024"/>
      <c r="T80" s="3024"/>
      <c r="U80" s="3024"/>
      <c r="V80" s="3024"/>
      <c r="W80" s="3024"/>
      <c r="AA80" s="1591"/>
      <c r="AG80" s="2232"/>
    </row>
    <row r="81" spans="1:33" ht="38.25">
      <c r="A81" s="2245" t="s">
        <v>2616</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4"/>
      <c r="R81" s="3024"/>
      <c r="S81" s="3024"/>
      <c r="T81" s="3024"/>
      <c r="U81" s="3024"/>
      <c r="V81" s="3024"/>
      <c r="W81" s="3024"/>
      <c r="AA81" s="1591"/>
      <c r="AG81" s="2232"/>
    </row>
    <row r="82" spans="1:33" ht="51">
      <c r="A82" s="2245" t="s">
        <v>2596</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4"/>
      <c r="R82" s="3024"/>
      <c r="S82" s="3024"/>
      <c r="T82" s="3024"/>
      <c r="U82" s="3024"/>
      <c r="V82" s="3024"/>
      <c r="W82" s="3024"/>
      <c r="AA82" s="1591"/>
      <c r="AG82" s="2232"/>
    </row>
    <row r="83" spans="1:33" ht="24">
      <c r="A83" s="2245" t="s">
        <v>2597</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4"/>
      <c r="R83" s="3024"/>
      <c r="S83" s="3024"/>
      <c r="T83" s="3024"/>
      <c r="U83" s="3024"/>
      <c r="V83" s="3024"/>
      <c r="W83" s="3024"/>
      <c r="AA83" s="1591"/>
      <c r="AG83" s="2232"/>
    </row>
    <row r="84" spans="1:33" ht="14.25">
      <c r="A84" s="2245" t="s">
        <v>2613</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4"/>
      <c r="R84" s="3024"/>
      <c r="S84" s="3024"/>
      <c r="T84" s="3024"/>
      <c r="U84" s="3024"/>
      <c r="V84" s="3024"/>
      <c r="W84" s="3024"/>
      <c r="AA84" s="1591"/>
      <c r="AG84" s="2232"/>
    </row>
    <row r="85" spans="1:33" ht="25.5">
      <c r="A85" s="2245" t="s">
        <v>2603</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4"/>
      <c r="R85" s="3024"/>
      <c r="S85" s="3024"/>
      <c r="T85" s="3024"/>
      <c r="U85" s="3024"/>
      <c r="V85" s="3024"/>
      <c r="W85" s="3024"/>
      <c r="AA85" s="1591"/>
      <c r="AG85" s="2232"/>
    </row>
    <row r="86" spans="1:33" ht="25.5">
      <c r="A86" s="2245" t="s">
        <v>2604</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4"/>
      <c r="R86" s="3024"/>
      <c r="S86" s="3024"/>
      <c r="T86" s="3024"/>
      <c r="U86" s="3024"/>
      <c r="V86" s="3024"/>
      <c r="W86" s="3024"/>
      <c r="AA86" s="1591"/>
      <c r="AG86" s="2232"/>
    </row>
    <row r="87" spans="1:33" ht="24">
      <c r="A87" s="2245" t="s">
        <v>2601</v>
      </c>
      <c r="B87" s="2260" t="s">
        <v>2602</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4"/>
      <c r="R87" s="3024"/>
      <c r="S87" s="3024"/>
      <c r="T87" s="3024"/>
      <c r="U87" s="3024"/>
      <c r="V87" s="3024"/>
      <c r="W87" s="3024"/>
      <c r="AA87" s="1591"/>
      <c r="AG87" s="2232"/>
    </row>
    <row r="88" spans="1:33" ht="39" thickBot="1">
      <c r="A88" s="2263" t="s">
        <v>2617</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4"/>
      <c r="R88" s="3024"/>
      <c r="S88" s="3024"/>
      <c r="T88" s="3024"/>
      <c r="U88" s="3024"/>
      <c r="V88" s="3024"/>
      <c r="W88" s="3024"/>
      <c r="AA88" s="1591"/>
      <c r="AG88" s="2232"/>
    </row>
    <row r="89" spans="1:33">
      <c r="Q89" s="3024"/>
      <c r="R89" s="3024"/>
      <c r="S89" s="3024"/>
      <c r="T89" s="3024"/>
      <c r="U89" s="3024"/>
      <c r="V89" s="3024"/>
      <c r="W89" s="3024"/>
    </row>
    <row r="90" spans="1:33">
      <c r="A90" s="3607" t="s">
        <v>2618</v>
      </c>
      <c r="B90" s="3607"/>
      <c r="C90" s="3607"/>
      <c r="D90" s="3607"/>
      <c r="E90" s="3607"/>
      <c r="F90" s="3607"/>
      <c r="G90" s="3607"/>
      <c r="H90" s="3607"/>
      <c r="I90" s="3607"/>
      <c r="J90" s="3607"/>
      <c r="K90" s="2273"/>
      <c r="L90" s="2273"/>
      <c r="M90" s="2273"/>
      <c r="N90" s="2273"/>
      <c r="Q90" s="3024"/>
      <c r="R90" s="3024"/>
      <c r="S90" s="3024"/>
      <c r="T90" s="3024"/>
      <c r="U90" s="3024"/>
      <c r="V90" s="3024"/>
      <c r="W90" s="3024"/>
    </row>
    <row r="91" spans="1:33">
      <c r="A91" s="3609" t="s">
        <v>2619</v>
      </c>
      <c r="B91" s="3609" t="s">
        <v>2620</v>
      </c>
      <c r="C91" s="2212" t="s">
        <v>2621</v>
      </c>
      <c r="D91" s="2213"/>
      <c r="E91" s="2213"/>
      <c r="F91" s="2213"/>
      <c r="G91" s="2213"/>
      <c r="H91" s="2213"/>
      <c r="I91" s="2213"/>
      <c r="J91" s="2275"/>
      <c r="K91" s="2035"/>
      <c r="L91" s="2035"/>
      <c r="M91" s="2035"/>
      <c r="N91" s="2035"/>
      <c r="Q91" s="3024"/>
      <c r="R91" s="3024"/>
      <c r="S91" s="3024"/>
      <c r="T91" s="3024"/>
      <c r="U91" s="3024"/>
      <c r="V91" s="3024"/>
      <c r="W91" s="3024"/>
    </row>
    <row r="92" spans="1:33">
      <c r="A92" s="3609"/>
      <c r="B92" s="3609"/>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4"/>
      <c r="R92" s="3024"/>
      <c r="S92" s="3024"/>
      <c r="T92" s="3024"/>
      <c r="U92" s="3024"/>
      <c r="V92" s="3024"/>
      <c r="W92" s="3024"/>
    </row>
    <row r="93" spans="1:33">
      <c r="A93" s="3610"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4"/>
      <c r="R93" s="3024"/>
      <c r="S93" s="3024"/>
      <c r="T93" s="3024"/>
      <c r="U93" s="3024"/>
      <c r="V93" s="3024"/>
      <c r="W93" s="3024"/>
    </row>
    <row r="94" spans="1:33">
      <c r="A94" s="361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4"/>
      <c r="R94" s="3024"/>
      <c r="S94" s="3024"/>
      <c r="T94" s="3024"/>
      <c r="U94" s="3024"/>
      <c r="V94" s="3024"/>
      <c r="W94" s="3024"/>
    </row>
    <row r="95" spans="1:33">
      <c r="A95" s="361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4"/>
      <c r="R95" s="3024"/>
      <c r="S95" s="3024"/>
      <c r="T95" s="3024"/>
      <c r="U95" s="3024"/>
      <c r="V95" s="3024"/>
      <c r="W95" s="3024"/>
    </row>
    <row r="96" spans="1:33">
      <c r="A96" s="361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4"/>
      <c r="R96" s="3024"/>
      <c r="S96" s="3024"/>
      <c r="T96" s="3024"/>
      <c r="U96" s="3024"/>
      <c r="V96" s="3024"/>
      <c r="W96" s="3024"/>
    </row>
    <row r="97" spans="1:23">
      <c r="A97" s="361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4"/>
      <c r="R97" s="3024"/>
      <c r="S97" s="3024"/>
      <c r="T97" s="3024"/>
      <c r="U97" s="3024"/>
      <c r="V97" s="3024"/>
      <c r="W97" s="3024"/>
    </row>
    <row r="98" spans="1:23">
      <c r="A98" s="361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4"/>
      <c r="R98" s="3024"/>
      <c r="S98" s="3024"/>
      <c r="T98" s="3024"/>
      <c r="U98" s="3024"/>
      <c r="V98" s="3024"/>
      <c r="W98" s="3024"/>
    </row>
    <row r="99" spans="1:23">
      <c r="A99" s="3611"/>
      <c r="B99" s="2276" t="s">
        <v>2490</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4"/>
      <c r="R99" s="3024"/>
      <c r="S99" s="3024"/>
      <c r="T99" s="3024"/>
      <c r="U99" s="3024"/>
      <c r="V99" s="3024"/>
      <c r="W99" s="3024"/>
    </row>
    <row r="100" spans="1:23">
      <c r="A100" s="3612"/>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4"/>
      <c r="R100" s="3024"/>
      <c r="S100" s="3024"/>
      <c r="T100" s="3024"/>
      <c r="U100" s="3024"/>
      <c r="V100" s="3024"/>
      <c r="W100" s="3024"/>
    </row>
    <row r="101" spans="1:23">
      <c r="A101" s="3610" t="s">
        <v>2623</v>
      </c>
      <c r="B101" s="2280" t="s">
        <v>2624</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4"/>
      <c r="R101" s="3024"/>
      <c r="S101" s="3024"/>
      <c r="T101" s="3024"/>
      <c r="U101" s="3024"/>
      <c r="V101" s="3024"/>
      <c r="W101" s="3024"/>
    </row>
    <row r="102" spans="1:23">
      <c r="A102" s="3611"/>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4"/>
      <c r="R102" s="3024"/>
      <c r="S102" s="3024"/>
      <c r="T102" s="3024"/>
      <c r="U102" s="3024"/>
      <c r="V102" s="3024"/>
      <c r="W102" s="3024"/>
    </row>
    <row r="103" spans="1:23">
      <c r="A103" s="3611"/>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4"/>
      <c r="R103" s="3024"/>
      <c r="S103" s="3024"/>
      <c r="T103" s="3024"/>
      <c r="U103" s="3024"/>
      <c r="V103" s="3024"/>
      <c r="W103" s="3024"/>
    </row>
    <row r="104" spans="1:23">
      <c r="A104" s="3611"/>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4"/>
      <c r="R104" s="3024"/>
      <c r="S104" s="3024"/>
      <c r="T104" s="3024"/>
      <c r="U104" s="3024"/>
      <c r="V104" s="3024"/>
      <c r="W104" s="3024"/>
    </row>
    <row r="105" spans="1:23">
      <c r="A105" s="3611"/>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4"/>
      <c r="R105" s="3024"/>
      <c r="S105" s="3024"/>
      <c r="T105" s="3024"/>
      <c r="U105" s="3024"/>
      <c r="V105" s="3024"/>
      <c r="W105" s="3024"/>
    </row>
    <row r="106" spans="1:23">
      <c r="A106" s="3611"/>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4"/>
      <c r="R106" s="3024"/>
      <c r="S106" s="3024"/>
      <c r="T106" s="3024"/>
      <c r="U106" s="3024"/>
      <c r="V106" s="3024"/>
      <c r="W106" s="3024"/>
    </row>
    <row r="107" spans="1:23">
      <c r="A107" s="3611"/>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4"/>
      <c r="R107" s="3024"/>
      <c r="S107" s="3024"/>
      <c r="T107" s="3024"/>
      <c r="U107" s="3024"/>
      <c r="V107" s="3024"/>
      <c r="W107" s="3024"/>
    </row>
    <row r="108" spans="1:23">
      <c r="A108" s="3611"/>
      <c r="B108" s="3613" t="s">
        <v>2625</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4"/>
      <c r="R108" s="3024"/>
      <c r="S108" s="3024"/>
      <c r="T108" s="3024"/>
      <c r="U108" s="3024"/>
      <c r="V108" s="3024"/>
      <c r="W108" s="3024"/>
    </row>
    <row r="109" spans="1:23">
      <c r="A109" s="3612"/>
      <c r="B109" s="3614"/>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4"/>
      <c r="R109" s="3024"/>
      <c r="S109" s="3024"/>
      <c r="T109" s="3024"/>
      <c r="U109" s="3024"/>
      <c r="V109" s="3024"/>
      <c r="W109" s="3024"/>
    </row>
    <row r="110" spans="1:23">
      <c r="A110" s="3608" t="s">
        <v>2626</v>
      </c>
      <c r="B110" s="3608"/>
      <c r="C110" s="3608"/>
      <c r="D110" s="3608"/>
      <c r="E110" s="3608"/>
      <c r="F110" s="3608"/>
      <c r="G110" s="3608"/>
      <c r="H110" s="3608"/>
      <c r="I110" s="3608"/>
      <c r="J110" s="3608"/>
      <c r="K110" s="2047"/>
      <c r="L110" s="2047"/>
      <c r="M110" s="2047"/>
      <c r="N110" s="2047"/>
      <c r="Q110" s="3024"/>
      <c r="R110" s="3024"/>
      <c r="S110" s="3024"/>
      <c r="T110" s="3024"/>
      <c r="U110" s="3024"/>
      <c r="V110" s="3024"/>
      <c r="W110" s="3024"/>
    </row>
    <row r="112" spans="1:23" ht="13.5" thickBot="1"/>
    <row r="113" spans="1:13" ht="25.5" thickBot="1">
      <c r="A113" s="2282" t="s">
        <v>2627</v>
      </c>
      <c r="B113" s="2283">
        <f>G3</f>
        <v>2.5</v>
      </c>
      <c r="C113" s="2284" t="s">
        <v>2628</v>
      </c>
      <c r="D113" s="2285">
        <f>SUMPRODUCT((A115:A118=F113)*(B114:M114=H113)*B115:M118)</f>
        <v>0</v>
      </c>
      <c r="E113" s="1569" t="s">
        <v>2514</v>
      </c>
      <c r="F113" s="2286" t="str">
        <f>E2</f>
        <v>办公</v>
      </c>
      <c r="G113" s="1569" t="s">
        <v>2448</v>
      </c>
      <c r="H113" s="2286">
        <f>G2</f>
        <v>0</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2516</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2517</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2518</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9"/>
      <c r="I2" s="2959"/>
      <c r="J2" s="2959"/>
      <c r="K2" s="2960"/>
      <c r="L2" s="2961"/>
      <c r="M2" s="2959"/>
      <c r="N2" s="2959"/>
      <c r="O2" s="2959"/>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70.739999999999995</v>
      </c>
      <c r="E3" s="2959"/>
      <c r="F3" s="2962"/>
      <c r="G3" s="2959"/>
      <c r="H3" s="2959"/>
      <c r="I3" s="2959"/>
      <c r="J3" s="2959"/>
      <c r="K3" s="2960"/>
      <c r="L3" s="2961"/>
      <c r="M3" s="2959"/>
      <c r="N3" s="2959"/>
      <c r="O3" s="2959"/>
      <c r="P3" s="1628"/>
      <c r="Q3" s="1624"/>
      <c r="R3" s="1624"/>
      <c r="S3" s="1624"/>
      <c r="T3" s="1624"/>
      <c r="U3" s="1624"/>
      <c r="V3" s="1624"/>
      <c r="W3" s="1624"/>
      <c r="X3" s="1624"/>
      <c r="Y3" s="1624"/>
      <c r="Z3" s="1624"/>
      <c r="AA3" s="1624"/>
      <c r="AB3" s="1624"/>
      <c r="AC3" s="1629"/>
    </row>
    <row r="4" spans="1:29" ht="15">
      <c r="A4" s="1630" t="s">
        <v>2186</v>
      </c>
      <c r="B4" s="1631"/>
      <c r="C4" s="3653" t="s">
        <v>2187</v>
      </c>
      <c r="D4" s="3654"/>
      <c r="E4" s="3655" t="s">
        <v>2188</v>
      </c>
      <c r="F4" s="3656"/>
      <c r="G4" s="3653" t="s">
        <v>2189</v>
      </c>
      <c r="H4" s="3654"/>
      <c r="I4" s="3653" t="s">
        <v>2190</v>
      </c>
      <c r="J4" s="3654"/>
      <c r="K4" s="1632" t="s">
        <v>2191</v>
      </c>
      <c r="L4" s="2963"/>
      <c r="M4" s="2964"/>
      <c r="N4" s="2964"/>
      <c r="O4" s="2964"/>
      <c r="P4" s="3657" t="s">
        <v>2192</v>
      </c>
      <c r="Q4" s="3658"/>
      <c r="R4" s="3642" t="s">
        <v>2188</v>
      </c>
      <c r="S4" s="3643"/>
      <c r="T4" s="3642" t="s">
        <v>2189</v>
      </c>
      <c r="U4" s="3643"/>
      <c r="V4" s="3663" t="s">
        <v>2190</v>
      </c>
      <c r="W4" s="3663"/>
      <c r="X4" s="1633"/>
      <c r="Y4" s="3642" t="s">
        <v>2192</v>
      </c>
      <c r="Z4" s="3643"/>
      <c r="AA4" s="3650" t="s">
        <v>2188</v>
      </c>
      <c r="AB4" s="3650" t="s">
        <v>2189</v>
      </c>
      <c r="AC4" s="3650" t="s">
        <v>2190</v>
      </c>
    </row>
    <row r="5" spans="1:29" ht="15">
      <c r="A5" s="1635"/>
      <c r="B5" s="1636"/>
      <c r="C5" s="3638" t="s">
        <v>2193</v>
      </c>
      <c r="D5" s="3639"/>
      <c r="E5" s="3664" t="s">
        <v>2194</v>
      </c>
      <c r="F5" s="3665"/>
      <c r="G5" s="3638" t="s">
        <v>2195</v>
      </c>
      <c r="H5" s="3639"/>
      <c r="I5" s="3638" t="s">
        <v>2196</v>
      </c>
      <c r="J5" s="3639"/>
      <c r="K5" s="1637"/>
      <c r="L5" s="2963"/>
      <c r="M5" s="2964"/>
      <c r="N5" s="2964"/>
      <c r="O5" s="2964"/>
      <c r="P5" s="3659"/>
      <c r="Q5" s="3660"/>
      <c r="R5" s="3644"/>
      <c r="S5" s="3645"/>
      <c r="T5" s="3644"/>
      <c r="U5" s="3645"/>
      <c r="V5" s="3663"/>
      <c r="W5" s="3663"/>
      <c r="X5" s="1633"/>
      <c r="Y5" s="3644"/>
      <c r="Z5" s="3645"/>
      <c r="AA5" s="3651"/>
      <c r="AB5" s="3651"/>
      <c r="AC5" s="3651"/>
    </row>
    <row r="6" spans="1:29" ht="15.75" thickBot="1">
      <c r="A6" s="1638"/>
      <c r="B6" s="1639"/>
      <c r="C6" s="3636" t="s">
        <v>2197</v>
      </c>
      <c r="D6" s="3637"/>
      <c r="E6" s="3666" t="s">
        <v>2197</v>
      </c>
      <c r="F6" s="3667"/>
      <c r="G6" s="3636" t="s">
        <v>2197</v>
      </c>
      <c r="H6" s="3637"/>
      <c r="I6" s="3636" t="s">
        <v>2197</v>
      </c>
      <c r="J6" s="3637"/>
      <c r="K6" s="1637" t="s">
        <v>2198</v>
      </c>
      <c r="L6" s="2963"/>
      <c r="M6" s="2964"/>
      <c r="N6" s="2964"/>
      <c r="O6" s="2964"/>
      <c r="P6" s="3661"/>
      <c r="Q6" s="3662"/>
      <c r="R6" s="3644"/>
      <c r="S6" s="3645"/>
      <c r="T6" s="3646"/>
      <c r="U6" s="3647"/>
      <c r="V6" s="3663"/>
      <c r="W6" s="3663"/>
      <c r="X6" s="1633"/>
      <c r="Y6" s="3646"/>
      <c r="Z6" s="3647"/>
      <c r="AA6" s="3652"/>
      <c r="AB6" s="3652"/>
      <c r="AC6" s="3652"/>
    </row>
    <row r="7" spans="1:29" s="1652" customFormat="1" ht="15.75" thickBot="1">
      <c r="A7" s="1640" t="s">
        <v>2199</v>
      </c>
      <c r="B7" s="1641"/>
      <c r="C7" s="1642">
        <f>'数据-取费表'!B2</f>
        <v>44777</v>
      </c>
      <c r="D7" s="1643">
        <v>100</v>
      </c>
      <c r="E7" s="1644"/>
      <c r="F7" s="1645">
        <f>SUMIF(58:58,YEAR(E7)&amp;"-"&amp;MONTH(E7),59:59)</f>
        <v>0</v>
      </c>
      <c r="G7" s="1644"/>
      <c r="H7" s="1643">
        <f>SUMIF(58:58,YEAR(G7)&amp;"-"&amp;MONTH(G7),59:59)</f>
        <v>0</v>
      </c>
      <c r="I7" s="1644"/>
      <c r="J7" s="1643">
        <f>SUMIF(58:58,YEAR(I7)&amp;"-"&amp;MONTH(I7),59:59)</f>
        <v>0</v>
      </c>
      <c r="K7" s="1646"/>
      <c r="L7" s="2963"/>
      <c r="M7" s="2936"/>
      <c r="N7" s="2936"/>
      <c r="O7" s="2936"/>
      <c r="P7" s="3640" t="s">
        <v>2200</v>
      </c>
      <c r="Q7" s="3648"/>
      <c r="R7" s="1648" t="s">
        <v>34</v>
      </c>
      <c r="S7" s="1649">
        <f t="shared" ref="S7:S15" si="0">F7</f>
        <v>0</v>
      </c>
      <c r="T7" s="1648" t="s">
        <v>34</v>
      </c>
      <c r="U7" s="1649">
        <f t="shared" ref="U7:U15" si="1">H7</f>
        <v>0</v>
      </c>
      <c r="V7" s="1648" t="s">
        <v>34</v>
      </c>
      <c r="W7" s="1649">
        <f t="shared" ref="W7:W15" si="2">J7</f>
        <v>0</v>
      </c>
      <c r="X7" s="1650"/>
      <c r="Y7" s="3640" t="s">
        <v>2200</v>
      </c>
      <c r="Z7" s="3641"/>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3"/>
      <c r="M8" s="2936"/>
      <c r="N8" s="2936"/>
      <c r="O8" s="2936"/>
      <c r="P8" s="3640" t="s">
        <v>2203</v>
      </c>
      <c r="Q8" s="3641"/>
      <c r="R8" s="1648" t="s">
        <v>34</v>
      </c>
      <c r="S8" s="1649">
        <f t="shared" si="0"/>
        <v>0</v>
      </c>
      <c r="T8" s="1648" t="s">
        <v>34</v>
      </c>
      <c r="U8" s="1649">
        <f t="shared" si="1"/>
        <v>0</v>
      </c>
      <c r="V8" s="1648" t="s">
        <v>34</v>
      </c>
      <c r="W8" s="1649">
        <f t="shared" si="2"/>
        <v>0</v>
      </c>
      <c r="X8" s="1650"/>
      <c r="Y8" s="3640" t="s">
        <v>2203</v>
      </c>
      <c r="Z8" s="3641"/>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3"/>
      <c r="M9" s="2936"/>
      <c r="N9" s="2936"/>
      <c r="O9" s="2936"/>
      <c r="P9" s="3649" t="s">
        <v>2206</v>
      </c>
      <c r="Q9" s="160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5"/>
      <c r="M10" s="2966"/>
      <c r="N10" s="2966"/>
      <c r="O10" s="2966"/>
      <c r="P10" s="3649"/>
      <c r="Q10" s="1602" t="str">
        <f t="shared" si="6"/>
        <v>土地使用年限（年）</v>
      </c>
      <c r="R10" s="1648" t="s">
        <v>25</v>
      </c>
      <c r="S10" s="1649">
        <f t="shared" si="0"/>
        <v>100</v>
      </c>
      <c r="T10" s="1648" t="s">
        <v>25</v>
      </c>
      <c r="U10" s="1649">
        <f t="shared" si="1"/>
        <v>100</v>
      </c>
      <c r="V10" s="1648" t="s">
        <v>25</v>
      </c>
      <c r="W10" s="1649">
        <f t="shared" si="2"/>
        <v>100</v>
      </c>
      <c r="X10" s="1650"/>
      <c r="Y10" s="3534"/>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7"/>
      <c r="M11" s="2964"/>
      <c r="N11" s="2964"/>
      <c r="O11" s="2964"/>
      <c r="P11" s="3649"/>
      <c r="Q11" s="1602" t="str">
        <f t="shared" si="6"/>
        <v>容积率</v>
      </c>
      <c r="R11" s="1648" t="s">
        <v>28</v>
      </c>
      <c r="S11" s="1649" t="e">
        <f t="shared" si="0"/>
        <v>#N/A</v>
      </c>
      <c r="T11" s="1648" t="s">
        <v>28</v>
      </c>
      <c r="U11" s="1649" t="e">
        <f t="shared" si="1"/>
        <v>#N/A</v>
      </c>
      <c r="V11" s="1648" t="s">
        <v>28</v>
      </c>
      <c r="W11" s="1649" t="e">
        <f t="shared" si="2"/>
        <v>#N/A</v>
      </c>
      <c r="X11" s="1650"/>
      <c r="Y11" s="353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3"/>
      <c r="M12" s="2936"/>
      <c r="N12" s="2936"/>
      <c r="O12" s="2936"/>
      <c r="P12" s="3649"/>
      <c r="Q12" s="1602">
        <f t="shared" si="6"/>
        <v>111</v>
      </c>
      <c r="R12" s="1648" t="s">
        <v>28</v>
      </c>
      <c r="S12" s="1649">
        <f t="shared" si="0"/>
        <v>100</v>
      </c>
      <c r="T12" s="1648" t="s">
        <v>28</v>
      </c>
      <c r="U12" s="1649">
        <f t="shared" si="1"/>
        <v>100</v>
      </c>
      <c r="V12" s="1648" t="s">
        <v>28</v>
      </c>
      <c r="W12" s="1649">
        <f t="shared" si="2"/>
        <v>100</v>
      </c>
      <c r="X12" s="1650"/>
      <c r="Y12" s="353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8"/>
      <c r="M13" s="2964"/>
      <c r="N13" s="2964"/>
      <c r="O13" s="2964"/>
      <c r="P13" s="3649"/>
      <c r="Q13" s="1602">
        <f t="shared" si="6"/>
        <v>111</v>
      </c>
      <c r="R13" s="1648" t="s">
        <v>28</v>
      </c>
      <c r="S13" s="1649">
        <f t="shared" si="0"/>
        <v>100</v>
      </c>
      <c r="T13" s="1648" t="s">
        <v>28</v>
      </c>
      <c r="U13" s="1649">
        <f t="shared" si="1"/>
        <v>100</v>
      </c>
      <c r="V13" s="1648" t="s">
        <v>28</v>
      </c>
      <c r="W13" s="1649">
        <f t="shared" si="2"/>
        <v>100</v>
      </c>
      <c r="X13" s="1650"/>
      <c r="Y13" s="3534"/>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8"/>
      <c r="M14" s="2964"/>
      <c r="N14" s="2964"/>
      <c r="O14" s="2964"/>
      <c r="P14" s="3649"/>
      <c r="Q14" s="1602">
        <f t="shared" si="6"/>
        <v>111</v>
      </c>
      <c r="R14" s="1648" t="s">
        <v>28</v>
      </c>
      <c r="S14" s="1649">
        <f t="shared" si="0"/>
        <v>100</v>
      </c>
      <c r="T14" s="1648" t="s">
        <v>28</v>
      </c>
      <c r="U14" s="1649">
        <f t="shared" si="1"/>
        <v>100</v>
      </c>
      <c r="V14" s="1648" t="s">
        <v>28</v>
      </c>
      <c r="W14" s="1649">
        <f t="shared" si="2"/>
        <v>100</v>
      </c>
      <c r="X14" s="1650"/>
      <c r="Y14" s="3534"/>
      <c r="Z14" s="1661">
        <f t="shared" si="7"/>
        <v>111</v>
      </c>
      <c r="AA14" s="1651">
        <f t="shared" si="3"/>
        <v>1</v>
      </c>
      <c r="AB14" s="1651">
        <f t="shared" si="4"/>
        <v>1</v>
      </c>
      <c r="AC14" s="1651">
        <f t="shared" si="5"/>
        <v>1</v>
      </c>
    </row>
    <row r="15" spans="1:29" ht="99.75">
      <c r="A15" s="1685" t="s">
        <v>2210</v>
      </c>
      <c r="B15" s="1686" t="s">
        <v>1646</v>
      </c>
      <c r="C15" s="1687" t="str">
        <f>估价对象房地状况!C3</f>
        <v>估价对象周边居住用地比例、居住小区规模和社区发展完善程度，综合评价居住社区成熟度一般</v>
      </c>
      <c r="D15" s="1688">
        <v>100</v>
      </c>
      <c r="E15" s="1689"/>
      <c r="F15" s="1690">
        <f>SUMIF(76:76,E16,77:77)-SUMIF(76:76,C16,77:77)+100</f>
        <v>100</v>
      </c>
      <c r="G15" s="1691"/>
      <c r="H15" s="1688">
        <f>SUMIF(76:76,G16,77:77)-SUMIF(76:76,C16,77:77)+100</f>
        <v>100</v>
      </c>
      <c r="I15" s="1689"/>
      <c r="J15" s="1688">
        <f>SUMIF(76:76,I16,77:77)-SUMIF(76:76,C16,77:77)+100</f>
        <v>100</v>
      </c>
      <c r="K15" s="1692"/>
      <c r="L15" s="2968"/>
      <c r="M15" s="2964"/>
      <c r="N15" s="2964"/>
      <c r="O15" s="2964"/>
      <c r="P15" s="3627" t="s">
        <v>2211</v>
      </c>
      <c r="Q15" s="1583" t="str">
        <f t="shared" si="6"/>
        <v>居住社区成熟度</v>
      </c>
      <c r="R15" s="1693" t="s">
        <v>28</v>
      </c>
      <c r="S15" s="1694">
        <f t="shared" si="0"/>
        <v>100</v>
      </c>
      <c r="T15" s="1693" t="s">
        <v>28</v>
      </c>
      <c r="U15" s="1694">
        <f t="shared" si="1"/>
        <v>100</v>
      </c>
      <c r="V15" s="1693" t="s">
        <v>28</v>
      </c>
      <c r="W15" s="1694">
        <f t="shared" si="2"/>
        <v>100</v>
      </c>
      <c r="X15" s="1633"/>
      <c r="Y15" s="3629"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8"/>
      <c r="M16" s="2964"/>
      <c r="N16" s="2964"/>
      <c r="O16" s="2964"/>
      <c r="P16" s="3628"/>
      <c r="Q16" s="1583"/>
      <c r="R16" s="1693"/>
      <c r="S16" s="1694"/>
      <c r="T16" s="1693"/>
      <c r="U16" s="1694"/>
      <c r="V16" s="1693"/>
      <c r="W16" s="1694"/>
      <c r="X16" s="1633"/>
      <c r="Y16" s="3630"/>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1692"/>
      <c r="L17" s="2968"/>
      <c r="M17" s="2964"/>
      <c r="N17" s="2964"/>
      <c r="O17" s="2964"/>
      <c r="P17" s="3628"/>
      <c r="Q17" s="1583" t="str">
        <f>B17</f>
        <v>交通便捷度</v>
      </c>
      <c r="R17" s="1693" t="s">
        <v>28</v>
      </c>
      <c r="S17" s="1694">
        <f>F17</f>
        <v>100</v>
      </c>
      <c r="T17" s="1693" t="s">
        <v>28</v>
      </c>
      <c r="U17" s="1694">
        <f>H17</f>
        <v>100</v>
      </c>
      <c r="V17" s="1693" t="s">
        <v>28</v>
      </c>
      <c r="W17" s="1694">
        <f>J17</f>
        <v>100</v>
      </c>
      <c r="X17" s="1633"/>
      <c r="Y17" s="3630"/>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8"/>
      <c r="M18" s="2964"/>
      <c r="N18" s="2964"/>
      <c r="O18" s="2964"/>
      <c r="P18" s="3628"/>
      <c r="Q18" s="1583"/>
      <c r="R18" s="1693"/>
      <c r="S18" s="1694"/>
      <c r="T18" s="1693"/>
      <c r="U18" s="1694"/>
      <c r="V18" s="1693"/>
      <c r="W18" s="1694"/>
      <c r="X18" s="1633"/>
      <c r="Y18" s="3630"/>
      <c r="Z18" s="1695"/>
      <c r="AA18" s="1696">
        <v>1</v>
      </c>
      <c r="AB18" s="1696">
        <v>1</v>
      </c>
      <c r="AC18" s="1696">
        <v>1</v>
      </c>
    </row>
    <row r="19" spans="1:29" ht="42.75">
      <c r="A19" s="1670"/>
      <c r="B19" s="1705" t="s">
        <v>1647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1692"/>
      <c r="L19" s="2968"/>
      <c r="M19" s="2964"/>
      <c r="N19" s="2964"/>
      <c r="O19" s="2964"/>
      <c r="P19" s="3628"/>
      <c r="Q19" s="1583" t="str">
        <f>B19</f>
        <v>公共配套设施</v>
      </c>
      <c r="R19" s="1693" t="s">
        <v>28</v>
      </c>
      <c r="S19" s="1694">
        <f>F19</f>
        <v>100</v>
      </c>
      <c r="T19" s="1693" t="s">
        <v>28</v>
      </c>
      <c r="U19" s="1694">
        <f>H19</f>
        <v>100</v>
      </c>
      <c r="V19" s="1693" t="s">
        <v>28</v>
      </c>
      <c r="W19" s="1694">
        <f>J19</f>
        <v>100</v>
      </c>
      <c r="X19" s="1633"/>
      <c r="Y19" s="3630"/>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8"/>
      <c r="M20" s="2964"/>
      <c r="N20" s="2964"/>
      <c r="O20" s="2964"/>
      <c r="P20" s="3628"/>
      <c r="Q20" s="1583"/>
      <c r="R20" s="1693"/>
      <c r="S20" s="1694"/>
      <c r="T20" s="1693"/>
      <c r="U20" s="1694"/>
      <c r="V20" s="1693"/>
      <c r="W20" s="1694"/>
      <c r="X20" s="1633"/>
      <c r="Y20" s="3630"/>
      <c r="Z20" s="1695"/>
      <c r="AA20" s="1696">
        <v>1</v>
      </c>
      <c r="AB20" s="1696">
        <v>1</v>
      </c>
      <c r="AC20" s="1696">
        <v>1</v>
      </c>
    </row>
    <row r="21" spans="1:29" ht="28.5">
      <c r="A21" s="1670"/>
      <c r="B21" s="1718" t="s">
        <v>1649</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1692"/>
      <c r="L21" s="2968"/>
      <c r="M21" s="2964"/>
      <c r="N21" s="2964"/>
      <c r="O21" s="2964"/>
      <c r="P21" s="3628"/>
      <c r="Q21" s="1583" t="str">
        <f>B21</f>
        <v>基础设施水平</v>
      </c>
      <c r="R21" s="1693" t="s">
        <v>28</v>
      </c>
      <c r="S21" s="1694">
        <f>F21</f>
        <v>100</v>
      </c>
      <c r="T21" s="1693" t="s">
        <v>28</v>
      </c>
      <c r="U21" s="1694">
        <f>H21</f>
        <v>100</v>
      </c>
      <c r="V21" s="1693" t="s">
        <v>28</v>
      </c>
      <c r="W21" s="1694">
        <f>J21</f>
        <v>100</v>
      </c>
      <c r="X21" s="1633"/>
      <c r="Y21" s="3630"/>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8"/>
      <c r="M22" s="2964"/>
      <c r="N22" s="2964"/>
      <c r="O22" s="2964"/>
      <c r="P22" s="3628"/>
      <c r="Q22" s="1583"/>
      <c r="R22" s="1693"/>
      <c r="S22" s="1694"/>
      <c r="T22" s="1693"/>
      <c r="U22" s="1694"/>
      <c r="V22" s="1693"/>
      <c r="W22" s="1694"/>
      <c r="X22" s="1633"/>
      <c r="Y22" s="3630"/>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8"/>
      <c r="M23" s="2964"/>
      <c r="N23" s="2964"/>
      <c r="O23" s="2964"/>
      <c r="P23" s="3628"/>
      <c r="Q23" s="1583" t="str">
        <f>B23</f>
        <v>自然及人文环境</v>
      </c>
      <c r="R23" s="1693" t="s">
        <v>28</v>
      </c>
      <c r="S23" s="1694">
        <f>F23</f>
        <v>100</v>
      </c>
      <c r="T23" s="1693" t="s">
        <v>28</v>
      </c>
      <c r="U23" s="1694">
        <f>H23</f>
        <v>100</v>
      </c>
      <c r="V23" s="1693" t="s">
        <v>28</v>
      </c>
      <c r="W23" s="1694">
        <f>J23</f>
        <v>100</v>
      </c>
      <c r="X23" s="1633"/>
      <c r="Y23" s="3630"/>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8"/>
      <c r="M24" s="2964"/>
      <c r="N24" s="2964"/>
      <c r="O24" s="2964"/>
      <c r="P24" s="3628"/>
      <c r="Q24" s="1583"/>
      <c r="R24" s="1693"/>
      <c r="S24" s="1694"/>
      <c r="T24" s="1693"/>
      <c r="U24" s="1694"/>
      <c r="V24" s="1693"/>
      <c r="W24" s="1694"/>
      <c r="X24" s="1633"/>
      <c r="Y24" s="3630"/>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8"/>
      <c r="M25" s="2964"/>
      <c r="N25" s="2964"/>
      <c r="O25" s="2964"/>
      <c r="P25" s="3628"/>
      <c r="Q25" s="1583" t="str">
        <f t="shared" ref="Q25:Q46" si="11">B25</f>
        <v>楼层-1</v>
      </c>
      <c r="R25" s="1693" t="s">
        <v>28</v>
      </c>
      <c r="S25" s="1694">
        <f>F25</f>
        <v>100</v>
      </c>
      <c r="T25" s="1693" t="s">
        <v>28</v>
      </c>
      <c r="U25" s="1694">
        <f>H25</f>
        <v>100</v>
      </c>
      <c r="V25" s="1693" t="s">
        <v>28</v>
      </c>
      <c r="W25" s="1694">
        <f>J25</f>
        <v>100</v>
      </c>
      <c r="X25" s="1633"/>
      <c r="Y25" s="3630"/>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8"/>
      <c r="M26" s="2964"/>
      <c r="N26" s="2964"/>
      <c r="O26" s="2964"/>
      <c r="P26" s="3628"/>
      <c r="Q26" s="1583" t="str">
        <f t="shared" si="11"/>
        <v>朝向</v>
      </c>
      <c r="R26" s="1693" t="s">
        <v>28</v>
      </c>
      <c r="S26" s="1694">
        <f>F26</f>
        <v>100</v>
      </c>
      <c r="T26" s="1693" t="s">
        <v>28</v>
      </c>
      <c r="U26" s="1694">
        <f>H26</f>
        <v>100</v>
      </c>
      <c r="V26" s="1693" t="s">
        <v>28</v>
      </c>
      <c r="W26" s="1694">
        <f>J26</f>
        <v>100</v>
      </c>
      <c r="X26" s="1633"/>
      <c r="Y26" s="3630"/>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3"/>
      <c r="M27" s="2936"/>
      <c r="N27" s="2936"/>
      <c r="O27" s="2936"/>
      <c r="P27" s="3628"/>
      <c r="Q27" s="1602" t="str">
        <f t="shared" si="11"/>
        <v>道路级别</v>
      </c>
      <c r="R27" s="1648" t="s">
        <v>28</v>
      </c>
      <c r="S27" s="1649">
        <f>F27</f>
        <v>100</v>
      </c>
      <c r="T27" s="1648" t="s">
        <v>28</v>
      </c>
      <c r="U27" s="1649">
        <f>H27</f>
        <v>100</v>
      </c>
      <c r="V27" s="1648" t="s">
        <v>28</v>
      </c>
      <c r="W27" s="1649">
        <f>J27</f>
        <v>100</v>
      </c>
      <c r="X27" s="1650"/>
      <c r="Y27" s="3630"/>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8"/>
      <c r="M28" s="2964"/>
      <c r="N28" s="2964"/>
      <c r="O28" s="2964"/>
      <c r="P28" s="3628"/>
      <c r="Q28" s="1583">
        <f t="shared" si="11"/>
        <v>111</v>
      </c>
      <c r="R28" s="1693" t="s">
        <v>28</v>
      </c>
      <c r="S28" s="1694">
        <f t="shared" ref="S28:S46" si="12">F28</f>
        <v>100</v>
      </c>
      <c r="T28" s="1693" t="s">
        <v>28</v>
      </c>
      <c r="U28" s="1694">
        <f t="shared" ref="U28:U46" si="13">H28</f>
        <v>100</v>
      </c>
      <c r="V28" s="1693" t="s">
        <v>28</v>
      </c>
      <c r="W28" s="1694">
        <f t="shared" ref="W28:W46" si="14">J28</f>
        <v>100</v>
      </c>
      <c r="X28" s="1633"/>
      <c r="Y28" s="3630"/>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8"/>
      <c r="M29" s="2964"/>
      <c r="N29" s="2964"/>
      <c r="O29" s="2964"/>
      <c r="P29" s="3628"/>
      <c r="Q29" s="1583">
        <f t="shared" si="11"/>
        <v>111</v>
      </c>
      <c r="R29" s="1693" t="s">
        <v>28</v>
      </c>
      <c r="S29" s="1694">
        <f t="shared" si="12"/>
        <v>100</v>
      </c>
      <c r="T29" s="1693" t="s">
        <v>28</v>
      </c>
      <c r="U29" s="1694">
        <f t="shared" si="13"/>
        <v>100</v>
      </c>
      <c r="V29" s="1693" t="s">
        <v>28</v>
      </c>
      <c r="W29" s="1694">
        <f t="shared" si="14"/>
        <v>100</v>
      </c>
      <c r="X29" s="1633"/>
      <c r="Y29" s="3630"/>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8"/>
      <c r="M30" s="2964"/>
      <c r="N30" s="2964"/>
      <c r="O30" s="2964"/>
      <c r="P30" s="3628"/>
      <c r="Q30" s="1583">
        <f t="shared" si="11"/>
        <v>111</v>
      </c>
      <c r="R30" s="1693" t="s">
        <v>28</v>
      </c>
      <c r="S30" s="1694">
        <f t="shared" si="12"/>
        <v>100</v>
      </c>
      <c r="T30" s="1693" t="s">
        <v>28</v>
      </c>
      <c r="U30" s="1694">
        <f t="shared" si="13"/>
        <v>100</v>
      </c>
      <c r="V30" s="1693" t="s">
        <v>28</v>
      </c>
      <c r="W30" s="1694">
        <f t="shared" si="14"/>
        <v>100</v>
      </c>
      <c r="X30" s="1633"/>
      <c r="Y30" s="3630"/>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8"/>
      <c r="M31" s="2964"/>
      <c r="N31" s="2964"/>
      <c r="O31" s="2964"/>
      <c r="P31" s="3628"/>
      <c r="Q31" s="1583">
        <f t="shared" si="11"/>
        <v>111</v>
      </c>
      <c r="R31" s="1693" t="s">
        <v>28</v>
      </c>
      <c r="S31" s="1694">
        <f t="shared" si="12"/>
        <v>100</v>
      </c>
      <c r="T31" s="1693" t="s">
        <v>28</v>
      </c>
      <c r="U31" s="1694">
        <f t="shared" si="13"/>
        <v>100</v>
      </c>
      <c r="V31" s="1693" t="s">
        <v>28</v>
      </c>
      <c r="W31" s="1694">
        <f t="shared" si="14"/>
        <v>100</v>
      </c>
      <c r="X31" s="1633"/>
      <c r="Y31" s="3630"/>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8"/>
      <c r="M32" s="2964"/>
      <c r="N32" s="2964"/>
      <c r="O32" s="2964"/>
      <c r="P32" s="3631" t="s">
        <v>2217</v>
      </c>
      <c r="Q32" s="1583" t="str">
        <f t="shared" si="11"/>
        <v>建筑类型</v>
      </c>
      <c r="R32" s="1693" t="s">
        <v>28</v>
      </c>
      <c r="S32" s="1694">
        <f t="shared" si="12"/>
        <v>100</v>
      </c>
      <c r="T32" s="1693" t="s">
        <v>28</v>
      </c>
      <c r="U32" s="1694">
        <f t="shared" si="13"/>
        <v>100</v>
      </c>
      <c r="V32" s="1693" t="s">
        <v>28</v>
      </c>
      <c r="W32" s="1694">
        <f t="shared" si="14"/>
        <v>100</v>
      </c>
      <c r="X32" s="1633"/>
      <c r="Y32" s="3634"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7"/>
      <c r="M33" s="2027"/>
      <c r="N33" s="2027"/>
      <c r="O33" s="2027"/>
      <c r="P33" s="3632"/>
      <c r="Q33" s="1734" t="str">
        <f t="shared" si="11"/>
        <v>项目建筑规模</v>
      </c>
      <c r="R33" s="1735" t="s">
        <v>28</v>
      </c>
      <c r="S33" s="1736" t="e">
        <f t="shared" si="12"/>
        <v>#N/A</v>
      </c>
      <c r="T33" s="1735" t="s">
        <v>28</v>
      </c>
      <c r="U33" s="1736" t="e">
        <f t="shared" si="13"/>
        <v>#N/A</v>
      </c>
      <c r="V33" s="1735" t="s">
        <v>28</v>
      </c>
      <c r="W33" s="1736" t="e">
        <f t="shared" si="14"/>
        <v>#N/A</v>
      </c>
      <c r="X33" s="1737"/>
      <c r="Y33" s="3634"/>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8"/>
      <c r="M34" s="2964"/>
      <c r="N34" s="2964"/>
      <c r="O34" s="2964"/>
      <c r="P34" s="3632"/>
      <c r="Q34" s="1583" t="str">
        <f t="shared" si="11"/>
        <v>建筑结构</v>
      </c>
      <c r="R34" s="1693" t="s">
        <v>28</v>
      </c>
      <c r="S34" s="1694">
        <f t="shared" si="12"/>
        <v>100</v>
      </c>
      <c r="T34" s="1693" t="s">
        <v>28</v>
      </c>
      <c r="U34" s="1694">
        <f t="shared" si="13"/>
        <v>100</v>
      </c>
      <c r="V34" s="1693" t="s">
        <v>28</v>
      </c>
      <c r="W34" s="1694">
        <f t="shared" si="14"/>
        <v>100</v>
      </c>
      <c r="X34" s="1633"/>
      <c r="Y34" s="3634"/>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8"/>
      <c r="M35" s="2964"/>
      <c r="N35" s="2964"/>
      <c r="O35" s="2964"/>
      <c r="P35" s="3632"/>
      <c r="Q35" s="1583" t="str">
        <f t="shared" si="11"/>
        <v>建筑品质</v>
      </c>
      <c r="R35" s="1693" t="s">
        <v>28</v>
      </c>
      <c r="S35" s="1694">
        <f t="shared" si="12"/>
        <v>100</v>
      </c>
      <c r="T35" s="1693" t="s">
        <v>28</v>
      </c>
      <c r="U35" s="1694">
        <f t="shared" si="13"/>
        <v>100</v>
      </c>
      <c r="V35" s="1693" t="s">
        <v>28</v>
      </c>
      <c r="W35" s="1694">
        <f t="shared" si="14"/>
        <v>100</v>
      </c>
      <c r="X35" s="1633"/>
      <c r="Y35" s="3634"/>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8"/>
      <c r="M36" s="2964"/>
      <c r="N36" s="2964"/>
      <c r="O36" s="2964"/>
      <c r="P36" s="3632"/>
      <c r="Q36" s="1583" t="str">
        <f t="shared" si="11"/>
        <v>公共部分装修</v>
      </c>
      <c r="R36" s="1693" t="s">
        <v>28</v>
      </c>
      <c r="S36" s="1694">
        <f t="shared" si="12"/>
        <v>100</v>
      </c>
      <c r="T36" s="1693" t="s">
        <v>28</v>
      </c>
      <c r="U36" s="1694">
        <f t="shared" si="13"/>
        <v>100</v>
      </c>
      <c r="V36" s="1693" t="s">
        <v>28</v>
      </c>
      <c r="W36" s="1694">
        <f t="shared" si="14"/>
        <v>100</v>
      </c>
      <c r="X36" s="1633"/>
      <c r="Y36" s="3634"/>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3"/>
      <c r="M37" s="2936"/>
      <c r="N37" s="2936"/>
      <c r="O37" s="2936"/>
      <c r="P37" s="3632"/>
      <c r="Q37" s="1602" t="str">
        <f t="shared" si="11"/>
        <v>成新度</v>
      </c>
      <c r="R37" s="1648" t="s">
        <v>28</v>
      </c>
      <c r="S37" s="1649" t="e">
        <f t="shared" si="12"/>
        <v>#N/A</v>
      </c>
      <c r="T37" s="1648" t="s">
        <v>28</v>
      </c>
      <c r="U37" s="1649" t="e">
        <f t="shared" si="13"/>
        <v>#N/A</v>
      </c>
      <c r="V37" s="1648" t="s">
        <v>28</v>
      </c>
      <c r="W37" s="1649" t="e">
        <f t="shared" si="14"/>
        <v>#N/A</v>
      </c>
      <c r="X37" s="1650"/>
      <c r="Y37" s="3634"/>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8"/>
      <c r="M38" s="2964"/>
      <c r="N38" s="2964"/>
      <c r="O38" s="2964"/>
      <c r="P38" s="3632" t="s">
        <v>2217</v>
      </c>
      <c r="Q38" s="1583" t="str">
        <f t="shared" si="11"/>
        <v>物业管理</v>
      </c>
      <c r="R38" s="1693" t="s">
        <v>28</v>
      </c>
      <c r="S38" s="1694">
        <f t="shared" si="12"/>
        <v>100</v>
      </c>
      <c r="T38" s="1693" t="s">
        <v>28</v>
      </c>
      <c r="U38" s="1694">
        <f t="shared" si="13"/>
        <v>100</v>
      </c>
      <c r="V38" s="1693" t="s">
        <v>28</v>
      </c>
      <c r="W38" s="1694">
        <f t="shared" si="14"/>
        <v>100</v>
      </c>
      <c r="X38" s="1633"/>
      <c r="Y38" s="3634"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8"/>
      <c r="M39" s="2964"/>
      <c r="N39" s="2964"/>
      <c r="O39" s="2964"/>
      <c r="P39" s="3632"/>
      <c r="Q39" s="1583" t="str">
        <f t="shared" si="11"/>
        <v>市政基础设施</v>
      </c>
      <c r="R39" s="1693" t="s">
        <v>28</v>
      </c>
      <c r="S39" s="1694">
        <f t="shared" si="12"/>
        <v>100</v>
      </c>
      <c r="T39" s="1693" t="s">
        <v>28</v>
      </c>
      <c r="U39" s="1694">
        <f t="shared" si="13"/>
        <v>100</v>
      </c>
      <c r="V39" s="1693" t="s">
        <v>28</v>
      </c>
      <c r="W39" s="1694">
        <f t="shared" si="14"/>
        <v>100</v>
      </c>
      <c r="X39" s="1633"/>
      <c r="Y39" s="3634"/>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8"/>
      <c r="M40" s="2964"/>
      <c r="N40" s="2964"/>
      <c r="O40" s="2964"/>
      <c r="P40" s="3632"/>
      <c r="Q40" s="1583" t="str">
        <f t="shared" si="11"/>
        <v>房型</v>
      </c>
      <c r="R40" s="1693" t="s">
        <v>28</v>
      </c>
      <c r="S40" s="1694">
        <f t="shared" si="12"/>
        <v>100</v>
      </c>
      <c r="T40" s="1693" t="s">
        <v>28</v>
      </c>
      <c r="U40" s="1694">
        <f t="shared" si="13"/>
        <v>100</v>
      </c>
      <c r="V40" s="1693" t="s">
        <v>28</v>
      </c>
      <c r="W40" s="1694">
        <f t="shared" si="14"/>
        <v>100</v>
      </c>
      <c r="X40" s="1633"/>
      <c r="Y40" s="3634"/>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7"/>
      <c r="M41" s="2027"/>
      <c r="N41" s="2027"/>
      <c r="O41" s="2027"/>
      <c r="P41" s="3632"/>
      <c r="Q41" s="1734" t="str">
        <f t="shared" si="11"/>
        <v>单套/主力户型建筑面积</v>
      </c>
      <c r="R41" s="1735" t="s">
        <v>28</v>
      </c>
      <c r="S41" s="1736">
        <f t="shared" si="12"/>
        <v>100</v>
      </c>
      <c r="T41" s="1735" t="s">
        <v>28</v>
      </c>
      <c r="U41" s="1736">
        <f t="shared" si="13"/>
        <v>100</v>
      </c>
      <c r="V41" s="1735" t="s">
        <v>28</v>
      </c>
      <c r="W41" s="1736">
        <f t="shared" si="14"/>
        <v>100</v>
      </c>
      <c r="X41" s="1737"/>
      <c r="Y41" s="3634"/>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8"/>
      <c r="M42" s="2964"/>
      <c r="N42" s="2964"/>
      <c r="O42" s="2964"/>
      <c r="P42" s="3632"/>
      <c r="Q42" s="1583" t="str">
        <f t="shared" si="11"/>
        <v>内部装修</v>
      </c>
      <c r="R42" s="1693" t="s">
        <v>28</v>
      </c>
      <c r="S42" s="1694">
        <f t="shared" si="12"/>
        <v>100</v>
      </c>
      <c r="T42" s="1693" t="s">
        <v>28</v>
      </c>
      <c r="U42" s="1694">
        <f t="shared" si="13"/>
        <v>100</v>
      </c>
      <c r="V42" s="1693" t="s">
        <v>28</v>
      </c>
      <c r="W42" s="1694">
        <f t="shared" si="14"/>
        <v>100</v>
      </c>
      <c r="X42" s="1633"/>
      <c r="Y42" s="3634"/>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8"/>
      <c r="M43" s="2964"/>
      <c r="N43" s="2964"/>
      <c r="O43" s="2964"/>
      <c r="P43" s="3632"/>
      <c r="Q43" s="1583" t="str">
        <f t="shared" si="11"/>
        <v>内部装修维护情况</v>
      </c>
      <c r="R43" s="1693" t="s">
        <v>28</v>
      </c>
      <c r="S43" s="1694">
        <f t="shared" si="12"/>
        <v>100</v>
      </c>
      <c r="T43" s="1693" t="s">
        <v>28</v>
      </c>
      <c r="U43" s="1694">
        <f t="shared" si="13"/>
        <v>100</v>
      </c>
      <c r="V43" s="1693" t="s">
        <v>28</v>
      </c>
      <c r="W43" s="1694">
        <f t="shared" si="14"/>
        <v>100</v>
      </c>
      <c r="X43" s="1633"/>
      <c r="Y43" s="3634"/>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3"/>
      <c r="M44" s="2936"/>
      <c r="N44" s="2936"/>
      <c r="O44" s="2936"/>
      <c r="P44" s="3632"/>
      <c r="Q44" s="1602">
        <f t="shared" si="11"/>
        <v>111</v>
      </c>
      <c r="R44" s="1648" t="s">
        <v>28</v>
      </c>
      <c r="S44" s="1649">
        <f t="shared" si="12"/>
        <v>100</v>
      </c>
      <c r="T44" s="1648" t="s">
        <v>28</v>
      </c>
      <c r="U44" s="1649">
        <f t="shared" si="13"/>
        <v>100</v>
      </c>
      <c r="V44" s="1648" t="s">
        <v>28</v>
      </c>
      <c r="W44" s="1649">
        <f t="shared" si="14"/>
        <v>100</v>
      </c>
      <c r="X44" s="1650"/>
      <c r="Y44" s="3634"/>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8"/>
      <c r="M45" s="2964"/>
      <c r="N45" s="2964"/>
      <c r="O45" s="2964"/>
      <c r="P45" s="3632"/>
      <c r="Q45" s="1583">
        <f t="shared" si="11"/>
        <v>111</v>
      </c>
      <c r="R45" s="1693" t="s">
        <v>28</v>
      </c>
      <c r="S45" s="1694">
        <f t="shared" si="12"/>
        <v>100</v>
      </c>
      <c r="T45" s="1693" t="s">
        <v>28</v>
      </c>
      <c r="U45" s="1694">
        <f t="shared" si="13"/>
        <v>100</v>
      </c>
      <c r="V45" s="1693" t="s">
        <v>28</v>
      </c>
      <c r="W45" s="1694">
        <f t="shared" si="14"/>
        <v>100</v>
      </c>
      <c r="X45" s="1633"/>
      <c r="Y45" s="3634"/>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8"/>
      <c r="M46" s="2964"/>
      <c r="N46" s="2964"/>
      <c r="O46" s="2964"/>
      <c r="P46" s="3633"/>
      <c r="Q46" s="1583">
        <f t="shared" si="11"/>
        <v>111</v>
      </c>
      <c r="R46" s="1693" t="s">
        <v>27</v>
      </c>
      <c r="S46" s="1694">
        <f t="shared" si="12"/>
        <v>100</v>
      </c>
      <c r="T46" s="1693" t="s">
        <v>27</v>
      </c>
      <c r="U46" s="1694">
        <f t="shared" si="13"/>
        <v>100</v>
      </c>
      <c r="V46" s="1693" t="s">
        <v>27</v>
      </c>
      <c r="W46" s="1694">
        <f t="shared" si="14"/>
        <v>100</v>
      </c>
      <c r="X46" s="1633"/>
      <c r="Y46" s="3635"/>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9"/>
      <c r="N47" s="2964"/>
      <c r="P47" s="3626" t="str">
        <f>A47</f>
        <v>成交单价（元/平方米）</v>
      </c>
      <c r="Q47" s="3626"/>
      <c r="R47" s="3622">
        <f>E47</f>
        <v>0</v>
      </c>
      <c r="S47" s="3622"/>
      <c r="T47" s="3622">
        <f>G47</f>
        <v>0</v>
      </c>
      <c r="U47" s="3622"/>
      <c r="V47" s="3622">
        <f>I47</f>
        <v>0</v>
      </c>
      <c r="W47" s="3622"/>
      <c r="X47" s="1759"/>
      <c r="Y47" s="1760"/>
      <c r="Z47" s="1759"/>
      <c r="AA47" s="1759"/>
      <c r="AB47" s="1759"/>
      <c r="AC47" s="1759"/>
    </row>
    <row r="48" spans="1:29" ht="15.75" thickBot="1">
      <c r="A48" s="1761" t="s">
        <v>2230</v>
      </c>
      <c r="B48" s="1762"/>
      <c r="C48" s="1763" t="e">
        <f>R49</f>
        <v>#DIV/0!</v>
      </c>
      <c r="D48" s="1764" t="s">
        <v>2684</v>
      </c>
      <c r="E48" s="1765" t="e">
        <f>R48</f>
        <v>#DIV/0!</v>
      </c>
      <c r="F48" s="1766"/>
      <c r="G48" s="1763" t="e">
        <f>T48</f>
        <v>#DIV/0!</v>
      </c>
      <c r="H48" s="1766"/>
      <c r="I48" s="1765" t="e">
        <f>V48</f>
        <v>#DIV/0!</v>
      </c>
      <c r="J48" s="1766"/>
      <c r="K48" s="2479">
        <f>F48+H48+J48</f>
        <v>0</v>
      </c>
      <c r="L48" s="2969"/>
      <c r="P48" s="3626" t="str">
        <f>A48</f>
        <v>比较价值（元/平方米）</v>
      </c>
      <c r="Q48" s="3626"/>
      <c r="R48" s="3622" t="e">
        <f>IF(E1="售价",ROUND(PRODUCT(R47,AA7:AA46),0),ROUND(PRODUCT(R47,AA7:AA46),1))</f>
        <v>#DIV/0!</v>
      </c>
      <c r="S48" s="3622"/>
      <c r="T48" s="3620" t="e">
        <f>IF(E1="售价",ROUND(PRODUCT(T47,AB7:AB46),0),ROUND(PRODUCT(T47,AB7:AB46),1))</f>
        <v>#DIV/0!</v>
      </c>
      <c r="U48" s="3621"/>
      <c r="V48" s="3622" t="e">
        <f>IF(E1="售价",ROUND(PRODUCT(V47,AC7:AC46),0),ROUND(PRODUCT(V47,AC7:AC46),1))</f>
        <v>#DIV/0!</v>
      </c>
      <c r="W48" s="3622"/>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9"/>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59"/>
      <c r="Y49" s="1759"/>
      <c r="Z49" s="1759"/>
      <c r="AA49" s="1759"/>
      <c r="AB49" s="1759"/>
      <c r="AC49" s="1759"/>
    </row>
    <row r="50" spans="1:29">
      <c r="G50" s="2973"/>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6"/>
      <c r="L54" s="2970"/>
      <c r="P54" s="1780"/>
    </row>
    <row r="55" spans="1:29" s="1781" customFormat="1">
      <c r="B55" s="2974"/>
      <c r="C55" s="2975"/>
      <c r="K55" s="2976"/>
      <c r="L55" s="2970"/>
      <c r="P55" s="1780"/>
    </row>
    <row r="56" spans="1:29">
      <c r="B56" s="2974"/>
      <c r="C56" s="2975"/>
    </row>
    <row r="57" spans="1:29" ht="21.75" thickBot="1">
      <c r="A57" s="1784" t="s">
        <v>2235</v>
      </c>
      <c r="B57" s="1759"/>
      <c r="C57" s="1785"/>
      <c r="D57" s="1785"/>
      <c r="E57" s="1785"/>
      <c r="F57" s="1785"/>
      <c r="G57" s="1785"/>
      <c r="H57" s="1785"/>
      <c r="I57" s="1785"/>
      <c r="J57" s="1785"/>
      <c r="K57" s="1786"/>
      <c r="L57" s="2971"/>
      <c r="M57" s="2972"/>
      <c r="N57" s="2972"/>
      <c r="O57" s="2972"/>
      <c r="P57" s="1788"/>
      <c r="Q57" s="1789"/>
    </row>
    <row r="58" spans="1:29" s="1795" customFormat="1" ht="15">
      <c r="A58" s="1790" t="s">
        <v>2236</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88" t="s">
        <v>2290</v>
      </c>
      <c r="E144" s="1901">
        <v>102</v>
      </c>
      <c r="F144" s="1909">
        <v>100</v>
      </c>
      <c r="G144" s="1388"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2687</v>
      </c>
      <c r="D1" s="2437"/>
      <c r="E1" s="1608" t="s">
        <v>2685</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330</v>
      </c>
      <c r="C2" s="1618" t="str">
        <f>'数据-取费表'!B3</f>
        <v>万元</v>
      </c>
      <c r="D2" s="1619" t="s">
        <v>1183</v>
      </c>
      <c r="E2" s="2438" t="e">
        <f ca="1">SUMIF(INDIRECT("'"&amp;G2&amp;"'"&amp;"!A:A"),"承租人权益价值",INDIRECT("'"&amp;G2&amp;"'"&amp;"!c:c"))</f>
        <v>#REF!</v>
      </c>
      <c r="F2" s="1621" t="str">
        <f>C2</f>
        <v>万元</v>
      </c>
      <c r="G2" s="1622"/>
      <c r="H2" s="2978"/>
      <c r="I2" s="2978"/>
      <c r="J2" s="2978"/>
      <c r="K2" s="2978"/>
      <c r="L2" s="2980"/>
      <c r="M2" s="2978"/>
      <c r="N2" s="2978"/>
      <c r="O2" s="2978"/>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46648</v>
      </c>
      <c r="C3" s="1627" t="s">
        <v>2185</v>
      </c>
      <c r="D3" s="1627">
        <f>IF(C1="仅计算典型户型",'数据-取费表'!E5,'数据-取费表'!B5)</f>
        <v>70.739999999999995</v>
      </c>
      <c r="F3" s="2977"/>
      <c r="G3" s="2978"/>
      <c r="H3" s="2978"/>
      <c r="I3" s="2978"/>
      <c r="J3" s="2978"/>
      <c r="K3" s="2979"/>
      <c r="L3" s="2980"/>
      <c r="M3" s="2978"/>
      <c r="N3" s="2978"/>
      <c r="O3" s="2978"/>
      <c r="P3" s="2439"/>
      <c r="Q3" s="1924"/>
      <c r="R3" s="1924"/>
      <c r="S3" s="1924"/>
      <c r="T3" s="1924"/>
      <c r="U3" s="1924"/>
      <c r="V3" s="1924"/>
      <c r="W3" s="1924"/>
      <c r="X3" s="1924"/>
      <c r="Y3" s="1924"/>
      <c r="Z3" s="1924"/>
      <c r="AA3" s="1924"/>
      <c r="AB3" s="1924"/>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2042"/>
      <c r="Y4" s="3642" t="s">
        <v>2192</v>
      </c>
      <c r="Z4" s="3643"/>
      <c r="AA4" s="3650" t="s">
        <v>2188</v>
      </c>
      <c r="AB4" s="3663" t="s">
        <v>2189</v>
      </c>
      <c r="AC4" s="3650" t="s">
        <v>2190</v>
      </c>
    </row>
    <row r="5" spans="1:29" ht="15">
      <c r="A5" s="1635"/>
      <c r="B5" s="1636"/>
      <c r="C5" s="3638" t="s">
        <v>2193</v>
      </c>
      <c r="D5" s="3639"/>
      <c r="E5" s="3668" t="s">
        <v>3080</v>
      </c>
      <c r="F5" s="3665"/>
      <c r="G5" s="3669" t="s">
        <v>3082</v>
      </c>
      <c r="H5" s="3639"/>
      <c r="I5" s="3669" t="s">
        <v>3081</v>
      </c>
      <c r="J5" s="3639"/>
      <c r="K5" s="1933"/>
      <c r="L5" s="2963"/>
      <c r="M5" s="2964"/>
      <c r="N5" s="2964"/>
      <c r="O5" s="2964"/>
      <c r="P5" s="3659"/>
      <c r="Q5" s="3660"/>
      <c r="R5" s="3644"/>
      <c r="S5" s="3645"/>
      <c r="T5" s="3644"/>
      <c r="U5" s="3645"/>
      <c r="V5" s="3663"/>
      <c r="W5" s="3663"/>
      <c r="X5" s="2042"/>
      <c r="Y5" s="3644"/>
      <c r="Z5" s="3645"/>
      <c r="AA5" s="3651"/>
      <c r="AB5" s="3663"/>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2042"/>
      <c r="Y6" s="3646"/>
      <c r="Z6" s="3647"/>
      <c r="AA6" s="3652"/>
      <c r="AB6" s="3663"/>
      <c r="AC6" s="3652"/>
    </row>
    <row r="7" spans="1:29" s="1652" customFormat="1" ht="15.75" thickBot="1">
      <c r="A7" s="1640" t="s">
        <v>2199</v>
      </c>
      <c r="B7" s="1641"/>
      <c r="C7" s="1642">
        <f>'数据-取费表'!B2</f>
        <v>44777</v>
      </c>
      <c r="D7" s="1643">
        <v>100</v>
      </c>
      <c r="E7" s="1644">
        <f>C7</f>
        <v>44777</v>
      </c>
      <c r="F7" s="1645">
        <f>SUMIF(58:58,YEAR(E7)&amp;"-"&amp;MONTH(E7),59:59)</f>
        <v>100</v>
      </c>
      <c r="G7" s="1644">
        <f>E7</f>
        <v>44777</v>
      </c>
      <c r="H7" s="1643">
        <f>SUMIF(58:58,YEAR(G7)&amp;"-"&amp;MONTH(G7),59:59)</f>
        <v>100</v>
      </c>
      <c r="I7" s="1644">
        <f>G7</f>
        <v>44777</v>
      </c>
      <c r="J7" s="1643">
        <f>SUMIF(58:58,YEAR(I7)&amp;"-"&amp;MONTH(I7),59:59)</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SUMIF(61:61,E8,62:62)-SUMIF(61:61,C8,62:62)+100</f>
        <v>100</v>
      </c>
      <c r="G8" s="1653" t="s">
        <v>2823</v>
      </c>
      <c r="H8" s="1643">
        <f>SUMIF(61:61,G8,62:62)-SUMIF(61:61,C8,62:62)+100</f>
        <v>100</v>
      </c>
      <c r="I8" s="1653" t="s">
        <v>2823</v>
      </c>
      <c r="J8" s="1643">
        <f>SUMIF(61:61,I8,62:62)-SUMIF(61:61,C8,62:62)+100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6" si="3">D8/F8</f>
        <v>1</v>
      </c>
      <c r="AB8" s="1651">
        <f t="shared" ref="AB8:AB46" si="4">D8/H8</f>
        <v>1</v>
      </c>
      <c r="AC8" s="1651">
        <f t="shared" ref="AC8:AC46" si="5">D8/J8</f>
        <v>1</v>
      </c>
    </row>
    <row r="9" spans="1:29" s="1652" customFormat="1">
      <c r="A9" s="2034" t="s">
        <v>2204</v>
      </c>
      <c r="B9" s="1655" t="s">
        <v>2205</v>
      </c>
      <c r="C9" s="3321" t="s">
        <v>3053</v>
      </c>
      <c r="D9" s="1657">
        <v>100</v>
      </c>
      <c r="E9" s="3323" t="s">
        <v>3053</v>
      </c>
      <c r="F9" s="1659">
        <f>SUMIF(63:63,E9,64:64)-SUMIF(63:63,C9,64:64)+100</f>
        <v>100</v>
      </c>
      <c r="G9" s="3323" t="s">
        <v>3053</v>
      </c>
      <c r="H9" s="1657">
        <f>SUMIF(63:63,G9,64:64)-SUMIF(63:63,C9,64:64)+100</f>
        <v>100</v>
      </c>
      <c r="I9" s="3323" t="s">
        <v>3053</v>
      </c>
      <c r="J9" s="1657">
        <f>SUMIF(63:63,I9,64:64)-SUMIF(63:63,C9,64:64)+100</f>
        <v>100</v>
      </c>
      <c r="K9" s="1935"/>
      <c r="L9" s="2963"/>
      <c r="M9" s="2936"/>
      <c r="N9" s="2936"/>
      <c r="O9" s="2936"/>
      <c r="P9" s="3649" t="s">
        <v>2206</v>
      </c>
      <c r="Q9" s="2033"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75" thickBot="1">
      <c r="A10" s="1662"/>
      <c r="B10" s="1663" t="s">
        <v>2208</v>
      </c>
      <c r="C10" s="1664" t="s">
        <v>3085</v>
      </c>
      <c r="D10" s="1665">
        <v>100</v>
      </c>
      <c r="E10" s="1666" t="s">
        <v>3006</v>
      </c>
      <c r="F10" s="1667">
        <f>SUMIF(65:65,E10,66:66)-SUMIF(65:65,C10,66:66)+100</f>
        <v>102</v>
      </c>
      <c r="G10" s="1664" t="s">
        <v>3006</v>
      </c>
      <c r="H10" s="1665">
        <f>SUMIF(65:65,G10,66:66)-SUMIF(65:65,C10,66:66)+100</f>
        <v>102</v>
      </c>
      <c r="I10" s="1664" t="s">
        <v>3006</v>
      </c>
      <c r="J10" s="1665">
        <f>SUMIF(65:65,I10,66:66)-SUMIF(65:65,C10,66:66)+100</f>
        <v>102</v>
      </c>
      <c r="K10" s="1960">
        <v>1</v>
      </c>
      <c r="L10" s="2965"/>
      <c r="M10" s="2966"/>
      <c r="N10" s="2966"/>
      <c r="O10" s="2966"/>
      <c r="P10" s="3649"/>
      <c r="Q10" s="2033" t="str">
        <f t="shared" si="6"/>
        <v>土地使用年限（年）</v>
      </c>
      <c r="R10" s="1648" t="s">
        <v>25</v>
      </c>
      <c r="S10" s="1649">
        <f t="shared" si="0"/>
        <v>102</v>
      </c>
      <c r="T10" s="1648" t="s">
        <v>25</v>
      </c>
      <c r="U10" s="1649">
        <f t="shared" si="1"/>
        <v>102</v>
      </c>
      <c r="V10" s="1648" t="s">
        <v>25</v>
      </c>
      <c r="W10" s="1649">
        <f t="shared" si="2"/>
        <v>102</v>
      </c>
      <c r="X10" s="1650"/>
      <c r="Y10" s="3534"/>
      <c r="Z10" s="1661" t="str">
        <f t="shared" si="7"/>
        <v>土地使用年限（年）</v>
      </c>
      <c r="AA10" s="1651">
        <f t="shared" si="3"/>
        <v>0.98039215686274506</v>
      </c>
      <c r="AB10" s="1651">
        <f t="shared" si="4"/>
        <v>0.98039215686274506</v>
      </c>
      <c r="AC10" s="1651">
        <f t="shared" si="5"/>
        <v>0.98039215686274506</v>
      </c>
    </row>
    <row r="11" spans="1:29" ht="15" hidden="1">
      <c r="A11" s="1670"/>
      <c r="B11" s="1663" t="s">
        <v>2209</v>
      </c>
      <c r="C11" s="1671"/>
      <c r="D11" s="1665">
        <v>100</v>
      </c>
      <c r="E11" s="1672"/>
      <c r="F11" s="1667">
        <f>LOOKUP(E11,68:68,69:69)-LOOKUP(C11,68:68,69:69)+100</f>
        <v>100</v>
      </c>
      <c r="G11" s="1671"/>
      <c r="H11" s="1665">
        <f>LOOKUP(G11,68:68,69:69)-LOOKUP(C11,68:68,69:69)+100</f>
        <v>100</v>
      </c>
      <c r="I11" s="1671"/>
      <c r="J11" s="1665">
        <f>LOOKUP(I11,68:68,69:69)-LOOKUP(C11,68:68,69:69)+100</f>
        <v>100</v>
      </c>
      <c r="K11" s="1960"/>
      <c r="L11" s="2967"/>
      <c r="M11" s="2964"/>
      <c r="N11" s="2964"/>
      <c r="O11" s="2964"/>
      <c r="P11" s="3649"/>
      <c r="Q11" s="2033"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3"/>
      <c r="M12" s="2936"/>
      <c r="N12" s="2936"/>
      <c r="O12" s="2936"/>
      <c r="P12" s="3649"/>
      <c r="Q12" s="2033">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 hidden="1">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8"/>
      <c r="M13" s="2964"/>
      <c r="N13" s="2964"/>
      <c r="O13" s="2964"/>
      <c r="P13" s="3649"/>
      <c r="Q13" s="2033">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8"/>
      <c r="M14" s="2964"/>
      <c r="N14" s="2964"/>
      <c r="O14" s="2964"/>
      <c r="P14" s="3649"/>
      <c r="Q14" s="2033">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71.25">
      <c r="A15" s="1685" t="s">
        <v>2210</v>
      </c>
      <c r="B15" s="1686" t="s">
        <v>2296</v>
      </c>
      <c r="C15" s="1687" t="str">
        <f>估价对象房地状况!C4</f>
        <v>估价对象位于XX商圈，周边商业氛围成熟，人流量大，商业繁华度好</v>
      </c>
      <c r="D15" s="1688">
        <v>100</v>
      </c>
      <c r="E15" s="1689"/>
      <c r="F15" s="1690">
        <f>SUMIF(76:76,E16,77:77)-SUMIF(76:76,C16,77:77)+100</f>
        <v>105</v>
      </c>
      <c r="G15" s="1691"/>
      <c r="H15" s="1688">
        <f>SUMIF(76:76,G16,77:77)-SUMIF(76:76,C16,77:77)+100</f>
        <v>105</v>
      </c>
      <c r="I15" s="1689"/>
      <c r="J15" s="1688">
        <f>SUMIF(76:76,I16,77:77)-SUMIF(76:76,C16,77:77)+100</f>
        <v>100</v>
      </c>
      <c r="K15" s="2440">
        <v>5</v>
      </c>
      <c r="L15" s="2968"/>
      <c r="M15" s="2964"/>
      <c r="N15" s="2964"/>
      <c r="O15" s="2964"/>
      <c r="P15" s="3627" t="s">
        <v>2211</v>
      </c>
      <c r="Q15" s="2039" t="str">
        <f t="shared" si="6"/>
        <v>商业繁华度</v>
      </c>
      <c r="R15" s="1693" t="s">
        <v>25</v>
      </c>
      <c r="S15" s="1694">
        <f t="shared" si="0"/>
        <v>105</v>
      </c>
      <c r="T15" s="1693" t="s">
        <v>25</v>
      </c>
      <c r="U15" s="1694">
        <f t="shared" si="1"/>
        <v>105</v>
      </c>
      <c r="V15" s="1693" t="s">
        <v>25</v>
      </c>
      <c r="W15" s="1694">
        <f t="shared" si="2"/>
        <v>100</v>
      </c>
      <c r="X15" s="2042"/>
      <c r="Y15" s="3629" t="s">
        <v>2211</v>
      </c>
      <c r="Z15" s="2046" t="str">
        <f t="shared" si="7"/>
        <v>商业繁华度</v>
      </c>
      <c r="AA15" s="2037">
        <f t="shared" si="3"/>
        <v>0.95238095238095233</v>
      </c>
      <c r="AB15" s="2037">
        <f t="shared" si="4"/>
        <v>0.95238095238095233</v>
      </c>
      <c r="AC15" s="2037">
        <f t="shared" si="5"/>
        <v>1</v>
      </c>
    </row>
    <row r="16" spans="1:29" ht="15">
      <c r="A16" s="1670"/>
      <c r="B16" s="1697"/>
      <c r="C16" s="1698" t="s">
        <v>30</v>
      </c>
      <c r="D16" s="1699"/>
      <c r="E16" s="1698" t="s">
        <v>29</v>
      </c>
      <c r="F16" s="1701"/>
      <c r="G16" s="1698" t="s">
        <v>29</v>
      </c>
      <c r="H16" s="1703"/>
      <c r="I16" s="1698" t="s">
        <v>30</v>
      </c>
      <c r="J16" s="1699"/>
      <c r="K16" s="2441"/>
      <c r="L16" s="2968"/>
      <c r="M16" s="2964"/>
      <c r="N16" s="2964"/>
      <c r="O16" s="2964"/>
      <c r="P16" s="3628"/>
      <c r="Q16" s="2039"/>
      <c r="R16" s="1693"/>
      <c r="S16" s="1694"/>
      <c r="T16" s="1693"/>
      <c r="U16" s="1694"/>
      <c r="V16" s="1693"/>
      <c r="W16" s="1694"/>
      <c r="X16" s="2042"/>
      <c r="Y16" s="3630"/>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103</v>
      </c>
      <c r="G17" s="1709"/>
      <c r="H17" s="1710">
        <f>SUMIF(78:78,G18,79:79)-SUMIF(78:78,C18,79:79)+100</f>
        <v>100</v>
      </c>
      <c r="I17" s="1707"/>
      <c r="J17" s="1710">
        <f>SUMIF(78:78,I18,79:79)-SUMIF(78:78,C18,79:79)+100</f>
        <v>100</v>
      </c>
      <c r="K17" s="2440">
        <v>3</v>
      </c>
      <c r="L17" s="2968"/>
      <c r="M17" s="2964"/>
      <c r="N17" s="2964"/>
      <c r="O17" s="2964"/>
      <c r="P17" s="3628"/>
      <c r="Q17" s="2039" t="str">
        <f>B17</f>
        <v>交通便捷度</v>
      </c>
      <c r="R17" s="1693" t="s">
        <v>25</v>
      </c>
      <c r="S17" s="1694">
        <f>F17</f>
        <v>103</v>
      </c>
      <c r="T17" s="1693" t="s">
        <v>25</v>
      </c>
      <c r="U17" s="1694">
        <f>H17</f>
        <v>100</v>
      </c>
      <c r="V17" s="1693" t="s">
        <v>25</v>
      </c>
      <c r="W17" s="1694">
        <f>J17</f>
        <v>100</v>
      </c>
      <c r="X17" s="2042"/>
      <c r="Y17" s="3630"/>
      <c r="Z17" s="2046" t="str">
        <f>Q17</f>
        <v>交通便捷度</v>
      </c>
      <c r="AA17" s="2037">
        <f t="shared" si="3"/>
        <v>0.970873786407767</v>
      </c>
      <c r="AB17" s="2037">
        <f t="shared" si="4"/>
        <v>1</v>
      </c>
      <c r="AC17" s="2037">
        <f t="shared" si="5"/>
        <v>1</v>
      </c>
    </row>
    <row r="18" spans="1:29" ht="15">
      <c r="A18" s="1670"/>
      <c r="B18" s="1711"/>
      <c r="C18" s="1712" t="s">
        <v>30</v>
      </c>
      <c r="D18" s="1703"/>
      <c r="E18" s="1713" t="s">
        <v>29</v>
      </c>
      <c r="F18" s="1708"/>
      <c r="G18" s="1714" t="s">
        <v>30</v>
      </c>
      <c r="H18" s="1699"/>
      <c r="I18" s="1713" t="s">
        <v>30</v>
      </c>
      <c r="J18" s="1699"/>
      <c r="K18" s="2441"/>
      <c r="L18" s="2968"/>
      <c r="M18" s="2964"/>
      <c r="N18" s="2964"/>
      <c r="O18" s="2964"/>
      <c r="P18" s="3628"/>
      <c r="Q18" s="2039"/>
      <c r="R18" s="1693"/>
      <c r="S18" s="1694"/>
      <c r="T18" s="1693"/>
      <c r="U18" s="1694"/>
      <c r="V18" s="1693"/>
      <c r="W18" s="1694"/>
      <c r="X18" s="2042"/>
      <c r="Y18" s="3630"/>
      <c r="Z18" s="2046"/>
      <c r="AA18" s="2037">
        <v>1</v>
      </c>
      <c r="AB18" s="2037">
        <v>1</v>
      </c>
      <c r="AC18" s="2037">
        <v>1</v>
      </c>
    </row>
    <row r="19" spans="1:29" ht="42.75">
      <c r="A19" s="1670"/>
      <c r="B19" s="1705" t="s">
        <v>2297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2440">
        <v>2</v>
      </c>
      <c r="L19" s="2968"/>
      <c r="M19" s="2964"/>
      <c r="N19" s="2964"/>
      <c r="O19" s="2964"/>
      <c r="P19" s="3628"/>
      <c r="Q19" s="2039" t="str">
        <f>B19</f>
        <v>公共配套设施</v>
      </c>
      <c r="R19" s="1693" t="s">
        <v>25</v>
      </c>
      <c r="S19" s="1694">
        <f>F19</f>
        <v>100</v>
      </c>
      <c r="T19" s="1693" t="s">
        <v>25</v>
      </c>
      <c r="U19" s="1694">
        <f>H19</f>
        <v>100</v>
      </c>
      <c r="V19" s="1693" t="s">
        <v>25</v>
      </c>
      <c r="W19" s="1694">
        <f>J19</f>
        <v>100</v>
      </c>
      <c r="X19" s="2042"/>
      <c r="Y19" s="3630"/>
      <c r="Z19" s="2046" t="str">
        <f>Q19</f>
        <v>公共配套设施</v>
      </c>
      <c r="AA19" s="2037">
        <f t="shared" si="3"/>
        <v>1</v>
      </c>
      <c r="AB19" s="2037">
        <f t="shared" si="4"/>
        <v>1</v>
      </c>
      <c r="AC19" s="2037">
        <f t="shared" si="5"/>
        <v>1</v>
      </c>
    </row>
    <row r="20" spans="1:29" ht="15">
      <c r="A20" s="1670"/>
      <c r="B20" s="1711"/>
      <c r="C20" s="1698" t="s">
        <v>30</v>
      </c>
      <c r="D20" s="1699"/>
      <c r="E20" s="1698" t="s">
        <v>30</v>
      </c>
      <c r="F20" s="1701"/>
      <c r="G20" s="1698" t="s">
        <v>30</v>
      </c>
      <c r="H20" s="1699"/>
      <c r="I20" s="1698" t="s">
        <v>30</v>
      </c>
      <c r="J20" s="1699"/>
      <c r="K20" s="2441"/>
      <c r="L20" s="2968"/>
      <c r="M20" s="2964"/>
      <c r="N20" s="2964"/>
      <c r="O20" s="2964"/>
      <c r="P20" s="3628"/>
      <c r="Q20" s="2039"/>
      <c r="R20" s="1693"/>
      <c r="S20" s="1694"/>
      <c r="T20" s="1693"/>
      <c r="U20" s="1694"/>
      <c r="V20" s="1693"/>
      <c r="W20" s="1694"/>
      <c r="X20" s="2042"/>
      <c r="Y20" s="3630"/>
      <c r="Z20" s="2046"/>
      <c r="AA20" s="2037">
        <v>1</v>
      </c>
      <c r="AB20" s="2037">
        <v>1</v>
      </c>
      <c r="AC20" s="2037">
        <v>1</v>
      </c>
    </row>
    <row r="21" spans="1:29" ht="28.5">
      <c r="A21" s="1670"/>
      <c r="B21" s="1718" t="s">
        <v>2298</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2440">
        <v>2</v>
      </c>
      <c r="L21" s="2968"/>
      <c r="M21" s="2964"/>
      <c r="N21" s="2964"/>
      <c r="O21" s="2964"/>
      <c r="P21" s="3628"/>
      <c r="Q21" s="2039" t="str">
        <f>B21</f>
        <v>基础设施水平</v>
      </c>
      <c r="R21" s="1693" t="s">
        <v>25</v>
      </c>
      <c r="S21" s="1694">
        <f>F21</f>
        <v>100</v>
      </c>
      <c r="T21" s="1693" t="s">
        <v>25</v>
      </c>
      <c r="U21" s="1694">
        <f>H21</f>
        <v>100</v>
      </c>
      <c r="V21" s="1693" t="s">
        <v>25</v>
      </c>
      <c r="W21" s="1694">
        <f>J21</f>
        <v>100</v>
      </c>
      <c r="X21" s="2042"/>
      <c r="Y21" s="3630"/>
      <c r="Z21" s="2046" t="str">
        <f>Q21</f>
        <v>基础设施水平</v>
      </c>
      <c r="AA21" s="2037">
        <f t="shared" ref="AA21" si="8">D21/F21</f>
        <v>1</v>
      </c>
      <c r="AB21" s="2037">
        <f t="shared" ref="AB21" si="9">D21/H21</f>
        <v>1</v>
      </c>
      <c r="AC21" s="2037">
        <f t="shared" ref="AC21" si="10">D21/J21</f>
        <v>1</v>
      </c>
    </row>
    <row r="22" spans="1:29" ht="15">
      <c r="A22" s="1670"/>
      <c r="B22" s="1718"/>
      <c r="C22" s="1712" t="s">
        <v>3007</v>
      </c>
      <c r="D22" s="1699"/>
      <c r="E22" s="1712" t="s">
        <v>3007</v>
      </c>
      <c r="F22" s="1701"/>
      <c r="G22" s="1712" t="s">
        <v>3007</v>
      </c>
      <c r="H22" s="1699"/>
      <c r="I22" s="1712" t="s">
        <v>3007</v>
      </c>
      <c r="J22" s="1699"/>
      <c r="K22" s="2442"/>
      <c r="L22" s="2968"/>
      <c r="M22" s="2964"/>
      <c r="N22" s="2964"/>
      <c r="O22" s="2964"/>
      <c r="P22" s="3628"/>
      <c r="Q22" s="2039"/>
      <c r="R22" s="1693"/>
      <c r="S22" s="1694"/>
      <c r="T22" s="1693"/>
      <c r="U22" s="1694"/>
      <c r="V22" s="1693"/>
      <c r="W22" s="1694"/>
      <c r="X22" s="2042"/>
      <c r="Y22" s="3630"/>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8"/>
      <c r="M23" s="2964"/>
      <c r="N23" s="2964"/>
      <c r="O23" s="2964"/>
      <c r="P23" s="3628"/>
      <c r="Q23" s="2039" t="str">
        <f>B23</f>
        <v>自然及人文环境</v>
      </c>
      <c r="R23" s="1693" t="s">
        <v>25</v>
      </c>
      <c r="S23" s="1694">
        <f>F23</f>
        <v>100</v>
      </c>
      <c r="T23" s="1693" t="s">
        <v>25</v>
      </c>
      <c r="U23" s="1694">
        <f>H23</f>
        <v>100</v>
      </c>
      <c r="V23" s="1693" t="s">
        <v>25</v>
      </c>
      <c r="W23" s="1694">
        <f>J23</f>
        <v>100</v>
      </c>
      <c r="X23" s="2042"/>
      <c r="Y23" s="3630"/>
      <c r="Z23" s="2046" t="str">
        <f>Q23</f>
        <v>自然及人文环境</v>
      </c>
      <c r="AA23" s="2037">
        <f t="shared" si="3"/>
        <v>1</v>
      </c>
      <c r="AB23" s="2037">
        <f t="shared" si="4"/>
        <v>1</v>
      </c>
      <c r="AC23" s="2037">
        <f t="shared" si="5"/>
        <v>1</v>
      </c>
    </row>
    <row r="24" spans="1:29" ht="15">
      <c r="A24" s="1670"/>
      <c r="B24" s="1711"/>
      <c r="C24" s="1698" t="s">
        <v>30</v>
      </c>
      <c r="D24" s="1699"/>
      <c r="E24" s="1698" t="s">
        <v>30</v>
      </c>
      <c r="F24" s="1701"/>
      <c r="G24" s="1698" t="s">
        <v>30</v>
      </c>
      <c r="H24" s="1699"/>
      <c r="I24" s="1698" t="s">
        <v>30</v>
      </c>
      <c r="J24" s="1699"/>
      <c r="K24" s="2441"/>
      <c r="L24" s="2968"/>
      <c r="M24" s="2964"/>
      <c r="N24" s="2964"/>
      <c r="O24" s="2964"/>
      <c r="P24" s="3628"/>
      <c r="Q24" s="2039"/>
      <c r="R24" s="1693"/>
      <c r="S24" s="1694"/>
      <c r="T24" s="1693"/>
      <c r="U24" s="1694"/>
      <c r="V24" s="1693"/>
      <c r="W24" s="1694"/>
      <c r="X24" s="2042"/>
      <c r="Y24" s="3630"/>
      <c r="Z24" s="2046"/>
      <c r="AA24" s="2037">
        <v>1</v>
      </c>
      <c r="AB24" s="2037">
        <v>1</v>
      </c>
      <c r="AC24" s="2037">
        <v>1</v>
      </c>
    </row>
    <row r="25" spans="1:29" ht="15">
      <c r="A25" s="1670"/>
      <c r="B25" s="1663" t="s">
        <v>2299</v>
      </c>
      <c r="C25" s="1959" t="s">
        <v>3056</v>
      </c>
      <c r="D25" s="1679">
        <v>100</v>
      </c>
      <c r="E25" s="1959" t="s">
        <v>3056</v>
      </c>
      <c r="F25" s="1722">
        <f>SUMIF(86:86,E25,87:87)-SUMIF(86:86,C25,87:87)+100</f>
        <v>100</v>
      </c>
      <c r="G25" s="1959" t="s">
        <v>3056</v>
      </c>
      <c r="H25" s="1679">
        <f>SUMIF(86:86,G25,87:87)-SUMIF(86:86,C25,87:87)+100</f>
        <v>100</v>
      </c>
      <c r="I25" s="1959" t="s">
        <v>3056</v>
      </c>
      <c r="J25" s="1679">
        <f>SUMIF(86:86,I25,87:87)-SUMIF(86:86,C25,87:87)+100</f>
        <v>100</v>
      </c>
      <c r="K25" s="1960">
        <v>3</v>
      </c>
      <c r="L25" s="2968"/>
      <c r="M25" s="2964"/>
      <c r="N25" s="2964"/>
      <c r="O25" s="2964"/>
      <c r="P25" s="3628"/>
      <c r="Q25" s="2039" t="str">
        <f t="shared" ref="Q25:Q46" si="11">B25</f>
        <v>临街状况</v>
      </c>
      <c r="R25" s="1693" t="s">
        <v>25</v>
      </c>
      <c r="S25" s="1694">
        <f>F25</f>
        <v>100</v>
      </c>
      <c r="T25" s="1693" t="s">
        <v>25</v>
      </c>
      <c r="U25" s="1694">
        <f>H25</f>
        <v>100</v>
      </c>
      <c r="V25" s="1693" t="s">
        <v>25</v>
      </c>
      <c r="W25" s="1694">
        <f>J25</f>
        <v>100</v>
      </c>
      <c r="X25" s="2042"/>
      <c r="Y25" s="3630"/>
      <c r="Z25" s="2046" t="str">
        <f>Q25</f>
        <v>临街状况</v>
      </c>
      <c r="AA25" s="2037">
        <f t="shared" si="3"/>
        <v>1</v>
      </c>
      <c r="AB25" s="2037">
        <f t="shared" si="4"/>
        <v>1</v>
      </c>
      <c r="AC25" s="2037">
        <f t="shared" si="5"/>
        <v>1</v>
      </c>
    </row>
    <row r="26" spans="1:29" ht="15">
      <c r="A26" s="1670"/>
      <c r="B26" s="1728" t="s">
        <v>2300</v>
      </c>
      <c r="C26" s="3341" t="s">
        <v>3083</v>
      </c>
      <c r="D26" s="1679">
        <v>100</v>
      </c>
      <c r="E26" s="3341" t="s">
        <v>3083</v>
      </c>
      <c r="F26" s="1722">
        <f>SUMIF(88:88,E26,89:89)-SUMIF(88:88,C26,89:89)+100</f>
        <v>100</v>
      </c>
      <c r="G26" s="3341" t="s">
        <v>3060</v>
      </c>
      <c r="H26" s="1679">
        <f>SUMIF(88:88,G26,89:89)-SUMIF(88:88,C26,89:89)+100</f>
        <v>100</v>
      </c>
      <c r="I26" s="3341" t="s">
        <v>3083</v>
      </c>
      <c r="J26" s="1679">
        <f>SUMIF(88:88,I26,89:89)-SUMIF(88:88,C26,89:89)+100</f>
        <v>100</v>
      </c>
      <c r="K26" s="1957"/>
      <c r="L26" s="2968"/>
      <c r="M26" s="2964"/>
      <c r="N26" s="2964"/>
      <c r="O26" s="2964"/>
      <c r="P26" s="3628"/>
      <c r="Q26" s="2039" t="str">
        <f t="shared" si="11"/>
        <v>平面位置/可视性</v>
      </c>
      <c r="R26" s="1693" t="s">
        <v>25</v>
      </c>
      <c r="S26" s="1694">
        <f>F26</f>
        <v>100</v>
      </c>
      <c r="T26" s="1693" t="s">
        <v>25</v>
      </c>
      <c r="U26" s="1694">
        <f>H26</f>
        <v>100</v>
      </c>
      <c r="V26" s="1693" t="s">
        <v>25</v>
      </c>
      <c r="W26" s="1694">
        <f>J26</f>
        <v>100</v>
      </c>
      <c r="X26" s="2042"/>
      <c r="Y26" s="3630"/>
      <c r="Z26" s="2046" t="str">
        <f>Q26</f>
        <v>平面位置/可视性</v>
      </c>
      <c r="AA26" s="2037">
        <f t="shared" si="3"/>
        <v>1</v>
      </c>
      <c r="AB26" s="2037">
        <f t="shared" si="4"/>
        <v>1</v>
      </c>
      <c r="AC26" s="2037">
        <f t="shared" si="5"/>
        <v>1</v>
      </c>
    </row>
    <row r="27" spans="1:29" s="1652" customFormat="1" ht="15">
      <c r="A27" s="1673"/>
      <c r="B27" s="1705" t="s">
        <v>2301</v>
      </c>
      <c r="C27" s="2444" t="s">
        <v>3063</v>
      </c>
      <c r="D27" s="1724">
        <v>100</v>
      </c>
      <c r="E27" s="2444" t="s">
        <v>3079</v>
      </c>
      <c r="F27" s="1726">
        <f>SUMIF(90:90,E27,91:91)-SUMIF(90:90,C27,91:91)+100</f>
        <v>103</v>
      </c>
      <c r="G27" s="2444" t="s">
        <v>3079</v>
      </c>
      <c r="H27" s="1724">
        <f>SUMIF(90:90,G27,91:91)-SUMIF(90:90,C27,91:91)+100</f>
        <v>103</v>
      </c>
      <c r="I27" s="2444" t="s">
        <v>3063</v>
      </c>
      <c r="J27" s="1724">
        <f>SUMIF(90:90,I27,91:91)-SUMIF(90:90,C27,91:91)+100</f>
        <v>100</v>
      </c>
      <c r="K27" s="1960">
        <v>3</v>
      </c>
      <c r="L27" s="2963"/>
      <c r="M27" s="2936"/>
      <c r="N27" s="2936"/>
      <c r="O27" s="2936"/>
      <c r="P27" s="3628"/>
      <c r="Q27" s="2033" t="str">
        <f t="shared" si="11"/>
        <v>人流量</v>
      </c>
      <c r="R27" s="1648" t="s">
        <v>25</v>
      </c>
      <c r="S27" s="1649">
        <f>F27</f>
        <v>103</v>
      </c>
      <c r="T27" s="1648" t="s">
        <v>25</v>
      </c>
      <c r="U27" s="1649">
        <f>H27</f>
        <v>103</v>
      </c>
      <c r="V27" s="1648" t="s">
        <v>25</v>
      </c>
      <c r="W27" s="1649">
        <f>J27</f>
        <v>100</v>
      </c>
      <c r="X27" s="1650"/>
      <c r="Y27" s="3630"/>
      <c r="Z27" s="1661" t="str">
        <f>Q27</f>
        <v>人流量</v>
      </c>
      <c r="AA27" s="2037">
        <f>D27/F27</f>
        <v>0.970873786407767</v>
      </c>
      <c r="AB27" s="2037">
        <f>D27/H27</f>
        <v>0.970873786407767</v>
      </c>
      <c r="AC27" s="2037">
        <f>D27/J27</f>
        <v>1</v>
      </c>
    </row>
    <row r="28" spans="1:29" ht="15">
      <c r="A28" s="1670"/>
      <c r="B28" s="1663" t="s">
        <v>2302</v>
      </c>
      <c r="C28" s="1959" t="s">
        <v>3084</v>
      </c>
      <c r="D28" s="1679">
        <v>100</v>
      </c>
      <c r="E28" s="1959" t="s">
        <v>3084</v>
      </c>
      <c r="F28" s="1722">
        <f>SUMIF(92:92,E28,93:93)-SUMIF(92:92,C28,93:93)+100</f>
        <v>100</v>
      </c>
      <c r="G28" s="1959" t="s">
        <v>3084</v>
      </c>
      <c r="H28" s="1679">
        <f>SUMIF(92:92,G28,93:93)-SUMIF(92:92,C28,93:93)+100</f>
        <v>100</v>
      </c>
      <c r="I28" s="1959" t="s">
        <v>3084</v>
      </c>
      <c r="J28" s="1679">
        <f>SUMIF(92:92,I28,93:93)-SUMIF(92:92,C28,93:93)+100</f>
        <v>100</v>
      </c>
      <c r="K28" s="1957"/>
      <c r="L28" s="2968"/>
      <c r="M28" s="2964"/>
      <c r="N28" s="2964"/>
      <c r="O28" s="2964"/>
      <c r="P28" s="3628"/>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30"/>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8"/>
      <c r="M29" s="2964"/>
      <c r="N29" s="2964"/>
      <c r="O29" s="2964"/>
      <c r="P29" s="3628"/>
      <c r="Q29" s="2039">
        <f t="shared" si="11"/>
        <v>111</v>
      </c>
      <c r="R29" s="1693" t="s">
        <v>25</v>
      </c>
      <c r="S29" s="1694">
        <f t="shared" si="12"/>
        <v>100</v>
      </c>
      <c r="T29" s="1693" t="s">
        <v>25</v>
      </c>
      <c r="U29" s="1694">
        <f t="shared" si="13"/>
        <v>100</v>
      </c>
      <c r="V29" s="1693" t="s">
        <v>25</v>
      </c>
      <c r="W29" s="1694">
        <f t="shared" si="14"/>
        <v>100</v>
      </c>
      <c r="X29" s="2042"/>
      <c r="Y29" s="3630"/>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8"/>
      <c r="M30" s="2964"/>
      <c r="N30" s="2964"/>
      <c r="O30" s="2964"/>
      <c r="P30" s="3628"/>
      <c r="Q30" s="2039">
        <f t="shared" si="11"/>
        <v>111</v>
      </c>
      <c r="R30" s="1693" t="s">
        <v>25</v>
      </c>
      <c r="S30" s="1694">
        <f t="shared" si="12"/>
        <v>100</v>
      </c>
      <c r="T30" s="1693" t="s">
        <v>25</v>
      </c>
      <c r="U30" s="1694">
        <f t="shared" si="13"/>
        <v>100</v>
      </c>
      <c r="V30" s="1693" t="s">
        <v>25</v>
      </c>
      <c r="W30" s="1694">
        <f t="shared" si="14"/>
        <v>100</v>
      </c>
      <c r="X30" s="2042"/>
      <c r="Y30" s="3630"/>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8"/>
      <c r="M31" s="2964"/>
      <c r="N31" s="2964"/>
      <c r="O31" s="2964"/>
      <c r="P31" s="3628"/>
      <c r="Q31" s="2039">
        <f t="shared" si="11"/>
        <v>111</v>
      </c>
      <c r="R31" s="1693" t="s">
        <v>25</v>
      </c>
      <c r="S31" s="1694">
        <f t="shared" si="12"/>
        <v>100</v>
      </c>
      <c r="T31" s="1693" t="s">
        <v>25</v>
      </c>
      <c r="U31" s="1694">
        <f t="shared" si="13"/>
        <v>100</v>
      </c>
      <c r="V31" s="1693" t="s">
        <v>25</v>
      </c>
      <c r="W31" s="1694">
        <f t="shared" si="14"/>
        <v>100</v>
      </c>
      <c r="X31" s="2042"/>
      <c r="Y31" s="3630"/>
      <c r="Z31" s="2046">
        <f t="shared" si="15"/>
        <v>111</v>
      </c>
      <c r="AA31" s="2037">
        <f t="shared" si="3"/>
        <v>1</v>
      </c>
      <c r="AB31" s="2037">
        <f t="shared" si="4"/>
        <v>1</v>
      </c>
      <c r="AC31" s="2037">
        <f t="shared" si="5"/>
        <v>1</v>
      </c>
    </row>
    <row r="32" spans="1:29" ht="15">
      <c r="A32" s="1685" t="s">
        <v>2215</v>
      </c>
      <c r="B32" s="1655" t="s">
        <v>2303</v>
      </c>
      <c r="C32" s="1729" t="s">
        <v>3072</v>
      </c>
      <c r="D32" s="1730">
        <v>100</v>
      </c>
      <c r="E32" s="1729" t="s">
        <v>3072</v>
      </c>
      <c r="F32" s="1722">
        <f>SUMIF(100:100,E32,101:101)-SUMIF(100:100,C32,101:101)+100</f>
        <v>100</v>
      </c>
      <c r="G32" s="1729" t="s">
        <v>3072</v>
      </c>
      <c r="H32" s="1679">
        <f>SUMIF(100:100,G32,101:101)-SUMIF(100:100,C32,101:101)+100</f>
        <v>100</v>
      </c>
      <c r="I32" s="1729" t="s">
        <v>3072</v>
      </c>
      <c r="J32" s="1730">
        <f>SUMIF(100:100,I32,101:101)-SUMIF(100:100,C32,101:101)+100</f>
        <v>100</v>
      </c>
      <c r="K32" s="1960">
        <v>2</v>
      </c>
      <c r="L32" s="2968"/>
      <c r="M32" s="2964"/>
      <c r="N32" s="2964"/>
      <c r="O32" s="2964"/>
      <c r="P32" s="3631" t="s">
        <v>2217</v>
      </c>
      <c r="Q32" s="2039" t="str">
        <f t="shared" si="11"/>
        <v>商业类型</v>
      </c>
      <c r="R32" s="1693" t="s">
        <v>25</v>
      </c>
      <c r="S32" s="1694">
        <f t="shared" si="12"/>
        <v>100</v>
      </c>
      <c r="T32" s="1693" t="s">
        <v>25</v>
      </c>
      <c r="U32" s="1694">
        <f t="shared" si="13"/>
        <v>100</v>
      </c>
      <c r="V32" s="1693" t="s">
        <v>25</v>
      </c>
      <c r="W32" s="1694">
        <f t="shared" si="14"/>
        <v>100</v>
      </c>
      <c r="X32" s="2042"/>
      <c r="Y32" s="3634" t="s">
        <v>2217</v>
      </c>
      <c r="Z32" s="2046" t="str">
        <f t="shared" si="15"/>
        <v>商业类型</v>
      </c>
      <c r="AA32" s="2037">
        <f t="shared" si="3"/>
        <v>1</v>
      </c>
      <c r="AB32" s="2037">
        <f t="shared" si="4"/>
        <v>1</v>
      </c>
      <c r="AC32" s="2037">
        <f t="shared" si="5"/>
        <v>1</v>
      </c>
    </row>
    <row r="33" spans="1:29" s="1739" customFormat="1" ht="15">
      <c r="A33" s="1732"/>
      <c r="B33" s="1663" t="s">
        <v>2218</v>
      </c>
      <c r="C33" s="1733">
        <f>项目基本情况!C12</f>
        <v>70.739999999999995</v>
      </c>
      <c r="D33" s="1665">
        <v>100</v>
      </c>
      <c r="E33" s="1672">
        <v>85</v>
      </c>
      <c r="F33" s="1667">
        <f>LOOKUP(E33,103:103,104:104)-LOOKUP(C33,103:103,104:104)+100</f>
        <v>100</v>
      </c>
      <c r="G33" s="1671">
        <v>108</v>
      </c>
      <c r="H33" s="1665">
        <f>LOOKUP(G33,103:103,104:104)-LOOKUP(C33,103:103,104:104)+100</f>
        <v>99</v>
      </c>
      <c r="I33" s="1671">
        <v>216</v>
      </c>
      <c r="J33" s="1665">
        <f>LOOKUP(I33,103:103,104:104)-LOOKUP(C33,103:103,104:104)+100</f>
        <v>98</v>
      </c>
      <c r="K33" s="1957"/>
      <c r="L33" s="2967"/>
      <c r="M33" s="2027"/>
      <c r="N33" s="2027"/>
      <c r="O33" s="2027"/>
      <c r="P33" s="3632"/>
      <c r="Q33" s="1734" t="str">
        <f t="shared" si="11"/>
        <v>项目建筑规模</v>
      </c>
      <c r="R33" s="1735" t="s">
        <v>25</v>
      </c>
      <c r="S33" s="1736">
        <f t="shared" si="12"/>
        <v>100</v>
      </c>
      <c r="T33" s="1735" t="s">
        <v>25</v>
      </c>
      <c r="U33" s="1736">
        <f t="shared" si="13"/>
        <v>99</v>
      </c>
      <c r="V33" s="1735" t="s">
        <v>25</v>
      </c>
      <c r="W33" s="1736">
        <f t="shared" si="14"/>
        <v>98</v>
      </c>
      <c r="X33" s="1737"/>
      <c r="Y33" s="3634"/>
      <c r="Z33" s="1738" t="str">
        <f t="shared" si="15"/>
        <v>项目建筑规模</v>
      </c>
      <c r="AA33" s="2037">
        <f t="shared" si="3"/>
        <v>1</v>
      </c>
      <c r="AB33" s="2037">
        <f t="shared" si="4"/>
        <v>1.0101010101010102</v>
      </c>
      <c r="AC33" s="2037">
        <f t="shared" si="5"/>
        <v>1.0204081632653061</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8"/>
      <c r="M34" s="2964"/>
      <c r="N34" s="2964"/>
      <c r="O34" s="2964"/>
      <c r="P34" s="3632"/>
      <c r="Q34" s="2039" t="str">
        <f t="shared" si="11"/>
        <v>建筑结构</v>
      </c>
      <c r="R34" s="1693" t="s">
        <v>25</v>
      </c>
      <c r="S34" s="1694">
        <f t="shared" si="12"/>
        <v>100</v>
      </c>
      <c r="T34" s="1693" t="s">
        <v>25</v>
      </c>
      <c r="U34" s="1694">
        <f t="shared" si="13"/>
        <v>100</v>
      </c>
      <c r="V34" s="1693" t="s">
        <v>25</v>
      </c>
      <c r="W34" s="1694">
        <f t="shared" si="14"/>
        <v>100</v>
      </c>
      <c r="X34" s="2042"/>
      <c r="Y34" s="3634"/>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8"/>
      <c r="M35" s="2964"/>
      <c r="N35" s="2964"/>
      <c r="O35" s="2964"/>
      <c r="P35" s="3632"/>
      <c r="Q35" s="2039" t="str">
        <f t="shared" si="11"/>
        <v>公共部分装修</v>
      </c>
      <c r="R35" s="1693" t="s">
        <v>25</v>
      </c>
      <c r="S35" s="1694">
        <f t="shared" si="12"/>
        <v>100</v>
      </c>
      <c r="T35" s="1693" t="s">
        <v>25</v>
      </c>
      <c r="U35" s="1694">
        <f t="shared" si="13"/>
        <v>100</v>
      </c>
      <c r="V35" s="1693" t="s">
        <v>25</v>
      </c>
      <c r="W35" s="1694">
        <f t="shared" si="14"/>
        <v>100</v>
      </c>
      <c r="X35" s="2042"/>
      <c r="Y35" s="3634"/>
      <c r="Z35" s="2046" t="str">
        <f t="shared" si="15"/>
        <v>公共部分装修</v>
      </c>
      <c r="AA35" s="2037">
        <f t="shared" si="3"/>
        <v>1</v>
      </c>
      <c r="AB35" s="2037">
        <f t="shared" si="4"/>
        <v>1</v>
      </c>
      <c r="AC35" s="2037">
        <f t="shared" si="5"/>
        <v>1</v>
      </c>
    </row>
    <row r="36" spans="1:29" ht="15">
      <c r="A36" s="1740"/>
      <c r="B36" s="1663" t="s">
        <v>2305</v>
      </c>
      <c r="C36" s="1744">
        <v>0.81</v>
      </c>
      <c r="D36" s="1679">
        <v>100</v>
      </c>
      <c r="E36" s="1744">
        <f>C36</f>
        <v>0.81</v>
      </c>
      <c r="F36" s="1722">
        <f>LOOKUP(E36,110:110,111:111)-LOOKUP(C36,110:110,111:111)+100</f>
        <v>100</v>
      </c>
      <c r="G36" s="1744">
        <v>0.81</v>
      </c>
      <c r="H36" s="1722">
        <f>LOOKUP(G36,110:110,111:111)-LOOKUP(C36,110:110,111:111)+100</f>
        <v>100</v>
      </c>
      <c r="I36" s="1744">
        <v>0.81</v>
      </c>
      <c r="J36" s="1679">
        <f>LOOKUP(I36,110:110,111:111)-LOOKUP(C36,110:110,111:111)+100</f>
        <v>100</v>
      </c>
      <c r="K36" s="1960">
        <v>1</v>
      </c>
      <c r="L36" s="2968"/>
      <c r="M36" s="2964"/>
      <c r="N36" s="2964"/>
      <c r="O36" s="2964"/>
      <c r="P36" s="3632"/>
      <c r="Q36" s="2039" t="str">
        <f t="shared" si="11"/>
        <v>成新度</v>
      </c>
      <c r="R36" s="1693" t="s">
        <v>25</v>
      </c>
      <c r="S36" s="1694">
        <f t="shared" si="12"/>
        <v>100</v>
      </c>
      <c r="T36" s="1693" t="s">
        <v>25</v>
      </c>
      <c r="U36" s="1694">
        <f t="shared" si="13"/>
        <v>100</v>
      </c>
      <c r="V36" s="1693" t="s">
        <v>25</v>
      </c>
      <c r="W36" s="1694">
        <f t="shared" si="14"/>
        <v>100</v>
      </c>
      <c r="X36" s="2042"/>
      <c r="Y36" s="3634"/>
      <c r="Z36" s="2046" t="str">
        <f t="shared" si="15"/>
        <v>成新度</v>
      </c>
      <c r="AA36" s="2037">
        <f t="shared" si="3"/>
        <v>1</v>
      </c>
      <c r="AB36" s="2037">
        <f t="shared" si="4"/>
        <v>1</v>
      </c>
      <c r="AC36" s="2037">
        <f t="shared" si="5"/>
        <v>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3"/>
      <c r="M37" s="2936"/>
      <c r="N37" s="2936"/>
      <c r="O37" s="2936"/>
      <c r="P37" s="3632"/>
      <c r="Q37" s="2033" t="str">
        <f t="shared" si="11"/>
        <v>市政基础设施</v>
      </c>
      <c r="R37" s="1648" t="s">
        <v>25</v>
      </c>
      <c r="S37" s="1649">
        <f t="shared" si="12"/>
        <v>100</v>
      </c>
      <c r="T37" s="1648" t="s">
        <v>25</v>
      </c>
      <c r="U37" s="1649">
        <f t="shared" si="13"/>
        <v>100</v>
      </c>
      <c r="V37" s="1648" t="s">
        <v>25</v>
      </c>
      <c r="W37" s="1649">
        <f t="shared" si="14"/>
        <v>100</v>
      </c>
      <c r="X37" s="1650"/>
      <c r="Y37" s="3634"/>
      <c r="Z37" s="1661" t="str">
        <f t="shared" si="15"/>
        <v>市政基础设施</v>
      </c>
      <c r="AA37" s="1651">
        <f t="shared" si="3"/>
        <v>1</v>
      </c>
      <c r="AB37" s="1651">
        <f t="shared" si="4"/>
        <v>1</v>
      </c>
      <c r="AC37" s="1651">
        <f t="shared" si="5"/>
        <v>1</v>
      </c>
    </row>
    <row r="38" spans="1:29" ht="15">
      <c r="A38" s="1740"/>
      <c r="B38" s="1663" t="s">
        <v>2307</v>
      </c>
      <c r="C38" s="1723" t="s">
        <v>3068</v>
      </c>
      <c r="D38" s="1679">
        <v>100</v>
      </c>
      <c r="E38" s="1723" t="s">
        <v>3068</v>
      </c>
      <c r="F38" s="1722">
        <f>SUMIF(114:114,E38,115:115)-SUMIF(114:114,C38,115:115)+100</f>
        <v>100</v>
      </c>
      <c r="G38" s="1723" t="s">
        <v>3068</v>
      </c>
      <c r="H38" s="1679">
        <f>SUMIF(114:114,G38,115:115)-SUMIF(114:114,C38,115:115)+100</f>
        <v>100</v>
      </c>
      <c r="I38" s="1723" t="s">
        <v>3068</v>
      </c>
      <c r="J38" s="1679">
        <f>SUMIF(114:114,I38,115:115)-SUMIF(114:114,C38,115:115)+100</f>
        <v>100</v>
      </c>
      <c r="K38" s="1960">
        <v>2</v>
      </c>
      <c r="L38" s="2968"/>
      <c r="M38" s="2964"/>
      <c r="N38" s="2964"/>
      <c r="O38" s="2964"/>
      <c r="P38" s="3632" t="s">
        <v>2217</v>
      </c>
      <c r="Q38" s="2039" t="str">
        <f t="shared" si="11"/>
        <v>业态</v>
      </c>
      <c r="R38" s="1693" t="s">
        <v>25</v>
      </c>
      <c r="S38" s="1694">
        <f t="shared" si="12"/>
        <v>100</v>
      </c>
      <c r="T38" s="1693" t="s">
        <v>25</v>
      </c>
      <c r="U38" s="1694">
        <f t="shared" si="13"/>
        <v>100</v>
      </c>
      <c r="V38" s="1693" t="s">
        <v>25</v>
      </c>
      <c r="W38" s="1694">
        <f t="shared" si="14"/>
        <v>100</v>
      </c>
      <c r="X38" s="2042"/>
      <c r="Y38" s="3634" t="s">
        <v>2217</v>
      </c>
      <c r="Z38" s="2046" t="str">
        <f t="shared" si="15"/>
        <v>业态</v>
      </c>
      <c r="AA38" s="2037">
        <f t="shared" si="3"/>
        <v>1</v>
      </c>
      <c r="AB38" s="2037">
        <f t="shared" si="4"/>
        <v>1</v>
      </c>
      <c r="AC38" s="2037">
        <f t="shared" si="5"/>
        <v>1</v>
      </c>
    </row>
    <row r="39" spans="1:29" ht="15">
      <c r="A39" s="1740"/>
      <c r="B39" s="1663" t="s">
        <v>2308</v>
      </c>
      <c r="C39" s="1723" t="s">
        <v>3042</v>
      </c>
      <c r="D39" s="1679">
        <v>100</v>
      </c>
      <c r="E39" s="1723" t="s">
        <v>3042</v>
      </c>
      <c r="F39" s="1722">
        <f>SUMIF(116:116,E39,117:117)-SUMIF(116:116,C39,117:117)+100</f>
        <v>100</v>
      </c>
      <c r="G39" s="1723" t="s">
        <v>3042</v>
      </c>
      <c r="H39" s="1679">
        <f>SUMIF(116:116,G39,117:117)-SUMIF(116:116,C39,117:117)+100</f>
        <v>100</v>
      </c>
      <c r="I39" s="1723" t="s">
        <v>3042</v>
      </c>
      <c r="J39" s="1679">
        <f>SUMIF(116:116,I39,117:117)-SUMIF(116:116,C39,117:117)+100</f>
        <v>100</v>
      </c>
      <c r="K39" s="1960">
        <v>2</v>
      </c>
      <c r="L39" s="2968"/>
      <c r="M39" s="2964"/>
      <c r="N39" s="2964"/>
      <c r="O39" s="2964"/>
      <c r="P39" s="3632"/>
      <c r="Q39" s="2039" t="str">
        <f t="shared" si="11"/>
        <v>层高</v>
      </c>
      <c r="R39" s="1693" t="s">
        <v>25</v>
      </c>
      <c r="S39" s="1694">
        <f t="shared" si="12"/>
        <v>100</v>
      </c>
      <c r="T39" s="1693" t="s">
        <v>25</v>
      </c>
      <c r="U39" s="1694">
        <f t="shared" si="13"/>
        <v>100</v>
      </c>
      <c r="V39" s="1693" t="s">
        <v>25</v>
      </c>
      <c r="W39" s="1694">
        <f t="shared" si="14"/>
        <v>100</v>
      </c>
      <c r="X39" s="2042"/>
      <c r="Y39" s="3634"/>
      <c r="Z39" s="2046" t="str">
        <f t="shared" si="15"/>
        <v>层高</v>
      </c>
      <c r="AA39" s="2037">
        <f t="shared" si="3"/>
        <v>1</v>
      </c>
      <c r="AB39" s="2037">
        <f t="shared" si="4"/>
        <v>1</v>
      </c>
      <c r="AC39" s="2037">
        <f t="shared" si="5"/>
        <v>1</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8"/>
      <c r="M40" s="2964"/>
      <c r="N40" s="2964"/>
      <c r="O40" s="2964"/>
      <c r="P40" s="3632"/>
      <c r="Q40" s="2039" t="str">
        <f t="shared" si="11"/>
        <v>单套建筑面积</v>
      </c>
      <c r="R40" s="1693" t="s">
        <v>25</v>
      </c>
      <c r="S40" s="1694">
        <f t="shared" si="12"/>
        <v>100</v>
      </c>
      <c r="T40" s="1693" t="s">
        <v>25</v>
      </c>
      <c r="U40" s="1694">
        <f t="shared" si="13"/>
        <v>100</v>
      </c>
      <c r="V40" s="1693" t="s">
        <v>25</v>
      </c>
      <c r="W40" s="1694">
        <f t="shared" si="14"/>
        <v>100</v>
      </c>
      <c r="X40" s="2042"/>
      <c r="Y40" s="3634"/>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7"/>
      <c r="M41" s="2027"/>
      <c r="N41" s="2027"/>
      <c r="O41" s="2027"/>
      <c r="P41" s="3632"/>
      <c r="Q41" s="1734" t="str">
        <f t="shared" si="11"/>
        <v>进深比</v>
      </c>
      <c r="R41" s="1735" t="s">
        <v>25</v>
      </c>
      <c r="S41" s="1736">
        <f t="shared" si="12"/>
        <v>100</v>
      </c>
      <c r="T41" s="1735" t="s">
        <v>25</v>
      </c>
      <c r="U41" s="1736">
        <f t="shared" si="13"/>
        <v>100</v>
      </c>
      <c r="V41" s="1735" t="s">
        <v>25</v>
      </c>
      <c r="W41" s="1736">
        <f t="shared" si="14"/>
        <v>100</v>
      </c>
      <c r="X41" s="1737"/>
      <c r="Y41" s="3634"/>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8"/>
      <c r="M42" s="2964"/>
      <c r="N42" s="2964"/>
      <c r="O42" s="2964"/>
      <c r="P42" s="3632"/>
      <c r="Q42" s="2039" t="str">
        <f t="shared" si="11"/>
        <v>内部装修</v>
      </c>
      <c r="R42" s="1693" t="s">
        <v>25</v>
      </c>
      <c r="S42" s="1694">
        <f t="shared" si="12"/>
        <v>100</v>
      </c>
      <c r="T42" s="1693" t="s">
        <v>25</v>
      </c>
      <c r="U42" s="1694">
        <f t="shared" si="13"/>
        <v>100</v>
      </c>
      <c r="V42" s="1693" t="s">
        <v>25</v>
      </c>
      <c r="W42" s="1694">
        <f t="shared" si="14"/>
        <v>100</v>
      </c>
      <c r="X42" s="2042"/>
      <c r="Y42" s="3634"/>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8"/>
      <c r="M43" s="2964"/>
      <c r="N43" s="2964"/>
      <c r="O43" s="2964"/>
      <c r="P43" s="3632"/>
      <c r="Q43" s="2039" t="str">
        <f t="shared" si="11"/>
        <v>内部装修维护情况</v>
      </c>
      <c r="R43" s="1693" t="s">
        <v>25</v>
      </c>
      <c r="S43" s="1694">
        <f t="shared" si="12"/>
        <v>100</v>
      </c>
      <c r="T43" s="1693" t="s">
        <v>25</v>
      </c>
      <c r="U43" s="1694">
        <f t="shared" si="13"/>
        <v>100</v>
      </c>
      <c r="V43" s="1693" t="s">
        <v>25</v>
      </c>
      <c r="W43" s="1694">
        <f t="shared" si="14"/>
        <v>100</v>
      </c>
      <c r="X43" s="2042"/>
      <c r="Y43" s="3634"/>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3"/>
      <c r="M44" s="2936"/>
      <c r="N44" s="2936"/>
      <c r="O44" s="2936"/>
      <c r="P44" s="3632"/>
      <c r="Q44" s="2033">
        <f t="shared" si="11"/>
        <v>111</v>
      </c>
      <c r="R44" s="1648" t="s">
        <v>25</v>
      </c>
      <c r="S44" s="1649">
        <f t="shared" si="12"/>
        <v>100</v>
      </c>
      <c r="T44" s="1648" t="s">
        <v>25</v>
      </c>
      <c r="U44" s="1649">
        <f t="shared" si="13"/>
        <v>100</v>
      </c>
      <c r="V44" s="1648" t="s">
        <v>25</v>
      </c>
      <c r="W44" s="1649">
        <f t="shared" si="14"/>
        <v>100</v>
      </c>
      <c r="X44" s="1650"/>
      <c r="Y44" s="3634"/>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8"/>
      <c r="M45" s="2964"/>
      <c r="N45" s="2964"/>
      <c r="O45" s="2964"/>
      <c r="P45" s="3632"/>
      <c r="Q45" s="2039">
        <f t="shared" si="11"/>
        <v>111</v>
      </c>
      <c r="R45" s="1693" t="s">
        <v>25</v>
      </c>
      <c r="S45" s="1694">
        <f t="shared" si="12"/>
        <v>100</v>
      </c>
      <c r="T45" s="1693" t="s">
        <v>25</v>
      </c>
      <c r="U45" s="1694">
        <f t="shared" si="13"/>
        <v>100</v>
      </c>
      <c r="V45" s="1693" t="s">
        <v>25</v>
      </c>
      <c r="W45" s="1694">
        <f t="shared" si="14"/>
        <v>100</v>
      </c>
      <c r="X45" s="2042"/>
      <c r="Y45" s="3634"/>
      <c r="Z45" s="2046">
        <f t="shared" si="15"/>
        <v>111</v>
      </c>
      <c r="AA45" s="2037">
        <f t="shared" si="3"/>
        <v>1</v>
      </c>
      <c r="AB45" s="2037">
        <f t="shared" si="4"/>
        <v>1</v>
      </c>
      <c r="AC45" s="2037">
        <f t="shared" si="5"/>
        <v>1</v>
      </c>
    </row>
    <row r="46" spans="1:29" ht="15.75" thickBot="1">
      <c r="A46" s="1748"/>
      <c r="B46" s="1681">
        <v>0.95</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8"/>
      <c r="M46" s="2964"/>
      <c r="N46" s="2964"/>
      <c r="O46" s="2964"/>
      <c r="P46" s="3633"/>
      <c r="Q46" s="2039">
        <f t="shared" si="11"/>
        <v>0.95</v>
      </c>
      <c r="R46" s="1693" t="s">
        <v>25</v>
      </c>
      <c r="S46" s="1694">
        <f t="shared" si="12"/>
        <v>100</v>
      </c>
      <c r="T46" s="1693" t="s">
        <v>25</v>
      </c>
      <c r="U46" s="1694">
        <f t="shared" si="13"/>
        <v>100</v>
      </c>
      <c r="V46" s="1693" t="s">
        <v>25</v>
      </c>
      <c r="W46" s="1694">
        <f t="shared" si="14"/>
        <v>100</v>
      </c>
      <c r="X46" s="2042"/>
      <c r="Y46" s="3635"/>
      <c r="Z46" s="2046">
        <f t="shared" si="15"/>
        <v>0.95</v>
      </c>
      <c r="AA46" s="2037">
        <f t="shared" si="3"/>
        <v>1</v>
      </c>
      <c r="AB46" s="2037">
        <f t="shared" si="4"/>
        <v>1</v>
      </c>
      <c r="AC46" s="2037">
        <f t="shared" si="5"/>
        <v>1</v>
      </c>
    </row>
    <row r="47" spans="1:29" ht="15">
      <c r="A47" s="1749" t="s">
        <v>2229</v>
      </c>
      <c r="B47" s="1750"/>
      <c r="C47" s="1751" t="s">
        <v>1</v>
      </c>
      <c r="D47" s="1752"/>
      <c r="E47" s="1753">
        <v>50588</v>
      </c>
      <c r="F47" s="1754"/>
      <c r="G47" s="1755">
        <v>46296</v>
      </c>
      <c r="H47" s="1756"/>
      <c r="I47" s="1753">
        <v>53009</v>
      </c>
      <c r="J47" s="1756"/>
      <c r="K47" s="1981"/>
      <c r="L47" s="2969"/>
      <c r="N47" s="2964"/>
      <c r="P47" s="3626" t="str">
        <f>A47</f>
        <v>成交单价（元/平方米）</v>
      </c>
      <c r="Q47" s="3626"/>
      <c r="R47" s="3622">
        <f>E47</f>
        <v>50588</v>
      </c>
      <c r="S47" s="3622"/>
      <c r="T47" s="3622">
        <f>G47</f>
        <v>46296</v>
      </c>
      <c r="U47" s="3622"/>
      <c r="V47" s="3622">
        <f>I47</f>
        <v>53009</v>
      </c>
      <c r="W47" s="3622"/>
      <c r="X47" s="1759"/>
      <c r="Y47" s="2041"/>
      <c r="Z47" s="1759"/>
      <c r="AA47" s="1759"/>
      <c r="AB47" s="1759"/>
      <c r="AC47" s="1759"/>
    </row>
    <row r="48" spans="1:29" ht="15.75" thickBot="1">
      <c r="A48" s="1761" t="s">
        <v>2312</v>
      </c>
      <c r="B48" s="1762"/>
      <c r="C48" s="1763">
        <f>R49</f>
        <v>46648</v>
      </c>
      <c r="D48" s="1764" t="s">
        <v>2684</v>
      </c>
      <c r="E48" s="1765">
        <f>R48</f>
        <v>44523</v>
      </c>
      <c r="F48" s="1766"/>
      <c r="G48" s="1763">
        <f>T48</f>
        <v>42392</v>
      </c>
      <c r="H48" s="1766"/>
      <c r="I48" s="1765">
        <f>V48</f>
        <v>53030</v>
      </c>
      <c r="J48" s="1766"/>
      <c r="K48" s="2478">
        <f>F48+H48+J48</f>
        <v>0</v>
      </c>
      <c r="L48" s="2969"/>
      <c r="N48" s="2964"/>
      <c r="P48" s="3626" t="str">
        <f>A48</f>
        <v>比较价值（元/平方米）</v>
      </c>
      <c r="Q48" s="3626"/>
      <c r="R48" s="3622">
        <f>IF(E1="售价",ROUND(PRODUCT(R47,AA7:AA46),0),ROUND(PRODUCT(R47,AA7:AA46),1))</f>
        <v>44523</v>
      </c>
      <c r="S48" s="3622"/>
      <c r="T48" s="3622">
        <f>IF(E1="售价",ROUND(PRODUCT(T47,AB7:AB46),0),ROUND(PRODUCT(T47,AB7:AB46),1))</f>
        <v>42392</v>
      </c>
      <c r="U48" s="3622"/>
      <c r="V48" s="3622">
        <f>IF(E1="售价",ROUND(PRODUCT(V47,AC7:AC46),0),ROUND(PRODUCT(V47,AC7:AC46),1))</f>
        <v>53030</v>
      </c>
      <c r="W48" s="3622"/>
      <c r="X48" s="1759"/>
      <c r="Y48" s="1759"/>
      <c r="Z48" s="1759"/>
      <c r="AA48" s="1759"/>
      <c r="AB48" s="1759"/>
      <c r="AC48" s="1759"/>
    </row>
    <row r="49" spans="1:29" ht="15.75" thickBot="1">
      <c r="A49" s="1767" t="s">
        <v>2313</v>
      </c>
      <c r="B49" s="1768"/>
      <c r="C49" s="1770">
        <f>R49</f>
        <v>46648</v>
      </c>
      <c r="D49" s="1770"/>
      <c r="E49" s="1770"/>
      <c r="F49" s="1770"/>
      <c r="G49" s="1770"/>
      <c r="H49" s="1770"/>
      <c r="I49" s="1770"/>
      <c r="J49" s="1770"/>
      <c r="K49" s="1986"/>
      <c r="L49" s="2969"/>
      <c r="N49" s="2964"/>
      <c r="P49" s="3623" t="str">
        <f>A49</f>
        <v>估价对象XX用房的比较价值（楼面单价，元/平方米）</v>
      </c>
      <c r="Q49" s="3624"/>
      <c r="R49" s="3625">
        <f>IF(E1="售价",ROUND(IF(D48="简单平均",AVERAGE(R48:V48),R48*F48+T48*H48+V48*J48),0),ROUND(IF(D48="简单平均",AVERAGE(R48:V48),R48*F48+T48*H48+V48*J48),1))</f>
        <v>46648</v>
      </c>
      <c r="S49" s="3625"/>
      <c r="T49" s="3625"/>
      <c r="U49" s="3625"/>
      <c r="V49" s="3625"/>
      <c r="W49" s="3625"/>
      <c r="X49" s="1759"/>
      <c r="Y49" s="1759"/>
      <c r="Z49" s="1759"/>
      <c r="AA49" s="1759"/>
      <c r="AB49" s="1759"/>
      <c r="AC49" s="1759"/>
    </row>
    <row r="50" spans="1:29">
      <c r="G50" s="2973"/>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0.13622172809559108</v>
      </c>
      <c r="F52" s="1777" t="str">
        <f>IF(OR(E52&gt;=0.3,E52&lt;=-0.3),"超过30%","")</f>
        <v/>
      </c>
      <c r="G52" s="1776">
        <f>IF(G47&lt;G48,G48/G47-1,G47/G48-1)</f>
        <v>9.2092847707114567E-2</v>
      </c>
      <c r="H52" s="1777" t="str">
        <f>IF(OR(G52&gt;=0.3,G52&lt;=-0.3),"超过30%","")</f>
        <v/>
      </c>
      <c r="I52" s="1776">
        <f>IF(I47&lt;I48,I48/I47-1,I47/I48-1)</f>
        <v>3.9615914278701148E-4</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5.0268918663898932E-2</v>
      </c>
      <c r="F53" s="1777" t="str">
        <f>IF(OR(E53&gt;=0.2,E53&lt;=-0.2),"超过20%","")</f>
        <v/>
      </c>
      <c r="G53" s="1776">
        <f>IF(G48&lt;I48,I48/G48-1,G48/I48-1)</f>
        <v>0.25094357425929426</v>
      </c>
      <c r="H53" s="1777" t="str">
        <f>IF(OR(G53&gt;=0.2,G53&lt;=-0.2),"超过20%","")</f>
        <v>超过20%</v>
      </c>
      <c r="I53" s="1776">
        <f>IF(I48&lt;E48,E48/I48-1,I48/E48-1)</f>
        <v>0.19106978415650344</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9.2707793329877219E-2</v>
      </c>
      <c r="F54" s="1777" t="str">
        <f>IF(OR(E54&gt;=0.3,E54&lt;=-0.3),"超过30%","")</f>
        <v/>
      </c>
      <c r="G54" s="1776">
        <f>IF(G47&lt;I47,I47/G47-1,G47/I47-1)</f>
        <v>0.14500172801105937</v>
      </c>
      <c r="H54" s="1777" t="str">
        <f>IF(OR(G54&gt;=0.3,G54&lt;=-0.3),"超过30%","")</f>
        <v/>
      </c>
      <c r="I54" s="1776">
        <f>IF(I47&lt;E47,E47/I47-1,I47/E47-1)</f>
        <v>4.7857199335810785E-2</v>
      </c>
      <c r="J54" s="1777" t="str">
        <f>IF(OR(I54&gt;=0.3,I54&lt;=-0.3),"超过30%","")</f>
        <v/>
      </c>
      <c r="K54" s="2976"/>
      <c r="L54" s="2970"/>
      <c r="P54" s="2448"/>
      <c r="Q54" s="1779"/>
      <c r="R54" s="1779"/>
      <c r="S54" s="1779"/>
      <c r="T54" s="1779"/>
      <c r="U54" s="1779"/>
      <c r="V54" s="1779"/>
      <c r="W54" s="1779"/>
      <c r="X54" s="1779"/>
      <c r="Y54" s="1779"/>
      <c r="Z54" s="1779"/>
      <c r="AA54" s="1779"/>
      <c r="AB54" s="1779"/>
      <c r="AC54" s="1779"/>
    </row>
    <row r="55" spans="1:29" s="1781" customFormat="1">
      <c r="B55" s="2974"/>
      <c r="C55" s="2975"/>
      <c r="K55" s="2976"/>
      <c r="L55" s="2970"/>
      <c r="P55" s="2448"/>
      <c r="Q55" s="1779"/>
      <c r="R55" s="1779"/>
      <c r="S55" s="1779"/>
      <c r="T55" s="1779"/>
      <c r="U55" s="1779"/>
      <c r="V55" s="1779"/>
      <c r="W55" s="1779"/>
      <c r="X55" s="1779"/>
      <c r="Y55" s="1779"/>
      <c r="Z55" s="1779"/>
      <c r="AA55" s="1779"/>
      <c r="AB55" s="1779"/>
      <c r="AC55" s="1779"/>
    </row>
    <row r="56" spans="1:29">
      <c r="B56" s="2974"/>
      <c r="C56" s="2975"/>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2"/>
      <c r="O57" s="2972"/>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81"/>
      <c r="O61" s="2981"/>
      <c r="P61" s="1811"/>
      <c r="Q61" s="1789"/>
    </row>
    <row r="62" spans="1:29" s="1652" customFormat="1" ht="15.75" thickBot="1">
      <c r="A62" s="1807"/>
      <c r="B62" s="1797"/>
      <c r="C62" s="1812">
        <v>100</v>
      </c>
      <c r="D62" s="1799"/>
      <c r="E62" s="1799"/>
      <c r="F62" s="1799"/>
      <c r="G62" s="1799"/>
      <c r="H62" s="1799"/>
      <c r="I62" s="1799"/>
      <c r="J62" s="1799"/>
      <c r="K62" s="1799"/>
      <c r="L62" s="1799"/>
      <c r="M62" s="1813"/>
      <c r="N62" s="2981"/>
      <c r="O62" s="2981"/>
      <c r="P62" s="1801"/>
      <c r="Q62" s="1789"/>
    </row>
    <row r="63" spans="1:29">
      <c r="A63" s="1814" t="s">
        <v>2240</v>
      </c>
      <c r="B63" s="1815" t="s">
        <v>2205</v>
      </c>
      <c r="C63" s="1816" t="str">
        <f>C9</f>
        <v>商业</v>
      </c>
      <c r="D63" s="1817"/>
      <c r="E63" s="1817"/>
      <c r="F63" s="1817"/>
      <c r="G63" s="1817"/>
      <c r="H63" s="1817"/>
      <c r="I63" s="1817"/>
      <c r="J63" s="1817"/>
      <c r="K63" s="417"/>
      <c r="L63" s="417"/>
      <c r="M63" s="1818"/>
      <c r="N63" s="2982"/>
      <c r="O63" s="2982"/>
      <c r="P63" s="1820"/>
      <c r="Q63" s="1789"/>
    </row>
    <row r="64" spans="1:29" ht="15.75" thickBot="1">
      <c r="A64" s="1821"/>
      <c r="B64" s="1822"/>
      <c r="C64" s="1823">
        <v>100</v>
      </c>
      <c r="D64" s="1823"/>
      <c r="E64" s="1823"/>
      <c r="F64" s="1823"/>
      <c r="G64" s="1823"/>
      <c r="H64" s="1823"/>
      <c r="I64" s="1823"/>
      <c r="J64" s="1823"/>
      <c r="K64" s="1823"/>
      <c r="L64" s="1823"/>
      <c r="M64" s="1824"/>
      <c r="N64" s="2983"/>
      <c r="O64" s="2983"/>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2"/>
      <c r="O65" s="2982"/>
      <c r="P65" s="1820"/>
      <c r="Q65" s="1789"/>
    </row>
    <row r="66" spans="1:17" ht="15.75" thickBot="1">
      <c r="A66" s="1821"/>
      <c r="B66" s="1829"/>
      <c r="C66" s="1830" t="s">
        <v>36</v>
      </c>
      <c r="D66" s="1830" t="s">
        <v>37</v>
      </c>
      <c r="E66" s="1830" t="s">
        <v>38</v>
      </c>
      <c r="F66" s="1830">
        <v>100</v>
      </c>
      <c r="G66" s="1830">
        <f>F66-$K10</f>
        <v>99</v>
      </c>
      <c r="H66" s="1830">
        <f>G66-$K10</f>
        <v>98</v>
      </c>
      <c r="I66" s="1830">
        <f>H66-$K10</f>
        <v>97</v>
      </c>
      <c r="J66" s="1830"/>
      <c r="K66" s="1830"/>
      <c r="L66" s="1830"/>
      <c r="M66" s="1831"/>
      <c r="N66" s="2983"/>
      <c r="O66" s="2983"/>
      <c r="P66" s="1820"/>
      <c r="Q66" s="1789"/>
    </row>
    <row r="67" spans="1:17" ht="15.75" thickTop="1">
      <c r="A67" s="1821"/>
      <c r="B67" s="1832" t="s">
        <v>2209</v>
      </c>
      <c r="C67" s="1833" t="str">
        <f>C68&amp;"（含）"&amp;"-"&amp;D68</f>
        <v>0（含）-1</v>
      </c>
      <c r="D67" s="1833" t="str">
        <f t="shared" ref="D67:L67" si="17">D68&amp;"（含）"&amp;"-"&amp;E68</f>
        <v>1（含）-2</v>
      </c>
      <c r="E67" s="1833" t="str">
        <f t="shared" si="17"/>
        <v>2（含）-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3"/>
      <c r="O67" s="2983"/>
      <c r="P67" s="1820"/>
      <c r="Q67" s="1789"/>
    </row>
    <row r="68" spans="1:17" ht="15">
      <c r="A68" s="1821"/>
      <c r="B68" s="1834"/>
      <c r="C68" s="1835">
        <v>0</v>
      </c>
      <c r="D68" s="1835">
        <v>1</v>
      </c>
      <c r="E68" s="1835">
        <v>2</v>
      </c>
      <c r="F68" s="1835"/>
      <c r="G68" s="1835"/>
      <c r="H68" s="1835"/>
      <c r="I68" s="1835"/>
      <c r="J68" s="1835"/>
      <c r="K68" s="438"/>
      <c r="L68" s="438"/>
      <c r="M68" s="1836"/>
      <c r="N68" s="2982"/>
      <c r="O68" s="2982"/>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3"/>
      <c r="O69" s="2983"/>
      <c r="P69" s="1820"/>
      <c r="Q69" s="1789"/>
    </row>
    <row r="70" spans="1:17" s="1739" customFormat="1" ht="15.75" thickTop="1">
      <c r="A70" s="1837"/>
      <c r="B70" s="1826">
        <f>B12</f>
        <v>111</v>
      </c>
      <c r="C70" s="468"/>
      <c r="D70" s="468"/>
      <c r="E70" s="468"/>
      <c r="F70" s="468"/>
      <c r="G70" s="468"/>
      <c r="H70" s="443"/>
      <c r="I70" s="443"/>
      <c r="J70" s="443"/>
      <c r="K70" s="443"/>
      <c r="L70" s="443"/>
      <c r="M70" s="1838"/>
      <c r="N70" s="2984"/>
      <c r="O70" s="2984"/>
      <c r="P70" s="1840"/>
      <c r="Q70" s="1841"/>
    </row>
    <row r="71" spans="1:17" s="1739" customFormat="1" ht="15.75" thickBot="1">
      <c r="A71" s="1837"/>
      <c r="B71" s="1829"/>
      <c r="C71" s="1842"/>
      <c r="D71" s="1823"/>
      <c r="E71" s="1823"/>
      <c r="F71" s="1823"/>
      <c r="G71" s="1823"/>
      <c r="H71" s="1823"/>
      <c r="I71" s="1823"/>
      <c r="J71" s="1823"/>
      <c r="K71" s="1823"/>
      <c r="L71" s="1823"/>
      <c r="M71" s="1824"/>
      <c r="N71" s="2983"/>
      <c r="O71" s="2983"/>
      <c r="P71" s="1840"/>
      <c r="Q71" s="1841"/>
    </row>
    <row r="72" spans="1:17" s="1739" customFormat="1" ht="15.75" thickTop="1">
      <c r="A72" s="1837"/>
      <c r="B72" s="1826">
        <f>B13</f>
        <v>111</v>
      </c>
      <c r="C72" s="468"/>
      <c r="D72" s="468"/>
      <c r="E72" s="468"/>
      <c r="F72" s="468"/>
      <c r="G72" s="468"/>
      <c r="H72" s="443"/>
      <c r="I72" s="443"/>
      <c r="J72" s="443"/>
      <c r="K72" s="443"/>
      <c r="L72" s="443"/>
      <c r="M72" s="1838"/>
      <c r="N72" s="2984"/>
      <c r="O72" s="2984"/>
      <c r="P72" s="1843"/>
      <c r="Q72" s="1844"/>
    </row>
    <row r="73" spans="1:17" s="1739" customFormat="1" ht="15.75" thickBot="1">
      <c r="A73" s="1837"/>
      <c r="B73" s="1829"/>
      <c r="C73" s="1842"/>
      <c r="D73" s="1823"/>
      <c r="E73" s="1823"/>
      <c r="F73" s="1823"/>
      <c r="G73" s="1842"/>
      <c r="H73" s="1845"/>
      <c r="I73" s="1845"/>
      <c r="J73" s="1845"/>
      <c r="K73" s="1845"/>
      <c r="L73" s="1845"/>
      <c r="M73" s="1846"/>
      <c r="N73" s="2984"/>
      <c r="O73" s="2984"/>
      <c r="P73" s="1840"/>
      <c r="Q73" s="1841"/>
    </row>
    <row r="74" spans="1:17" s="1739" customFormat="1" ht="15.75" thickTop="1">
      <c r="A74" s="1837"/>
      <c r="B74" s="1832">
        <f>B14</f>
        <v>111</v>
      </c>
      <c r="C74" s="468"/>
      <c r="D74" s="468"/>
      <c r="E74" s="468"/>
      <c r="F74" s="468"/>
      <c r="G74" s="409"/>
      <c r="H74" s="453"/>
      <c r="I74" s="453"/>
      <c r="J74" s="453"/>
      <c r="K74" s="453"/>
      <c r="L74" s="453"/>
      <c r="M74" s="1847"/>
      <c r="N74" s="2984"/>
      <c r="O74" s="2984"/>
      <c r="P74" s="1840"/>
      <c r="Q74" s="1841"/>
    </row>
    <row r="75" spans="1:17" s="1739" customFormat="1" ht="15.75" thickBot="1">
      <c r="A75" s="1848"/>
      <c r="B75" s="1849"/>
      <c r="C75" s="1850"/>
      <c r="D75" s="1850"/>
      <c r="E75" s="1850"/>
      <c r="F75" s="1850"/>
      <c r="G75" s="1850"/>
      <c r="H75" s="1851"/>
      <c r="I75" s="1851"/>
      <c r="J75" s="1851"/>
      <c r="K75" s="1851"/>
      <c r="L75" s="1851"/>
      <c r="M75" s="1852"/>
      <c r="N75" s="2984"/>
      <c r="O75" s="2984"/>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2"/>
      <c r="O76" s="2982"/>
      <c r="P76" s="1820"/>
      <c r="Q76" s="1789"/>
    </row>
    <row r="77" spans="1:17" ht="15.75" thickBot="1">
      <c r="A77" s="1821"/>
      <c r="B77" s="1829"/>
      <c r="C77" s="1830">
        <v>100</v>
      </c>
      <c r="D77" s="1830">
        <f>C77-$K15</f>
        <v>95</v>
      </c>
      <c r="E77" s="1830">
        <f>D77-$K15</f>
        <v>90</v>
      </c>
      <c r="F77" s="1830">
        <f>E77-$K15</f>
        <v>85</v>
      </c>
      <c r="G77" s="1830">
        <f>F77-$K15</f>
        <v>80</v>
      </c>
      <c r="H77" s="1830"/>
      <c r="I77" s="1830"/>
      <c r="J77" s="1830"/>
      <c r="K77" s="1830"/>
      <c r="L77" s="1830"/>
      <c r="M77" s="1831"/>
      <c r="N77" s="2983"/>
      <c r="O77" s="2983"/>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2"/>
      <c r="O78" s="2982"/>
      <c r="P78" s="1820"/>
      <c r="Q78" s="1789"/>
    </row>
    <row r="79" spans="1:17" ht="15.75" thickBot="1">
      <c r="A79" s="1821"/>
      <c r="B79" s="1829"/>
      <c r="C79" s="1830">
        <v>100</v>
      </c>
      <c r="D79" s="1830">
        <f>C79-$K17</f>
        <v>97</v>
      </c>
      <c r="E79" s="1830">
        <f>D79-$K17</f>
        <v>94</v>
      </c>
      <c r="F79" s="1830">
        <f>E79-$K17</f>
        <v>91</v>
      </c>
      <c r="G79" s="1830">
        <f>F79-$K17</f>
        <v>88</v>
      </c>
      <c r="H79" s="1830"/>
      <c r="I79" s="1830"/>
      <c r="J79" s="1830"/>
      <c r="K79" s="1830"/>
      <c r="L79" s="1830"/>
      <c r="M79" s="1831"/>
      <c r="N79" s="2983"/>
      <c r="O79" s="2983"/>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2"/>
      <c r="O80" s="2982"/>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3"/>
      <c r="O81" s="2983"/>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3"/>
      <c r="O82" s="2983"/>
      <c r="P82" s="1820"/>
      <c r="Q82" s="1789"/>
    </row>
    <row r="83" spans="1:17" ht="15.75" thickBot="1">
      <c r="A83" s="1821"/>
      <c r="B83" s="1832"/>
      <c r="C83" s="1830">
        <v>100</v>
      </c>
      <c r="D83" s="1830">
        <f>C83-$K21</f>
        <v>98</v>
      </c>
      <c r="E83" s="1830">
        <f>D83-$K21</f>
        <v>96</v>
      </c>
      <c r="F83" s="1830">
        <f>E83-$K21</f>
        <v>94</v>
      </c>
      <c r="G83" s="1830">
        <f>F83-$K21</f>
        <v>92</v>
      </c>
      <c r="H83" s="1856"/>
      <c r="I83" s="1856"/>
      <c r="J83" s="1856"/>
      <c r="K83" s="1856"/>
      <c r="L83" s="1856"/>
      <c r="M83" s="1703"/>
      <c r="N83" s="2983"/>
      <c r="O83" s="2983"/>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2"/>
      <c r="O84" s="2982"/>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3"/>
      <c r="O85" s="2983"/>
      <c r="P85" s="1820"/>
      <c r="Q85" s="1789"/>
    </row>
    <row r="86" spans="1:17" s="1652" customFormat="1" ht="15.75" thickTop="1">
      <c r="A86" s="1857"/>
      <c r="B86" s="1826" t="s">
        <v>2318</v>
      </c>
      <c r="C86" s="3324" t="s">
        <v>3054</v>
      </c>
      <c r="D86" s="3324" t="s">
        <v>3055</v>
      </c>
      <c r="E86" s="3324" t="s">
        <v>3057</v>
      </c>
      <c r="F86" s="3324" t="s">
        <v>3058</v>
      </c>
      <c r="G86" s="468"/>
      <c r="H86" s="468"/>
      <c r="I86" s="468"/>
      <c r="J86" s="468"/>
      <c r="K86" s="468"/>
      <c r="L86" s="468"/>
      <c r="M86" s="1858"/>
      <c r="N86" s="2981"/>
      <c r="O86" s="2981"/>
      <c r="P86" s="1820"/>
      <c r="Q86" s="1789"/>
    </row>
    <row r="87" spans="1:17" s="1652" customFormat="1" ht="15.75" thickBot="1">
      <c r="A87" s="1857"/>
      <c r="B87" s="1829"/>
      <c r="C87" s="1859">
        <v>100</v>
      </c>
      <c r="D87" s="1830">
        <f t="shared" ref="D87:M87" si="19">C87-$K25</f>
        <v>97</v>
      </c>
      <c r="E87" s="1830">
        <f t="shared" si="19"/>
        <v>94</v>
      </c>
      <c r="F87" s="1830">
        <f t="shared" si="19"/>
        <v>91</v>
      </c>
      <c r="G87" s="1830">
        <f t="shared" si="19"/>
        <v>88</v>
      </c>
      <c r="H87" s="1830">
        <f t="shared" si="19"/>
        <v>85</v>
      </c>
      <c r="I87" s="1830">
        <f t="shared" si="19"/>
        <v>82</v>
      </c>
      <c r="J87" s="1830">
        <f t="shared" si="19"/>
        <v>79</v>
      </c>
      <c r="K87" s="1830">
        <f t="shared" si="19"/>
        <v>76</v>
      </c>
      <c r="L87" s="1830">
        <f t="shared" si="19"/>
        <v>73</v>
      </c>
      <c r="M87" s="1830">
        <f t="shared" si="19"/>
        <v>70</v>
      </c>
      <c r="N87" s="2983"/>
      <c r="O87" s="2983"/>
      <c r="P87" s="1820"/>
      <c r="Q87" s="1789"/>
    </row>
    <row r="88" spans="1:17" s="1652" customFormat="1" ht="15.75" thickTop="1">
      <c r="A88" s="1857"/>
      <c r="B88" s="1826" t="str">
        <f>B26</f>
        <v>平面位置/可视性</v>
      </c>
      <c r="C88" s="3324" t="s">
        <v>3059</v>
      </c>
      <c r="D88" s="3324" t="s">
        <v>3060</v>
      </c>
      <c r="E88" s="3324" t="s">
        <v>3061</v>
      </c>
      <c r="F88" s="1860"/>
      <c r="G88" s="468"/>
      <c r="H88" s="468"/>
      <c r="I88" s="468"/>
      <c r="J88" s="468"/>
      <c r="K88" s="468"/>
      <c r="L88" s="468"/>
      <c r="M88" s="1858"/>
      <c r="N88" s="2981"/>
      <c r="O88" s="2981"/>
      <c r="P88" s="1820"/>
      <c r="Q88" s="1789"/>
    </row>
    <row r="89" spans="1:17" s="1652" customFormat="1" ht="15.75" thickBot="1">
      <c r="A89" s="1857"/>
      <c r="B89" s="1829"/>
      <c r="C89" s="1842">
        <v>100</v>
      </c>
      <c r="D89" s="1823">
        <v>97</v>
      </c>
      <c r="E89" s="1823">
        <v>94</v>
      </c>
      <c r="F89" s="1823"/>
      <c r="G89" s="1823"/>
      <c r="H89" s="1823"/>
      <c r="I89" s="1823"/>
      <c r="J89" s="1823"/>
      <c r="K89" s="1823"/>
      <c r="L89" s="1823"/>
      <c r="M89" s="1823"/>
      <c r="N89" s="2983"/>
      <c r="O89" s="2983"/>
      <c r="P89" s="1820"/>
      <c r="Q89" s="1789"/>
    </row>
    <row r="90" spans="1:17" s="1739" customFormat="1" ht="15.75" thickTop="1">
      <c r="A90" s="1837"/>
      <c r="B90" s="1826" t="str">
        <f>B27</f>
        <v>人流量</v>
      </c>
      <c r="C90" s="3324" t="s">
        <v>3062</v>
      </c>
      <c r="D90" s="3324" t="s">
        <v>3064</v>
      </c>
      <c r="E90" s="3324" t="s">
        <v>3061</v>
      </c>
      <c r="F90" s="468"/>
      <c r="G90" s="468"/>
      <c r="H90" s="443"/>
      <c r="I90" s="443"/>
      <c r="J90" s="443"/>
      <c r="K90" s="443"/>
      <c r="L90" s="443"/>
      <c r="M90" s="1838"/>
      <c r="N90" s="2984"/>
      <c r="O90" s="2984"/>
      <c r="P90" s="1840"/>
      <c r="Q90" s="1841"/>
    </row>
    <row r="91" spans="1:17" s="1739" customFormat="1" ht="15.75" thickBot="1">
      <c r="A91" s="1837"/>
      <c r="B91" s="1829"/>
      <c r="C91" s="1859">
        <v>100</v>
      </c>
      <c r="D91" s="1830">
        <f>C91-$K27</f>
        <v>97</v>
      </c>
      <c r="E91" s="1830">
        <f t="shared" ref="E91:M91" si="20">D91-$K27</f>
        <v>94</v>
      </c>
      <c r="F91" s="1830">
        <f t="shared" si="20"/>
        <v>91</v>
      </c>
      <c r="G91" s="1830">
        <f t="shared" si="20"/>
        <v>88</v>
      </c>
      <c r="H91" s="1830">
        <f t="shared" si="20"/>
        <v>85</v>
      </c>
      <c r="I91" s="1830">
        <f t="shared" si="20"/>
        <v>82</v>
      </c>
      <c r="J91" s="1830">
        <f t="shared" si="20"/>
        <v>79</v>
      </c>
      <c r="K91" s="1830">
        <f t="shared" si="20"/>
        <v>76</v>
      </c>
      <c r="L91" s="1830">
        <f t="shared" si="20"/>
        <v>73</v>
      </c>
      <c r="M91" s="1830">
        <f t="shared" si="20"/>
        <v>70</v>
      </c>
      <c r="N91" s="2984"/>
      <c r="O91" s="2984"/>
      <c r="P91" s="1840"/>
      <c r="Q91" s="1841"/>
    </row>
    <row r="92" spans="1:17" ht="15.75" thickTop="1">
      <c r="A92" s="1821"/>
      <c r="B92" s="1826" t="str">
        <f>B28</f>
        <v>楼层</v>
      </c>
      <c r="C92" s="468" t="s">
        <v>3065</v>
      </c>
      <c r="D92" s="468" t="s">
        <v>3066</v>
      </c>
      <c r="E92" s="468" t="s">
        <v>3075</v>
      </c>
      <c r="F92" s="468"/>
      <c r="G92" s="468"/>
      <c r="H92" s="468"/>
      <c r="I92" s="468"/>
      <c r="J92" s="468"/>
      <c r="K92" s="468"/>
      <c r="L92" s="468"/>
      <c r="M92" s="1858"/>
      <c r="N92" s="2982"/>
      <c r="O92" s="2982"/>
      <c r="P92" s="1820"/>
      <c r="Q92" s="1789"/>
    </row>
    <row r="93" spans="1:17" ht="15.75" thickBot="1">
      <c r="A93" s="1821"/>
      <c r="B93" s="1829"/>
      <c r="C93" s="1823">
        <v>100</v>
      </c>
      <c r="D93" s="1823">
        <v>85</v>
      </c>
      <c r="E93" s="1823">
        <f>ROUND((100+70+60)/3,0)</f>
        <v>77</v>
      </c>
      <c r="F93" s="1823"/>
      <c r="G93" s="1823"/>
      <c r="H93" s="1823"/>
      <c r="I93" s="1823"/>
      <c r="J93" s="1823"/>
      <c r="K93" s="1823"/>
      <c r="L93" s="1823"/>
      <c r="M93" s="1824"/>
      <c r="N93" s="2983"/>
      <c r="O93" s="2983"/>
      <c r="P93" s="1820"/>
      <c r="Q93" s="1789"/>
    </row>
    <row r="94" spans="1:17" ht="15.75" thickTop="1">
      <c r="A94" s="1821"/>
      <c r="B94" s="1826">
        <f>B29</f>
        <v>111</v>
      </c>
      <c r="C94" s="468"/>
      <c r="D94" s="468"/>
      <c r="E94" s="468"/>
      <c r="F94" s="468"/>
      <c r="G94" s="1545"/>
      <c r="H94" s="1545"/>
      <c r="I94" s="1545"/>
      <c r="J94" s="1545"/>
      <c r="K94" s="473"/>
      <c r="L94" s="473"/>
      <c r="M94" s="1861"/>
      <c r="N94" s="2982"/>
      <c r="O94" s="2982"/>
      <c r="P94" s="1820"/>
      <c r="Q94" s="1789"/>
    </row>
    <row r="95" spans="1:17" ht="15.75" thickBot="1">
      <c r="A95" s="1821"/>
      <c r="B95" s="1829"/>
      <c r="C95" s="1842"/>
      <c r="D95" s="1823"/>
      <c r="E95" s="1823"/>
      <c r="F95" s="1823"/>
      <c r="G95" s="1823"/>
      <c r="H95" s="1823"/>
      <c r="I95" s="1823"/>
      <c r="J95" s="1823"/>
      <c r="K95" s="1823"/>
      <c r="L95" s="1823"/>
      <c r="M95" s="1824"/>
      <c r="N95" s="2983"/>
      <c r="O95" s="2983"/>
      <c r="P95" s="1820"/>
      <c r="Q95" s="1789"/>
    </row>
    <row r="96" spans="1:17" ht="15.75" thickTop="1">
      <c r="A96" s="1821"/>
      <c r="B96" s="1826">
        <f>B30</f>
        <v>111</v>
      </c>
      <c r="C96" s="468"/>
      <c r="D96" s="468"/>
      <c r="E96" s="468"/>
      <c r="F96" s="468"/>
      <c r="G96" s="1545"/>
      <c r="H96" s="1545"/>
      <c r="I96" s="1545"/>
      <c r="J96" s="1545"/>
      <c r="K96" s="473"/>
      <c r="L96" s="473"/>
      <c r="M96" s="1861"/>
      <c r="N96" s="2982"/>
      <c r="O96" s="2982"/>
      <c r="P96" s="1820"/>
      <c r="Q96" s="1789"/>
    </row>
    <row r="97" spans="1:17" ht="15.75" thickBot="1">
      <c r="A97" s="1821"/>
      <c r="B97" s="1829"/>
      <c r="C97" s="1842"/>
      <c r="D97" s="1823"/>
      <c r="E97" s="1823"/>
      <c r="F97" s="1823"/>
      <c r="G97" s="1823"/>
      <c r="H97" s="1823"/>
      <c r="I97" s="1823"/>
      <c r="J97" s="1823"/>
      <c r="K97" s="1823"/>
      <c r="L97" s="1823"/>
      <c r="M97" s="1824"/>
      <c r="N97" s="2983"/>
      <c r="O97" s="2983"/>
      <c r="P97" s="1820"/>
      <c r="Q97" s="1789"/>
    </row>
    <row r="98" spans="1:17" ht="15.75" thickTop="1">
      <c r="A98" s="1821"/>
      <c r="B98" s="1832">
        <f>B31</f>
        <v>111</v>
      </c>
      <c r="C98" s="468"/>
      <c r="D98" s="468"/>
      <c r="E98" s="468"/>
      <c r="F98" s="468"/>
      <c r="G98" s="1862"/>
      <c r="H98" s="1862"/>
      <c r="I98" s="1862"/>
      <c r="J98" s="1862"/>
      <c r="K98" s="477"/>
      <c r="L98" s="477"/>
      <c r="M98" s="1863"/>
      <c r="N98" s="2982"/>
      <c r="O98" s="2982"/>
      <c r="P98" s="1820"/>
      <c r="Q98" s="1789"/>
    </row>
    <row r="99" spans="1:17" ht="15.75" thickBot="1">
      <c r="A99" s="1864"/>
      <c r="B99" s="1849"/>
      <c r="C99" s="1850"/>
      <c r="D99" s="1850"/>
      <c r="E99" s="1850"/>
      <c r="F99" s="1850"/>
      <c r="G99" s="1865"/>
      <c r="H99" s="1865"/>
      <c r="I99" s="1865"/>
      <c r="J99" s="1865"/>
      <c r="K99" s="1865"/>
      <c r="L99" s="1865"/>
      <c r="M99" s="1866"/>
      <c r="N99" s="2983"/>
      <c r="O99" s="2983"/>
      <c r="P99" s="1820"/>
      <c r="Q99" s="1789"/>
    </row>
    <row r="100" spans="1:17">
      <c r="A100" s="1814" t="s">
        <v>2215</v>
      </c>
      <c r="B100" s="1815" t="s">
        <v>2319</v>
      </c>
      <c r="C100" s="3325" t="s">
        <v>3076</v>
      </c>
      <c r="D100" s="3325" t="s">
        <v>3077</v>
      </c>
      <c r="E100" s="3325" t="s">
        <v>3078</v>
      </c>
      <c r="F100" s="3325" t="s">
        <v>3073</v>
      </c>
      <c r="G100" s="1817"/>
      <c r="H100" s="1817"/>
      <c r="I100" s="1817"/>
      <c r="J100" s="1817"/>
      <c r="K100" s="417"/>
      <c r="L100" s="417"/>
      <c r="M100" s="1818"/>
      <c r="N100" s="2982"/>
      <c r="O100" s="2982"/>
      <c r="P100" s="1820"/>
      <c r="Q100" s="1789"/>
    </row>
    <row r="101" spans="1:17" ht="15.75" thickBot="1">
      <c r="A101" s="1821"/>
      <c r="B101" s="1829"/>
      <c r="C101" s="1830">
        <v>100</v>
      </c>
      <c r="D101" s="1830">
        <f t="shared" ref="D101:M101" si="21">C101-$K32</f>
        <v>98</v>
      </c>
      <c r="E101" s="1830">
        <f t="shared" si="21"/>
        <v>96</v>
      </c>
      <c r="F101" s="1830">
        <f t="shared" si="21"/>
        <v>94</v>
      </c>
      <c r="G101" s="1830">
        <f t="shared" si="21"/>
        <v>92</v>
      </c>
      <c r="H101" s="1830">
        <f t="shared" si="21"/>
        <v>90</v>
      </c>
      <c r="I101" s="1830">
        <f t="shared" si="21"/>
        <v>88</v>
      </c>
      <c r="J101" s="1830">
        <f t="shared" si="21"/>
        <v>86</v>
      </c>
      <c r="K101" s="1830">
        <f t="shared" si="21"/>
        <v>84</v>
      </c>
      <c r="L101" s="1830">
        <f t="shared" si="21"/>
        <v>82</v>
      </c>
      <c r="M101" s="1831">
        <f t="shared" si="21"/>
        <v>80</v>
      </c>
      <c r="N101" s="2983"/>
      <c r="O101" s="2983"/>
      <c r="P101" s="1820"/>
      <c r="Q101" s="1789"/>
    </row>
    <row r="102" spans="1:17" ht="15.75" thickTop="1">
      <c r="A102" s="1821"/>
      <c r="B102" s="1826"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8" t="str">
        <f>M103&amp;"(含)"&amp;"-"&amp;P103</f>
        <v>(含)-</v>
      </c>
      <c r="N102" s="2981"/>
      <c r="O102" s="2981"/>
      <c r="P102" s="1820"/>
      <c r="Q102" s="1789"/>
    </row>
    <row r="103" spans="1:17" s="1739" customFormat="1">
      <c r="A103" s="1867"/>
      <c r="B103" s="1868"/>
      <c r="C103" s="1869">
        <v>0</v>
      </c>
      <c r="D103" s="1869">
        <v>50</v>
      </c>
      <c r="E103" s="1869">
        <v>100</v>
      </c>
      <c r="F103" s="1869">
        <v>200</v>
      </c>
      <c r="G103" s="1869">
        <v>400</v>
      </c>
      <c r="H103" s="1869">
        <v>800</v>
      </c>
      <c r="I103" s="1869">
        <v>1200</v>
      </c>
      <c r="J103" s="485">
        <v>2000</v>
      </c>
      <c r="K103" s="485"/>
      <c r="L103" s="485"/>
      <c r="M103" s="1870"/>
      <c r="N103" s="2984"/>
      <c r="O103" s="2984"/>
      <c r="P103" s="1840"/>
      <c r="Q103" s="1841"/>
    </row>
    <row r="104" spans="1:17" s="1739" customFormat="1" ht="15.75" thickBot="1">
      <c r="A104" s="1837"/>
      <c r="B104" s="1829"/>
      <c r="C104" s="1842">
        <v>100</v>
      </c>
      <c r="D104" s="1823">
        <v>99</v>
      </c>
      <c r="E104" s="1823">
        <v>98</v>
      </c>
      <c r="F104" s="1823">
        <v>97</v>
      </c>
      <c r="G104" s="1823">
        <v>96</v>
      </c>
      <c r="H104" s="1823">
        <v>95</v>
      </c>
      <c r="I104" s="1823">
        <v>94</v>
      </c>
      <c r="J104" s="1823"/>
      <c r="K104" s="1823"/>
      <c r="L104" s="1823"/>
      <c r="M104" s="1824"/>
      <c r="N104" s="2983"/>
      <c r="O104" s="2983"/>
      <c r="P104" s="1840"/>
      <c r="Q104" s="1841"/>
    </row>
    <row r="105" spans="1:17" ht="15" thickTop="1">
      <c r="A105" s="1871"/>
      <c r="B105" s="1826" t="s">
        <v>2266</v>
      </c>
      <c r="C105" s="468"/>
      <c r="D105" s="468"/>
      <c r="E105" s="1545"/>
      <c r="F105" s="1545"/>
      <c r="G105" s="1545"/>
      <c r="H105" s="1545"/>
      <c r="I105" s="1545"/>
      <c r="J105" s="1545"/>
      <c r="K105" s="473"/>
      <c r="L105" s="473"/>
      <c r="M105" s="1861"/>
      <c r="N105" s="2982"/>
      <c r="O105" s="2982"/>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3"/>
      <c r="O106" s="2983"/>
      <c r="P106" s="1820"/>
      <c r="Q106" s="1789"/>
    </row>
    <row r="107" spans="1:17" ht="15" thickTop="1">
      <c r="A107" s="1871"/>
      <c r="B107" s="1826" t="s">
        <v>2268</v>
      </c>
      <c r="C107" s="468"/>
      <c r="D107" s="468"/>
      <c r="E107" s="468"/>
      <c r="F107" s="1545"/>
      <c r="G107" s="1545"/>
      <c r="H107" s="1545"/>
      <c r="I107" s="1545"/>
      <c r="J107" s="1545"/>
      <c r="K107" s="473"/>
      <c r="L107" s="473"/>
      <c r="M107" s="1861"/>
      <c r="N107" s="2982"/>
      <c r="O107" s="2982"/>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3"/>
      <c r="O108" s="2983"/>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2"/>
      <c r="O109" s="2982"/>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2"/>
      <c r="O110" s="2982"/>
      <c r="P110" s="1820"/>
      <c r="Q110" s="1789"/>
    </row>
    <row r="111" spans="1:17" ht="15.75" thickBot="1">
      <c r="A111" s="1821"/>
      <c r="B111" s="1829"/>
      <c r="C111" s="1859">
        <v>100</v>
      </c>
      <c r="D111" s="1830">
        <f>C111+$K36</f>
        <v>101</v>
      </c>
      <c r="E111" s="1830">
        <f t="shared" ref="E111:M111" si="25">D111+$K36</f>
        <v>102</v>
      </c>
      <c r="F111" s="1830">
        <f t="shared" si="25"/>
        <v>103</v>
      </c>
      <c r="G111" s="1830">
        <f t="shared" si="25"/>
        <v>104</v>
      </c>
      <c r="H111" s="1830">
        <f t="shared" si="25"/>
        <v>105</v>
      </c>
      <c r="I111" s="1830">
        <f t="shared" si="25"/>
        <v>106</v>
      </c>
      <c r="J111" s="1830">
        <f t="shared" si="25"/>
        <v>107</v>
      </c>
      <c r="K111" s="1830">
        <f t="shared" si="25"/>
        <v>108</v>
      </c>
      <c r="L111" s="1830">
        <f t="shared" si="25"/>
        <v>109</v>
      </c>
      <c r="M111" s="1830">
        <f t="shared" si="25"/>
        <v>110</v>
      </c>
      <c r="N111" s="2983"/>
      <c r="O111" s="2983"/>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4"/>
      <c r="O112" s="2984"/>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4"/>
      <c r="O113" s="2984"/>
      <c r="P113" s="1840"/>
      <c r="Q113" s="1841"/>
    </row>
    <row r="114" spans="1:17" ht="15" thickTop="1">
      <c r="A114" s="1871"/>
      <c r="B114" s="1826" t="s">
        <v>2320</v>
      </c>
      <c r="C114" s="3324" t="s">
        <v>3067</v>
      </c>
      <c r="D114" s="3324" t="s">
        <v>3069</v>
      </c>
      <c r="E114" s="1545"/>
      <c r="F114" s="1545"/>
      <c r="G114" s="1545"/>
      <c r="H114" s="1545"/>
      <c r="I114" s="1545"/>
      <c r="J114" s="1545"/>
      <c r="K114" s="473"/>
      <c r="L114" s="473"/>
      <c r="M114" s="1861"/>
      <c r="N114" s="2982"/>
      <c r="O114" s="2982"/>
      <c r="P114" s="1820"/>
      <c r="Q114" s="1789"/>
    </row>
    <row r="115" spans="1:17" ht="15.75" thickBot="1">
      <c r="A115" s="1821"/>
      <c r="B115" s="1829"/>
      <c r="C115" s="1830">
        <v>100</v>
      </c>
      <c r="D115" s="1830">
        <f t="shared" ref="D115:M115" si="27">C115-$K38</f>
        <v>98</v>
      </c>
      <c r="E115" s="1830">
        <f t="shared" si="27"/>
        <v>96</v>
      </c>
      <c r="F115" s="1830">
        <f t="shared" si="27"/>
        <v>94</v>
      </c>
      <c r="G115" s="1830">
        <f t="shared" si="27"/>
        <v>92</v>
      </c>
      <c r="H115" s="1830">
        <f t="shared" si="27"/>
        <v>90</v>
      </c>
      <c r="I115" s="1830">
        <f t="shared" si="27"/>
        <v>88</v>
      </c>
      <c r="J115" s="1830">
        <f t="shared" si="27"/>
        <v>86</v>
      </c>
      <c r="K115" s="1830">
        <f t="shared" si="27"/>
        <v>84</v>
      </c>
      <c r="L115" s="1830">
        <f t="shared" si="27"/>
        <v>82</v>
      </c>
      <c r="M115" s="1831">
        <f t="shared" si="27"/>
        <v>80</v>
      </c>
      <c r="N115" s="2983"/>
      <c r="O115" s="2983"/>
      <c r="P115" s="1820"/>
      <c r="Q115" s="1789"/>
    </row>
    <row r="116" spans="1:17" ht="15" thickTop="1">
      <c r="A116" s="1871"/>
      <c r="B116" s="1826" t="s">
        <v>2321</v>
      </c>
      <c r="C116" s="3324" t="s">
        <v>3070</v>
      </c>
      <c r="D116" s="3324" t="s">
        <v>3071</v>
      </c>
      <c r="E116" s="468"/>
      <c r="F116" s="468"/>
      <c r="G116" s="468"/>
      <c r="H116" s="1545"/>
      <c r="I116" s="1545"/>
      <c r="J116" s="1545"/>
      <c r="K116" s="473"/>
      <c r="L116" s="473"/>
      <c r="M116" s="1861"/>
      <c r="N116" s="2982"/>
      <c r="O116" s="2982"/>
      <c r="P116" s="1820"/>
      <c r="Q116" s="1789"/>
    </row>
    <row r="117" spans="1:17" ht="15.75" thickBot="1">
      <c r="A117" s="1821"/>
      <c r="B117" s="1829"/>
      <c r="C117" s="1830">
        <v>100</v>
      </c>
      <c r="D117" s="1830">
        <f>C117-$K39</f>
        <v>98</v>
      </c>
      <c r="E117" s="1830">
        <f>D117-$K39</f>
        <v>96</v>
      </c>
      <c r="F117" s="1830">
        <f>E117-$K39</f>
        <v>94</v>
      </c>
      <c r="G117" s="1830">
        <f>F117-$K39</f>
        <v>92</v>
      </c>
      <c r="H117" s="1830"/>
      <c r="I117" s="1830"/>
      <c r="J117" s="1830"/>
      <c r="K117" s="1830"/>
      <c r="L117" s="1830"/>
      <c r="M117" s="1831"/>
      <c r="N117" s="2983"/>
      <c r="O117" s="2983"/>
      <c r="P117" s="1820"/>
      <c r="Q117" s="1789"/>
    </row>
    <row r="118" spans="1:17" ht="15" thickTop="1">
      <c r="A118" s="1871"/>
      <c r="B118" s="1826" t="s">
        <v>2322</v>
      </c>
      <c r="C118" s="2453"/>
      <c r="D118" s="2453"/>
      <c r="E118" s="2453"/>
      <c r="F118" s="2453"/>
      <c r="G118" s="2453"/>
      <c r="H118" s="443"/>
      <c r="I118" s="443"/>
      <c r="J118" s="443"/>
      <c r="K118" s="443"/>
      <c r="L118" s="443"/>
      <c r="M118" s="1838"/>
      <c r="N118" s="2982"/>
      <c r="O118" s="2982"/>
      <c r="P118" s="1820"/>
      <c r="Q118" s="1789"/>
    </row>
    <row r="119" spans="1:17" ht="15.75" thickBot="1">
      <c r="A119" s="1821"/>
      <c r="B119" s="1829"/>
      <c r="C119" s="1842"/>
      <c r="D119" s="1823"/>
      <c r="E119" s="1823"/>
      <c r="F119" s="1823"/>
      <c r="G119" s="1823"/>
      <c r="H119" s="1823"/>
      <c r="I119" s="1823"/>
      <c r="J119" s="1823"/>
      <c r="K119" s="1823"/>
      <c r="L119" s="1823"/>
      <c r="M119" s="1824"/>
      <c r="N119" s="2983"/>
      <c r="O119" s="2983"/>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4"/>
      <c r="O120" s="2984"/>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4"/>
      <c r="O121" s="2984"/>
      <c r="P121" s="1840"/>
      <c r="Q121" s="1841"/>
    </row>
    <row r="122" spans="1:17" ht="15" thickTop="1">
      <c r="A122" s="1871"/>
      <c r="B122" s="1826" t="s">
        <v>2273</v>
      </c>
      <c r="C122" s="468"/>
      <c r="D122" s="468"/>
      <c r="E122" s="468"/>
      <c r="F122" s="1545"/>
      <c r="G122" s="1545"/>
      <c r="H122" s="1545"/>
      <c r="I122" s="1545"/>
      <c r="J122" s="1545"/>
      <c r="K122" s="473"/>
      <c r="L122" s="473"/>
      <c r="M122" s="1861"/>
      <c r="N122" s="2982"/>
      <c r="O122" s="2982"/>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3"/>
      <c r="O123" s="2983"/>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2"/>
      <c r="O124" s="2982"/>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3"/>
      <c r="O125" s="2983"/>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4"/>
      <c r="O126" s="2984"/>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4"/>
      <c r="O127" s="2984"/>
      <c r="P127" s="1840"/>
      <c r="Q127" s="1841"/>
    </row>
    <row r="128" spans="1:17" ht="15" thickTop="1">
      <c r="A128" s="1871"/>
      <c r="B128" s="1826">
        <f>B45</f>
        <v>111</v>
      </c>
      <c r="C128" s="468"/>
      <c r="D128" s="468"/>
      <c r="E128" s="468"/>
      <c r="F128" s="468"/>
      <c r="G128" s="1545"/>
      <c r="H128" s="1545"/>
      <c r="I128" s="1545"/>
      <c r="J128" s="1545"/>
      <c r="K128" s="473"/>
      <c r="L128" s="473"/>
      <c r="M128" s="1861"/>
      <c r="N128" s="2982"/>
      <c r="O128" s="2982"/>
      <c r="P128" s="1820"/>
      <c r="Q128" s="1789"/>
    </row>
    <row r="129" spans="1:17" ht="15.75" thickBot="1">
      <c r="A129" s="1821"/>
      <c r="B129" s="1829"/>
      <c r="C129" s="1842"/>
      <c r="D129" s="1823"/>
      <c r="E129" s="1823"/>
      <c r="F129" s="1823"/>
      <c r="G129" s="1823"/>
      <c r="H129" s="1823"/>
      <c r="I129" s="1823"/>
      <c r="J129" s="1823"/>
      <c r="K129" s="1823"/>
      <c r="L129" s="1823"/>
      <c r="M129" s="1824"/>
      <c r="N129" s="2983"/>
      <c r="O129" s="2983"/>
      <c r="P129" s="1820"/>
      <c r="Q129" s="1789"/>
    </row>
    <row r="130" spans="1:17" ht="15" thickTop="1">
      <c r="A130" s="1871"/>
      <c r="B130" s="1832">
        <f>B46</f>
        <v>0.95</v>
      </c>
      <c r="C130" s="468"/>
      <c r="D130" s="468"/>
      <c r="E130" s="468"/>
      <c r="F130" s="468"/>
      <c r="G130" s="1862"/>
      <c r="H130" s="1862"/>
      <c r="I130" s="1862"/>
      <c r="J130" s="1862"/>
      <c r="K130" s="409"/>
      <c r="L130" s="409"/>
      <c r="M130" s="1863"/>
      <c r="N130" s="2982"/>
      <c r="O130" s="2982"/>
      <c r="P130" s="1820"/>
      <c r="Q130" s="1789"/>
    </row>
    <row r="131" spans="1:17" ht="15.75" thickBot="1">
      <c r="A131" s="1864"/>
      <c r="B131" s="1849"/>
      <c r="C131" s="1850"/>
      <c r="D131" s="1850"/>
      <c r="E131" s="1850"/>
      <c r="F131" s="1850"/>
      <c r="G131" s="1865"/>
      <c r="H131" s="1865"/>
      <c r="I131" s="1865"/>
      <c r="J131" s="1865"/>
      <c r="K131" s="1865"/>
      <c r="L131" s="1865"/>
      <c r="M131" s="1866"/>
      <c r="N131" s="2983"/>
      <c r="O131" s="2983"/>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4" zoomScale="80" zoomScaleNormal="60" zoomScaleSheetLayoutView="80" workbookViewId="0">
      <selection activeCell="C24" sqref="C24"/>
    </sheetView>
  </sheetViews>
  <sheetFormatPr defaultColWidth="9" defaultRowHeight="14.25"/>
  <cols>
    <col min="1" max="1" width="10.5" style="1634" customWidth="1"/>
    <col min="2" max="2" width="15.75" style="1634" customWidth="1"/>
    <col min="3" max="3" width="19" style="1634" customWidth="1"/>
    <col min="4" max="4" width="12.25" style="1634" customWidth="1"/>
    <col min="5" max="5" width="15.75" style="1634" customWidth="1"/>
    <col min="6" max="6" width="12.25" style="1634" customWidth="1"/>
    <col min="7" max="7" width="17.125" style="1634" bestFit="1" customWidth="1"/>
    <col min="8" max="8" width="12.25" style="1634" customWidth="1"/>
    <col min="9" max="9" width="17.125" style="1634" bestFit="1"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2687</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f>IF(D2="——",IF(C2="元",ROUND(C50*D3,0),ROUND(C50*D3/10000,0)),IF(C2="元",ROUND(C50*D3,0),ROUND(C50*D3/10000,0))-E2)</f>
        <v>138</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1857</v>
      </c>
      <c r="B3" s="1930">
        <f>ROUND(IF(D2="——",C50,IF(C2="万元",B2*10000/D3,B2/D3)),0)</f>
        <v>19539</v>
      </c>
      <c r="C3" s="1627" t="s">
        <v>2185</v>
      </c>
      <c r="D3" s="1627">
        <f>IF(C1="仅计算典型户型",'数据-取费表'!E5,'数据-取费表'!B5)</f>
        <v>70.739999999999995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2042"/>
      <c r="Y4" s="3642" t="s">
        <v>2192</v>
      </c>
      <c r="Z4" s="3643"/>
      <c r="AA4" s="3650" t="s">
        <v>2188</v>
      </c>
      <c r="AB4" s="3650" t="s">
        <v>2189</v>
      </c>
      <c r="AC4" s="3650" t="s">
        <v>2190</v>
      </c>
    </row>
    <row r="5" spans="1:29" ht="15">
      <c r="A5" s="1635"/>
      <c r="B5" s="1636"/>
      <c r="C5" s="3638" t="s">
        <v>2193</v>
      </c>
      <c r="D5" s="3639"/>
      <c r="E5" s="3668" t="s">
        <v>3087</v>
      </c>
      <c r="F5" s="3665"/>
      <c r="G5" s="3669" t="s">
        <v>3086</v>
      </c>
      <c r="H5" s="3639"/>
      <c r="I5" s="3669" t="str">
        <f>G5</f>
        <v>绿地启航</v>
      </c>
      <c r="J5" s="3639"/>
      <c r="K5" s="1933"/>
      <c r="L5" s="2963"/>
      <c r="M5" s="2964"/>
      <c r="N5" s="2964"/>
      <c r="O5" s="2964"/>
      <c r="P5" s="3659"/>
      <c r="Q5" s="3660"/>
      <c r="R5" s="3644"/>
      <c r="S5" s="3645"/>
      <c r="T5" s="3644"/>
      <c r="U5" s="3645"/>
      <c r="V5" s="3663"/>
      <c r="W5" s="3663"/>
      <c r="X5" s="2042"/>
      <c r="Y5" s="3644"/>
      <c r="Z5" s="3645"/>
      <c r="AA5" s="3651"/>
      <c r="AB5" s="3651"/>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2042"/>
      <c r="Y6" s="3646"/>
      <c r="Z6" s="3647"/>
      <c r="AA6" s="3652"/>
      <c r="AB6" s="3652"/>
      <c r="AC6" s="3652"/>
    </row>
    <row r="7" spans="1:29" s="1652" customFormat="1" ht="15.75" thickBot="1">
      <c r="A7" s="1640" t="s">
        <v>2199</v>
      </c>
      <c r="B7" s="1641"/>
      <c r="C7" s="1642">
        <f>'数据-取费表'!B2</f>
        <v>44777</v>
      </c>
      <c r="D7" s="1643">
        <v>100</v>
      </c>
      <c r="E7" s="1644">
        <v>44777</v>
      </c>
      <c r="F7" s="1645">
        <f>SUMIF(59:59,YEAR(E7)&amp;"-"&amp;MONTH(E7),60:60)</f>
        <v>100</v>
      </c>
      <c r="G7" s="1644">
        <v>44740</v>
      </c>
      <c r="H7" s="1643">
        <f>SUMIF(59:59,YEAR(G7)&amp;"-"&amp;MONTH(G7),60:60)</f>
        <v>100</v>
      </c>
      <c r="I7" s="1644">
        <v>44740</v>
      </c>
      <c r="J7" s="1643">
        <f>SUMIF(59:59,YEAR(I7)&amp;"-"&amp;MONTH(I7),60:60)</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7" si="3">D8/F8</f>
        <v>1</v>
      </c>
      <c r="AB8" s="1651">
        <f t="shared" ref="AB8:AB47" si="4">D8/H8</f>
        <v>1</v>
      </c>
      <c r="AC8" s="1651">
        <f t="shared" ref="AC8:AC47" si="5">D8/J8</f>
        <v>1</v>
      </c>
    </row>
    <row r="9" spans="1:29" s="1652" customFormat="1">
      <c r="A9" s="2034" t="s">
        <v>2204</v>
      </c>
      <c r="B9" s="1655" t="s">
        <v>2205</v>
      </c>
      <c r="C9" s="3321" t="s">
        <v>3090</v>
      </c>
      <c r="D9" s="1657">
        <v>100</v>
      </c>
      <c r="E9" s="3322" t="s">
        <v>3088</v>
      </c>
      <c r="F9" s="1657">
        <f>SUMIF(64:64,E9,65:65)-SUMIF(64:64,C9,65:65)+100</f>
        <v>100</v>
      </c>
      <c r="G9" s="3322" t="s">
        <v>3088</v>
      </c>
      <c r="H9" s="1657">
        <f>SUMIF(64:64,G9,65:65)-SUMIF(64:64,C9,65:65)+100</f>
        <v>100</v>
      </c>
      <c r="I9" s="3322" t="s">
        <v>3088</v>
      </c>
      <c r="J9" s="1657">
        <f>SUMIF(64:64,I9,65:65)-SUMIF(64:64,C9,65:65)+100</f>
        <v>100</v>
      </c>
      <c r="K9" s="1935"/>
      <c r="L9" s="2963"/>
      <c r="M9" s="2936"/>
      <c r="N9" s="2936"/>
      <c r="O9" s="2936"/>
      <c r="P9" s="3626" t="s">
        <v>2206</v>
      </c>
      <c r="Q9" s="2881"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75" thickBot="1">
      <c r="A10" s="1662"/>
      <c r="B10" s="1663" t="s">
        <v>2208</v>
      </c>
      <c r="C10" s="1664" t="s">
        <v>2997</v>
      </c>
      <c r="D10" s="1665">
        <v>100</v>
      </c>
      <c r="E10" s="1664" t="s">
        <v>2997</v>
      </c>
      <c r="F10" s="1665">
        <f>SUMIF(66:66,E10,67:67)-SUMIF(66:66,C10,67:67)+100</f>
        <v>100</v>
      </c>
      <c r="G10" s="1664" t="s">
        <v>2997</v>
      </c>
      <c r="H10" s="1665">
        <f>SUMIF(66:66,G10,67:67)-SUMIF(66:66,C10,67:67)+100</f>
        <v>100</v>
      </c>
      <c r="I10" s="1664" t="s">
        <v>2997</v>
      </c>
      <c r="J10" s="1665">
        <f>SUMIF(66:66,I10,67:67)-SUMIF(66:66,C10,67:67)+100</f>
        <v>100</v>
      </c>
      <c r="K10" s="1960">
        <v>1</v>
      </c>
      <c r="L10" s="2965"/>
      <c r="M10" s="2966"/>
      <c r="N10" s="2966"/>
      <c r="O10" s="2966"/>
      <c r="P10" s="3626"/>
      <c r="Q10" s="2881" t="str">
        <f t="shared" si="6"/>
        <v>土地使用年限（年）</v>
      </c>
      <c r="R10" s="1648" t="s">
        <v>25</v>
      </c>
      <c r="S10" s="1649">
        <f t="shared" si="0"/>
        <v>100</v>
      </c>
      <c r="T10" s="1648" t="s">
        <v>25</v>
      </c>
      <c r="U10" s="1649">
        <f t="shared" si="1"/>
        <v>100</v>
      </c>
      <c r="V10" s="1648" t="s">
        <v>25</v>
      </c>
      <c r="W10" s="1649">
        <f t="shared" si="2"/>
        <v>100</v>
      </c>
      <c r="X10" s="1650"/>
      <c r="Y10" s="3534"/>
      <c r="Z10" s="1661" t="str">
        <f t="shared" si="7"/>
        <v>土地使用年限（年）</v>
      </c>
      <c r="AA10" s="1651">
        <f t="shared" si="3"/>
        <v>1</v>
      </c>
      <c r="AB10" s="1651">
        <f t="shared" si="4"/>
        <v>1</v>
      </c>
      <c r="AC10" s="1651">
        <f t="shared" si="5"/>
        <v>1</v>
      </c>
    </row>
    <row r="11" spans="1:29" ht="15.75" hidden="1"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26"/>
      <c r="Q11" s="2881"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26"/>
      <c r="Q12" s="2881">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26"/>
      <c r="Q13" s="2881">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26"/>
      <c r="Q14" s="2881">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57">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91"/>
      <c r="H15" s="1688">
        <f>SUMIF(77:77,G16,78:78)-SUMIF(77:77,C16,78:78)+100</f>
        <v>100</v>
      </c>
      <c r="I15" s="1691"/>
      <c r="J15" s="1688">
        <f>SUMIF(77:77,I16,78:78)-SUMIF(77:77,C16,78:78)+100</f>
        <v>100</v>
      </c>
      <c r="K15" s="2440">
        <v>3</v>
      </c>
      <c r="L15" s="2968"/>
      <c r="M15" s="2964"/>
      <c r="N15" s="2964"/>
      <c r="O15" s="2964"/>
      <c r="P15" s="3629" t="s">
        <v>2211</v>
      </c>
      <c r="Q15" s="2882" t="str">
        <f t="shared" si="6"/>
        <v>办公集聚程度</v>
      </c>
      <c r="R15" s="1693" t="s">
        <v>25</v>
      </c>
      <c r="S15" s="1694">
        <f t="shared" si="0"/>
        <v>100</v>
      </c>
      <c r="T15" s="1693" t="s">
        <v>25</v>
      </c>
      <c r="U15" s="1694">
        <f t="shared" si="1"/>
        <v>100</v>
      </c>
      <c r="V15" s="1693" t="s">
        <v>25</v>
      </c>
      <c r="W15" s="1694">
        <f t="shared" si="2"/>
        <v>100</v>
      </c>
      <c r="X15" s="2042"/>
      <c r="Y15" s="3629" t="s">
        <v>2211</v>
      </c>
      <c r="Z15" s="2046" t="str">
        <f t="shared" si="7"/>
        <v>办公集聚程度</v>
      </c>
      <c r="AA15" s="2037">
        <f t="shared" si="3"/>
        <v>1</v>
      </c>
      <c r="AB15" s="2037">
        <f t="shared" si="4"/>
        <v>1</v>
      </c>
      <c r="AC15" s="2037">
        <f t="shared" si="5"/>
        <v>1</v>
      </c>
    </row>
    <row r="16" spans="1:29" ht="15">
      <c r="A16" s="1670"/>
      <c r="B16" s="2461"/>
      <c r="C16" s="1943" t="s">
        <v>30</v>
      </c>
      <c r="D16" s="1699"/>
      <c r="E16" s="1943" t="s">
        <v>30</v>
      </c>
      <c r="F16" s="1699"/>
      <c r="G16" s="1943" t="s">
        <v>30</v>
      </c>
      <c r="H16" s="1703"/>
      <c r="I16" s="1943" t="s">
        <v>30</v>
      </c>
      <c r="J16" s="1699"/>
      <c r="K16" s="2441"/>
      <c r="L16" s="2968"/>
      <c r="M16" s="2964"/>
      <c r="N16" s="2964"/>
      <c r="O16" s="2964"/>
      <c r="P16" s="3630"/>
      <c r="Q16" s="2882"/>
      <c r="R16" s="1693"/>
      <c r="S16" s="1694"/>
      <c r="T16" s="1693"/>
      <c r="U16" s="1694"/>
      <c r="V16" s="1693"/>
      <c r="W16" s="1694"/>
      <c r="X16" s="2042"/>
      <c r="Y16" s="3630"/>
      <c r="Z16" s="2046"/>
      <c r="AA16" s="2037">
        <v>1</v>
      </c>
      <c r="AB16" s="2037">
        <v>1</v>
      </c>
      <c r="AC16" s="2037">
        <v>1</v>
      </c>
    </row>
    <row r="17" spans="1:29" ht="71.2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100</v>
      </c>
      <c r="G17" s="1709"/>
      <c r="H17" s="1710">
        <f>SUMIF(79:79,G18,80:80)-SUMIF(79:79,C18,80:80)+100</f>
        <v>100</v>
      </c>
      <c r="I17" s="1709"/>
      <c r="J17" s="1710">
        <f>SUMIF(79:79,I18,80:80)-SUMIF(79:79,C18,80:80)+100</f>
        <v>100</v>
      </c>
      <c r="K17" s="2440">
        <v>2</v>
      </c>
      <c r="L17" s="2968"/>
      <c r="M17" s="2964"/>
      <c r="N17" s="2964"/>
      <c r="O17" s="2964"/>
      <c r="P17" s="3630"/>
      <c r="Q17" s="2882" t="str">
        <f>B17</f>
        <v>交通便捷度</v>
      </c>
      <c r="R17" s="1693" t="s">
        <v>25</v>
      </c>
      <c r="S17" s="1694">
        <f>F17</f>
        <v>100</v>
      </c>
      <c r="T17" s="1693" t="s">
        <v>25</v>
      </c>
      <c r="U17" s="1694">
        <f>H17</f>
        <v>100</v>
      </c>
      <c r="V17" s="1693" t="s">
        <v>25</v>
      </c>
      <c r="W17" s="1694">
        <f>J17</f>
        <v>100</v>
      </c>
      <c r="X17" s="2042"/>
      <c r="Y17" s="3630"/>
      <c r="Z17" s="2046" t="str">
        <f>Q17</f>
        <v>交通便捷度</v>
      </c>
      <c r="AA17" s="2037">
        <f t="shared" si="3"/>
        <v>1</v>
      </c>
      <c r="AB17" s="2037">
        <f t="shared" si="4"/>
        <v>1</v>
      </c>
      <c r="AC17" s="2037">
        <f t="shared" si="5"/>
        <v>1</v>
      </c>
    </row>
    <row r="18" spans="1:29" ht="15">
      <c r="A18" s="1670"/>
      <c r="B18" s="2463"/>
      <c r="C18" s="1943" t="s">
        <v>30</v>
      </c>
      <c r="D18" s="1703"/>
      <c r="E18" s="1943" t="s">
        <v>30</v>
      </c>
      <c r="F18" s="1703"/>
      <c r="G18" s="1943" t="s">
        <v>30</v>
      </c>
      <c r="H18" s="1699"/>
      <c r="I18" s="1943" t="s">
        <v>30</v>
      </c>
      <c r="J18" s="1699"/>
      <c r="K18" s="2441"/>
      <c r="L18" s="2968"/>
      <c r="M18" s="2964"/>
      <c r="N18" s="2964"/>
      <c r="O18" s="2964"/>
      <c r="P18" s="3630"/>
      <c r="Q18" s="2882"/>
      <c r="R18" s="1693"/>
      <c r="S18" s="1694"/>
      <c r="T18" s="1693"/>
      <c r="U18" s="1694"/>
      <c r="V18" s="1693"/>
      <c r="W18" s="1694"/>
      <c r="X18" s="2042"/>
      <c r="Y18" s="3630"/>
      <c r="Z18" s="2046"/>
      <c r="AA18" s="2037">
        <v>1</v>
      </c>
      <c r="AB18" s="2037">
        <v>1</v>
      </c>
      <c r="AC18" s="2037">
        <v>1</v>
      </c>
    </row>
    <row r="19" spans="1:29" ht="28.5">
      <c r="A19" s="1670"/>
      <c r="B19" s="2462" t="s">
        <v>2326</v>
      </c>
      <c r="C19" s="1948" t="str">
        <f>估价对象房地状况!C7</f>
        <v>估价对象所在区域公共配套设施齐备情况</v>
      </c>
      <c r="D19" s="1710">
        <v>100</v>
      </c>
      <c r="E19" s="1717"/>
      <c r="F19" s="1710">
        <f>SUMIF(81:81,E20,82:82)-SUMIF(81:81,C20,82:82)+100</f>
        <v>100</v>
      </c>
      <c r="G19" s="1717"/>
      <c r="H19" s="1703">
        <f>SUMIF(81:81,G20,82:82)-SUMIF(81:81,C20,82:82)+100</f>
        <v>100</v>
      </c>
      <c r="I19" s="1717"/>
      <c r="J19" s="1703">
        <f>SUMIF(81:81,I20,82:82)-SUMIF(81:81,C20,82:82)+100</f>
        <v>100</v>
      </c>
      <c r="K19" s="2440">
        <v>2</v>
      </c>
      <c r="L19" s="2968"/>
      <c r="M19" s="2964"/>
      <c r="N19" s="2964"/>
      <c r="O19" s="2964"/>
      <c r="P19" s="3630"/>
      <c r="Q19" s="2882" t="str">
        <f>B19</f>
        <v>公共配套设施</v>
      </c>
      <c r="R19" s="1693" t="s">
        <v>25</v>
      </c>
      <c r="S19" s="1694">
        <f>F19</f>
        <v>100</v>
      </c>
      <c r="T19" s="1693" t="s">
        <v>25</v>
      </c>
      <c r="U19" s="1694">
        <f>H19</f>
        <v>100</v>
      </c>
      <c r="V19" s="1693" t="s">
        <v>25</v>
      </c>
      <c r="W19" s="1694">
        <f>J19</f>
        <v>100</v>
      </c>
      <c r="X19" s="2042"/>
      <c r="Y19" s="3630"/>
      <c r="Z19" s="2046" t="str">
        <f>Q19</f>
        <v>公共配套设施</v>
      </c>
      <c r="AA19" s="2037">
        <f t="shared" si="3"/>
        <v>1</v>
      </c>
      <c r="AB19" s="2037">
        <f t="shared" si="4"/>
        <v>1</v>
      </c>
      <c r="AC19" s="2037">
        <f t="shared" si="5"/>
        <v>1</v>
      </c>
    </row>
    <row r="20" spans="1:29" ht="15">
      <c r="A20" s="1670"/>
      <c r="B20" s="2463"/>
      <c r="C20" s="1943" t="s">
        <v>31</v>
      </c>
      <c r="D20" s="1699"/>
      <c r="E20" s="1943" t="s">
        <v>31</v>
      </c>
      <c r="F20" s="1699"/>
      <c r="G20" s="1943" t="s">
        <v>31</v>
      </c>
      <c r="H20" s="1699"/>
      <c r="I20" s="1943" t="s">
        <v>31</v>
      </c>
      <c r="J20" s="1699"/>
      <c r="K20" s="2441"/>
      <c r="L20" s="2968"/>
      <c r="M20" s="2964"/>
      <c r="N20" s="2964"/>
      <c r="O20" s="2964"/>
      <c r="P20" s="3630"/>
      <c r="Q20" s="2882"/>
      <c r="R20" s="1693"/>
      <c r="S20" s="1694"/>
      <c r="T20" s="1693"/>
      <c r="U20" s="1694"/>
      <c r="V20" s="1693"/>
      <c r="W20" s="1694"/>
      <c r="X20" s="2042"/>
      <c r="Y20" s="3630"/>
      <c r="Z20" s="2046"/>
      <c r="AA20" s="2037">
        <v>1</v>
      </c>
      <c r="AB20" s="2037">
        <v>1</v>
      </c>
      <c r="AC20" s="2037">
        <v>1</v>
      </c>
    </row>
    <row r="21" spans="1:29" ht="28.5">
      <c r="A21" s="1670"/>
      <c r="B21" s="2464" t="s">
        <v>2327</v>
      </c>
      <c r="C21" s="1948" t="str">
        <f>估价对象房地状况!C8</f>
        <v>估价对象所在区域基础设施水平</v>
      </c>
      <c r="D21" s="1710">
        <v>100</v>
      </c>
      <c r="E21" s="1717"/>
      <c r="F21" s="1710">
        <f>SUMIF(83:83,E22,84:84)-SUMIF(83:83,C22,84:84)+100</f>
        <v>100</v>
      </c>
      <c r="G21" s="1717"/>
      <c r="H21" s="1703">
        <f>SUMIF(83:83,G22,84:84)-SUMIF(83:83,C22,84:84)+100</f>
        <v>100</v>
      </c>
      <c r="I21" s="1717"/>
      <c r="J21" s="1703">
        <f>SUMIF(83:83,I22,84:84)-SUMIF(83:83,C22,84:84)+100</f>
        <v>100</v>
      </c>
      <c r="K21" s="2440">
        <v>1</v>
      </c>
      <c r="L21" s="2968"/>
      <c r="M21" s="2964"/>
      <c r="N21" s="2964"/>
      <c r="O21" s="2964"/>
      <c r="P21" s="3630"/>
      <c r="Q21" s="2882" t="str">
        <f>B21</f>
        <v>基础设施水平</v>
      </c>
      <c r="R21" s="1693" t="s">
        <v>25</v>
      </c>
      <c r="S21" s="1694">
        <f>F21</f>
        <v>100</v>
      </c>
      <c r="T21" s="1693" t="s">
        <v>25</v>
      </c>
      <c r="U21" s="1694">
        <f>H21</f>
        <v>100</v>
      </c>
      <c r="V21" s="1693" t="s">
        <v>25</v>
      </c>
      <c r="W21" s="1694">
        <f>J21</f>
        <v>100</v>
      </c>
      <c r="X21" s="2042"/>
      <c r="Y21" s="3630"/>
      <c r="Z21" s="2046" t="str">
        <f>Q21</f>
        <v>基础设施水平</v>
      </c>
      <c r="AA21" s="2037">
        <f t="shared" ref="AA21" si="8">D21/F21</f>
        <v>1</v>
      </c>
      <c r="AB21" s="2037">
        <f t="shared" ref="AB21" si="9">D21/H21</f>
        <v>1</v>
      </c>
      <c r="AC21" s="2037">
        <f t="shared" ref="AC21" si="10">D21/J21</f>
        <v>1</v>
      </c>
    </row>
    <row r="22" spans="1:29" ht="15">
      <c r="A22" s="1670"/>
      <c r="B22" s="2464"/>
      <c r="C22" s="1947" t="s">
        <v>3007</v>
      </c>
      <c r="D22" s="1699"/>
      <c r="E22" s="1947" t="s">
        <v>3007</v>
      </c>
      <c r="F22" s="1699"/>
      <c r="G22" s="1947" t="s">
        <v>3007</v>
      </c>
      <c r="H22" s="1699"/>
      <c r="I22" s="1947" t="s">
        <v>3007</v>
      </c>
      <c r="J22" s="1699"/>
      <c r="K22" s="2442"/>
      <c r="L22" s="2968"/>
      <c r="M22" s="2964"/>
      <c r="N22" s="2964"/>
      <c r="O22" s="2964"/>
      <c r="P22" s="3630"/>
      <c r="Q22" s="2882"/>
      <c r="R22" s="1693"/>
      <c r="S22" s="1694"/>
      <c r="T22" s="1693"/>
      <c r="U22" s="1694"/>
      <c r="V22" s="1693"/>
      <c r="W22" s="1694"/>
      <c r="X22" s="2042"/>
      <c r="Y22" s="3630"/>
      <c r="Z22" s="2046"/>
      <c r="AA22" s="2037">
        <v>1</v>
      </c>
      <c r="AB22" s="2037">
        <v>1</v>
      </c>
      <c r="AC22" s="2037">
        <v>1</v>
      </c>
    </row>
    <row r="23" spans="1:29" ht="42.75">
      <c r="A23" s="1670"/>
      <c r="B23" s="2462" t="s">
        <v>2328</v>
      </c>
      <c r="C23" s="1948" t="str">
        <f>估价对象房地状况!C9</f>
        <v>区域自然环境：；人文环境；综合评价环境状况一般</v>
      </c>
      <c r="D23" s="1703">
        <v>100</v>
      </c>
      <c r="E23" s="1709"/>
      <c r="F23" s="1703">
        <f>SUMIF(85:85,E24,86:86)-SUMIF(85:85,C24,86:86)+100</f>
        <v>100</v>
      </c>
      <c r="G23" s="1709"/>
      <c r="H23" s="1703">
        <f>SUMIF(85:85,G24,86:86)-SUMIF(85:85,C24,86:86)+100</f>
        <v>100</v>
      </c>
      <c r="I23" s="1709"/>
      <c r="J23" s="1703">
        <f>SUMIF(85:85,I24,86:86)-SUMIF(85:85,C24,86:86)+100</f>
        <v>100</v>
      </c>
      <c r="K23" s="2440">
        <v>3</v>
      </c>
      <c r="L23" s="2968"/>
      <c r="M23" s="2964"/>
      <c r="N23" s="2964"/>
      <c r="O23" s="2964"/>
      <c r="P23" s="3630"/>
      <c r="Q23" s="2882" t="str">
        <f>B23</f>
        <v>环境质量</v>
      </c>
      <c r="R23" s="1693" t="s">
        <v>25</v>
      </c>
      <c r="S23" s="1694">
        <f>F23</f>
        <v>100</v>
      </c>
      <c r="T23" s="1693" t="s">
        <v>25</v>
      </c>
      <c r="U23" s="1694">
        <f>H23</f>
        <v>100</v>
      </c>
      <c r="V23" s="1693" t="s">
        <v>25</v>
      </c>
      <c r="W23" s="1694">
        <f>J23</f>
        <v>100</v>
      </c>
      <c r="X23" s="2042"/>
      <c r="Y23" s="3630"/>
      <c r="Z23" s="2046" t="str">
        <f>Q23</f>
        <v>环境质量</v>
      </c>
      <c r="AA23" s="2037">
        <f t="shared" si="3"/>
        <v>1</v>
      </c>
      <c r="AB23" s="2037">
        <f t="shared" si="4"/>
        <v>1</v>
      </c>
      <c r="AC23" s="2037">
        <f t="shared" si="5"/>
        <v>1</v>
      </c>
    </row>
    <row r="24" spans="1:29" ht="15">
      <c r="A24" s="1670"/>
      <c r="B24" s="2464"/>
      <c r="C24" s="1943" t="s">
        <v>31</v>
      </c>
      <c r="D24" s="1699"/>
      <c r="E24" s="1943" t="s">
        <v>31</v>
      </c>
      <c r="F24" s="1699"/>
      <c r="G24" s="1943" t="s">
        <v>31</v>
      </c>
      <c r="H24" s="1699"/>
      <c r="I24" s="1943" t="s">
        <v>31</v>
      </c>
      <c r="J24" s="1699"/>
      <c r="K24" s="2441"/>
      <c r="L24" s="2968"/>
      <c r="M24" s="2964"/>
      <c r="N24" s="2964"/>
      <c r="O24" s="2964"/>
      <c r="P24" s="3630"/>
      <c r="Q24" s="2882"/>
      <c r="R24" s="1693"/>
      <c r="S24" s="1694"/>
      <c r="T24" s="1693"/>
      <c r="U24" s="1694"/>
      <c r="V24" s="1693"/>
      <c r="W24" s="1694"/>
      <c r="X24" s="2042"/>
      <c r="Y24" s="3630"/>
      <c r="Z24" s="2046"/>
      <c r="AA24" s="2037">
        <v>1</v>
      </c>
      <c r="AB24" s="2037">
        <v>1</v>
      </c>
      <c r="AC24" s="2037">
        <v>1</v>
      </c>
    </row>
    <row r="25" spans="1:29" ht="27">
      <c r="A25" s="1635"/>
      <c r="B25" s="2462" t="s">
        <v>2329</v>
      </c>
      <c r="C25" s="2465"/>
      <c r="D25" s="1679">
        <v>100</v>
      </c>
      <c r="E25" s="1678"/>
      <c r="F25" s="1679">
        <f>SUMIF(87:87,E26,88:88)-SUMIF(87:87,C26,88:88)+100</f>
        <v>100</v>
      </c>
      <c r="G25" s="1678"/>
      <c r="H25" s="1679">
        <f>SUMIF(87:87,G26,88:88)-SUMIF(87:87,C26,88:88)+100</f>
        <v>100</v>
      </c>
      <c r="I25" s="1678"/>
      <c r="J25" s="1679">
        <f>SUMIF(87:87,I26,88:88)-SUMIF(87:87,C26,88:88)+100</f>
        <v>100</v>
      </c>
      <c r="K25" s="2440"/>
      <c r="L25" s="2968"/>
      <c r="M25" s="2964"/>
      <c r="N25" s="2964"/>
      <c r="O25" s="2964"/>
      <c r="P25" s="3630"/>
      <c r="Q25" s="2882" t="str">
        <f>B25</f>
        <v>毗邻道路的类型与等级</v>
      </c>
      <c r="R25" s="1693" t="s">
        <v>25</v>
      </c>
      <c r="S25" s="1694">
        <f>F25</f>
        <v>100</v>
      </c>
      <c r="T25" s="1693" t="s">
        <v>25</v>
      </c>
      <c r="U25" s="1694">
        <f>H25</f>
        <v>100</v>
      </c>
      <c r="V25" s="1693" t="s">
        <v>25</v>
      </c>
      <c r="W25" s="1694">
        <f>J25</f>
        <v>100</v>
      </c>
      <c r="X25" s="2042"/>
      <c r="Y25" s="3630"/>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8"/>
      <c r="M26" s="2964"/>
      <c r="N26" s="2964"/>
      <c r="O26" s="2964"/>
      <c r="P26" s="3630"/>
      <c r="Q26" s="2882"/>
      <c r="R26" s="1693"/>
      <c r="S26" s="1694"/>
      <c r="T26" s="1693"/>
      <c r="U26" s="1694"/>
      <c r="V26" s="1693"/>
      <c r="W26" s="1694"/>
      <c r="X26" s="2042"/>
      <c r="Y26" s="3630"/>
      <c r="Z26" s="2046"/>
      <c r="AA26" s="2037">
        <v>1</v>
      </c>
      <c r="AB26" s="2037">
        <v>1</v>
      </c>
      <c r="AC26" s="2037">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30"/>
      <c r="Q27" s="2882" t="str">
        <f t="shared" ref="Q27:Q47" si="11">B27</f>
        <v>楼层</v>
      </c>
      <c r="R27" s="1693" t="s">
        <v>25</v>
      </c>
      <c r="S27" s="1694">
        <f>F27</f>
        <v>100</v>
      </c>
      <c r="T27" s="1693" t="s">
        <v>25</v>
      </c>
      <c r="U27" s="1694">
        <f>H27</f>
        <v>100</v>
      </c>
      <c r="V27" s="1693" t="s">
        <v>25</v>
      </c>
      <c r="W27" s="1694">
        <f>J27</f>
        <v>100</v>
      </c>
      <c r="X27" s="2042"/>
      <c r="Y27" s="3630"/>
      <c r="Z27" s="2046" t="str">
        <f>Q27</f>
        <v>楼层</v>
      </c>
      <c r="AA27" s="2037">
        <f t="shared" si="3"/>
        <v>1</v>
      </c>
      <c r="AB27" s="2037">
        <f t="shared" si="4"/>
        <v>1</v>
      </c>
      <c r="AC27" s="2037">
        <f t="shared" si="5"/>
        <v>1</v>
      </c>
    </row>
    <row r="28" spans="1:29" s="1652" customFormat="1" ht="15" hidden="1">
      <c r="A28" s="1673"/>
      <c r="B28" s="2462" t="s">
        <v>2330</v>
      </c>
      <c r="C28" s="2466"/>
      <c r="D28" s="1724">
        <v>100</v>
      </c>
      <c r="E28" s="2444"/>
      <c r="F28" s="1724">
        <f>SUMIF(91:91,E28,92:92)-SUMIF(91:91,C28,92:92)+100</f>
        <v>100</v>
      </c>
      <c r="G28" s="2466"/>
      <c r="H28" s="1724">
        <f>SUMIF(91:91,G28,92:92)-SUMIF(91:91,C28,92:92)+100</f>
        <v>100</v>
      </c>
      <c r="I28" s="2444"/>
      <c r="J28" s="1724">
        <f>SUMIF(91:91,I28,92:92)-SUMIF(91:91,C28,92:92)+100</f>
        <v>100</v>
      </c>
      <c r="K28" s="1960"/>
      <c r="L28" s="2963"/>
      <c r="M28" s="2936"/>
      <c r="N28" s="2936"/>
      <c r="O28" s="2936"/>
      <c r="P28" s="3630"/>
      <c r="Q28" s="2881" t="str">
        <f t="shared" si="11"/>
        <v>朝向</v>
      </c>
      <c r="R28" s="1648" t="s">
        <v>25</v>
      </c>
      <c r="S28" s="1649">
        <f>F28</f>
        <v>100</v>
      </c>
      <c r="T28" s="1648" t="s">
        <v>25</v>
      </c>
      <c r="U28" s="1649">
        <f>H28</f>
        <v>100</v>
      </c>
      <c r="V28" s="1648" t="s">
        <v>25</v>
      </c>
      <c r="W28" s="1649">
        <f>J28</f>
        <v>100</v>
      </c>
      <c r="X28" s="1650"/>
      <c r="Y28" s="3630"/>
      <c r="Z28" s="1661" t="str">
        <f>Q28</f>
        <v>朝向</v>
      </c>
      <c r="AA28" s="2037">
        <f>D28/F28</f>
        <v>1</v>
      </c>
      <c r="AB28" s="2037">
        <f>D28/H28</f>
        <v>1</v>
      </c>
      <c r="AC28" s="2037">
        <f>D28/J28</f>
        <v>1</v>
      </c>
    </row>
    <row r="29" spans="1:29" ht="15.75" thickBot="1">
      <c r="A29" s="1670"/>
      <c r="B29" s="3326" t="s">
        <v>3003</v>
      </c>
      <c r="C29" s="3328" t="s">
        <v>2998</v>
      </c>
      <c r="D29" s="1679">
        <v>100</v>
      </c>
      <c r="E29" s="3328" t="s">
        <v>2998</v>
      </c>
      <c r="F29" s="1679">
        <f>SUMIF(93:93,E29,94:94)-SUMIF(93:93,C29,94:94)+100</f>
        <v>100</v>
      </c>
      <c r="G29" s="3329" t="s">
        <v>3100</v>
      </c>
      <c r="H29" s="1679">
        <f>SUMIF(93:93,G29,94:94)-SUMIF(93:93,C29,94:94)+100</f>
        <v>98</v>
      </c>
      <c r="I29" s="3328" t="s">
        <v>3101</v>
      </c>
      <c r="J29" s="1679">
        <f>SUMIF(93:93,I29,94:94)-SUMIF(93:93,C29,94:94)+100</f>
        <v>100</v>
      </c>
      <c r="K29" s="1957"/>
      <c r="L29" s="2968"/>
      <c r="M29" s="2964"/>
      <c r="N29" s="2964"/>
      <c r="O29" s="2964"/>
      <c r="P29" s="3630"/>
      <c r="Q29" s="2882" t="str">
        <f t="shared" si="11"/>
        <v>楼层</v>
      </c>
      <c r="R29" s="1693" t="s">
        <v>25</v>
      </c>
      <c r="S29" s="1694">
        <f t="shared" ref="S29:S47" si="12">F29</f>
        <v>100</v>
      </c>
      <c r="T29" s="1693" t="s">
        <v>25</v>
      </c>
      <c r="U29" s="1694">
        <f t="shared" ref="U29:U47" si="13">H29</f>
        <v>98</v>
      </c>
      <c r="V29" s="1693" t="s">
        <v>25</v>
      </c>
      <c r="W29" s="1694">
        <f t="shared" ref="W29:W47" si="14">J29</f>
        <v>100</v>
      </c>
      <c r="X29" s="2042"/>
      <c r="Y29" s="3630"/>
      <c r="Z29" s="2046" t="str">
        <f t="shared" ref="Z29:Z47" si="15">Q29</f>
        <v>楼层</v>
      </c>
      <c r="AA29" s="2037">
        <f t="shared" si="3"/>
        <v>1</v>
      </c>
      <c r="AB29" s="2037">
        <f t="shared" si="4"/>
        <v>1.0204081632653061</v>
      </c>
      <c r="AC29" s="2037">
        <f t="shared" si="5"/>
        <v>1</v>
      </c>
    </row>
    <row r="30" spans="1:29" ht="15" hidden="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30"/>
      <c r="Q30" s="2882">
        <f t="shared" si="11"/>
        <v>111</v>
      </c>
      <c r="R30" s="1693" t="s">
        <v>25</v>
      </c>
      <c r="S30" s="1694">
        <f t="shared" si="12"/>
        <v>100</v>
      </c>
      <c r="T30" s="1693" t="s">
        <v>25</v>
      </c>
      <c r="U30" s="1694">
        <f t="shared" si="13"/>
        <v>100</v>
      </c>
      <c r="V30" s="1693" t="s">
        <v>25</v>
      </c>
      <c r="W30" s="1694">
        <f t="shared" si="14"/>
        <v>100</v>
      </c>
      <c r="X30" s="2042"/>
      <c r="Y30" s="3630"/>
      <c r="Z30" s="2046">
        <f t="shared" si="15"/>
        <v>111</v>
      </c>
      <c r="AA30" s="2037">
        <f t="shared" si="3"/>
        <v>1</v>
      </c>
      <c r="AB30" s="2037">
        <f t="shared" si="4"/>
        <v>1</v>
      </c>
      <c r="AC30" s="2037">
        <f t="shared" si="5"/>
        <v>1</v>
      </c>
    </row>
    <row r="31" spans="1:29" ht="15" hidden="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30"/>
      <c r="Q31" s="2882">
        <f t="shared" si="11"/>
        <v>111</v>
      </c>
      <c r="R31" s="1693" t="s">
        <v>25</v>
      </c>
      <c r="S31" s="1694">
        <f t="shared" si="12"/>
        <v>100</v>
      </c>
      <c r="T31" s="1693" t="s">
        <v>25</v>
      </c>
      <c r="U31" s="1694">
        <f t="shared" si="13"/>
        <v>100</v>
      </c>
      <c r="V31" s="1693" t="s">
        <v>25</v>
      </c>
      <c r="W31" s="1694">
        <f t="shared" si="14"/>
        <v>100</v>
      </c>
      <c r="X31" s="2042"/>
      <c r="Y31" s="3630"/>
      <c r="Z31" s="2046">
        <f t="shared" si="15"/>
        <v>111</v>
      </c>
      <c r="AA31" s="2037">
        <f t="shared" si="3"/>
        <v>1</v>
      </c>
      <c r="AB31" s="2037">
        <f t="shared" si="4"/>
        <v>1</v>
      </c>
      <c r="AC31" s="2037">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30"/>
      <c r="Q32" s="2882">
        <f t="shared" si="11"/>
        <v>111</v>
      </c>
      <c r="R32" s="1693" t="s">
        <v>25</v>
      </c>
      <c r="S32" s="1694">
        <f t="shared" si="12"/>
        <v>100</v>
      </c>
      <c r="T32" s="1693" t="s">
        <v>25</v>
      </c>
      <c r="U32" s="1694">
        <f t="shared" si="13"/>
        <v>100</v>
      </c>
      <c r="V32" s="1693" t="s">
        <v>25</v>
      </c>
      <c r="W32" s="1694">
        <f t="shared" si="14"/>
        <v>100</v>
      </c>
      <c r="X32" s="2042"/>
      <c r="Y32" s="3630"/>
      <c r="Z32" s="2046">
        <f t="shared" si="15"/>
        <v>111</v>
      </c>
      <c r="AA32" s="2037">
        <f t="shared" si="3"/>
        <v>1</v>
      </c>
      <c r="AB32" s="2037">
        <f t="shared" si="4"/>
        <v>1</v>
      </c>
      <c r="AC32" s="2037">
        <f t="shared" si="5"/>
        <v>1</v>
      </c>
    </row>
    <row r="33" spans="1:29" ht="15">
      <c r="A33" s="1685" t="s">
        <v>2215</v>
      </c>
      <c r="B33" s="1655" t="s">
        <v>2331</v>
      </c>
      <c r="C33" s="2470" t="s">
        <v>3091</v>
      </c>
      <c r="D33" s="1730">
        <v>100</v>
      </c>
      <c r="E33" s="2470" t="s">
        <v>3091</v>
      </c>
      <c r="F33" s="1722">
        <f>SUMIF(101:101,E33,102:102)-SUMIF(101:101,C33,102:102)+100</f>
        <v>100</v>
      </c>
      <c r="G33" s="2470" t="s">
        <v>3091</v>
      </c>
      <c r="H33" s="1679">
        <f>SUMIF(101:101,G33,102:102)-SUMIF(101:101,C33,102:102)+100</f>
        <v>100</v>
      </c>
      <c r="I33" s="2470" t="s">
        <v>3091</v>
      </c>
      <c r="J33" s="1730">
        <f>SUMIF(101:101,I33,102:102)-SUMIF(101:101,C33,102:102)+100</f>
        <v>100</v>
      </c>
      <c r="K33" s="1960"/>
      <c r="L33" s="2968"/>
      <c r="M33" s="2964"/>
      <c r="N33" s="2964"/>
      <c r="O33" s="2964"/>
      <c r="P33" s="3670" t="s">
        <v>2217</v>
      </c>
      <c r="Q33" s="2882" t="str">
        <f t="shared" si="11"/>
        <v>建筑类型</v>
      </c>
      <c r="R33" s="1693" t="s">
        <v>25</v>
      </c>
      <c r="S33" s="1694">
        <f t="shared" si="12"/>
        <v>100</v>
      </c>
      <c r="T33" s="1693" t="s">
        <v>25</v>
      </c>
      <c r="U33" s="1694">
        <f t="shared" si="13"/>
        <v>100</v>
      </c>
      <c r="V33" s="1693" t="s">
        <v>25</v>
      </c>
      <c r="W33" s="1694">
        <f t="shared" si="14"/>
        <v>100</v>
      </c>
      <c r="X33" s="2042"/>
      <c r="Y33" s="3634" t="s">
        <v>2217</v>
      </c>
      <c r="Z33" s="2046" t="str">
        <f t="shared" si="15"/>
        <v>建筑类型</v>
      </c>
      <c r="AA33" s="2037">
        <f t="shared" si="3"/>
        <v>1</v>
      </c>
      <c r="AB33" s="2037">
        <f t="shared" si="4"/>
        <v>1</v>
      </c>
      <c r="AC33" s="2037">
        <f t="shared" si="5"/>
        <v>1</v>
      </c>
    </row>
    <row r="34" spans="1:29" s="1739" customFormat="1" ht="15">
      <c r="A34" s="1732"/>
      <c r="B34" s="1663" t="s">
        <v>2218</v>
      </c>
      <c r="C34" s="1733">
        <f>'数据-取费表'!E5</f>
        <v>70.739999999999995</v>
      </c>
      <c r="D34" s="1665">
        <v>100</v>
      </c>
      <c r="E34" s="1672">
        <v>444.44</v>
      </c>
      <c r="F34" s="1667">
        <f>LOOKUP(E34,104:104,105:105)-LOOKUP(C34,104:104,105:105)+100</f>
        <v>101</v>
      </c>
      <c r="G34" s="1671">
        <v>119</v>
      </c>
      <c r="H34" s="1665">
        <f>LOOKUP(G34,104:104,105:105)-LOOKUP(C34,104:104,105:105)+100</f>
        <v>100</v>
      </c>
      <c r="I34" s="1671">
        <v>170</v>
      </c>
      <c r="J34" s="1665">
        <f>LOOKUP(I34,104:104,105:105)-LOOKUP(C34,104:104,105:105)+100</f>
        <v>100</v>
      </c>
      <c r="K34" s="1957"/>
      <c r="L34" s="2967"/>
      <c r="M34" s="2027"/>
      <c r="N34" s="2027"/>
      <c r="O34" s="2027"/>
      <c r="P34" s="3634"/>
      <c r="Q34" s="1734" t="str">
        <f t="shared" si="11"/>
        <v>项目建筑规模</v>
      </c>
      <c r="R34" s="1735" t="s">
        <v>25</v>
      </c>
      <c r="S34" s="1736">
        <f t="shared" si="12"/>
        <v>101</v>
      </c>
      <c r="T34" s="1735" t="s">
        <v>25</v>
      </c>
      <c r="U34" s="1736">
        <f t="shared" si="13"/>
        <v>100</v>
      </c>
      <c r="V34" s="1735" t="s">
        <v>25</v>
      </c>
      <c r="W34" s="1736">
        <f t="shared" si="14"/>
        <v>100</v>
      </c>
      <c r="X34" s="1737"/>
      <c r="Y34" s="3634"/>
      <c r="Z34" s="1738" t="str">
        <f t="shared" si="15"/>
        <v>项目建筑规模</v>
      </c>
      <c r="AA34" s="2037">
        <f t="shared" si="3"/>
        <v>0.99009900990099009</v>
      </c>
      <c r="AB34" s="2037">
        <f t="shared" si="4"/>
        <v>1</v>
      </c>
      <c r="AC34" s="2037">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34"/>
      <c r="Q35" s="2882" t="str">
        <f t="shared" si="11"/>
        <v>建筑结构</v>
      </c>
      <c r="R35" s="1693" t="s">
        <v>25</v>
      </c>
      <c r="S35" s="1694">
        <f t="shared" si="12"/>
        <v>100</v>
      </c>
      <c r="T35" s="1693" t="s">
        <v>25</v>
      </c>
      <c r="U35" s="1694">
        <f t="shared" si="13"/>
        <v>100</v>
      </c>
      <c r="V35" s="1693" t="s">
        <v>25</v>
      </c>
      <c r="W35" s="1694">
        <f t="shared" si="14"/>
        <v>100</v>
      </c>
      <c r="X35" s="2042"/>
      <c r="Y35" s="3634"/>
      <c r="Z35" s="2046" t="str">
        <f t="shared" si="15"/>
        <v>建筑结构</v>
      </c>
      <c r="AA35" s="2037">
        <f t="shared" si="3"/>
        <v>1</v>
      </c>
      <c r="AB35" s="2037">
        <f t="shared" si="4"/>
        <v>1</v>
      </c>
      <c r="AC35" s="2037">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34"/>
      <c r="Q36" s="2882" t="str">
        <f t="shared" si="11"/>
        <v>公共部分装修</v>
      </c>
      <c r="R36" s="1693" t="s">
        <v>25</v>
      </c>
      <c r="S36" s="1694">
        <f t="shared" si="12"/>
        <v>100</v>
      </c>
      <c r="T36" s="1693" t="s">
        <v>25</v>
      </c>
      <c r="U36" s="1694">
        <f t="shared" si="13"/>
        <v>100</v>
      </c>
      <c r="V36" s="1693" t="s">
        <v>25</v>
      </c>
      <c r="W36" s="1694">
        <f t="shared" si="14"/>
        <v>100</v>
      </c>
      <c r="X36" s="2042"/>
      <c r="Y36" s="3634"/>
      <c r="Z36" s="2046" t="str">
        <f t="shared" si="15"/>
        <v>公共部分装修</v>
      </c>
      <c r="AA36" s="2037">
        <f t="shared" si="3"/>
        <v>1</v>
      </c>
      <c r="AB36" s="2037">
        <f t="shared" si="4"/>
        <v>1</v>
      </c>
      <c r="AC36" s="2037">
        <f t="shared" si="5"/>
        <v>1</v>
      </c>
    </row>
    <row r="37" spans="1:29" ht="15">
      <c r="A37" s="1740"/>
      <c r="B37" s="1663" t="s">
        <v>2305</v>
      </c>
      <c r="C37" s="1744">
        <f>'数据-取费表'!E20</f>
        <v>0.88</v>
      </c>
      <c r="D37" s="1679">
        <v>100</v>
      </c>
      <c r="E37" s="1744">
        <f>C37</f>
        <v>0.88</v>
      </c>
      <c r="F37" s="1722">
        <f>LOOKUP(E37,111:111,112:112)-LOOKUP(C37,111:111,112:112)+100</f>
        <v>100</v>
      </c>
      <c r="G37" s="1744">
        <f>E37</f>
        <v>0.88</v>
      </c>
      <c r="H37" s="1722">
        <f>LOOKUP(G37,111:111,112:112)-LOOKUP(C37,111:111,112:112)+100</f>
        <v>100</v>
      </c>
      <c r="I37" s="1744">
        <f>G37</f>
        <v>0.88</v>
      </c>
      <c r="J37" s="1679">
        <f>LOOKUP(I37,111:111,112:112)-LOOKUP(C37,111:111,112:112)+100</f>
        <v>100</v>
      </c>
      <c r="K37" s="1960"/>
      <c r="L37" s="2968"/>
      <c r="M37" s="2964"/>
      <c r="N37" s="2964"/>
      <c r="O37" s="2964"/>
      <c r="P37" s="3634"/>
      <c r="Q37" s="2882" t="str">
        <f t="shared" si="11"/>
        <v>成新度</v>
      </c>
      <c r="R37" s="1693" t="s">
        <v>25</v>
      </c>
      <c r="S37" s="1694">
        <f t="shared" si="12"/>
        <v>100</v>
      </c>
      <c r="T37" s="1693" t="s">
        <v>25</v>
      </c>
      <c r="U37" s="1694">
        <f t="shared" si="13"/>
        <v>100</v>
      </c>
      <c r="V37" s="1693" t="s">
        <v>25</v>
      </c>
      <c r="W37" s="1694">
        <f t="shared" si="14"/>
        <v>100</v>
      </c>
      <c r="X37" s="2042"/>
      <c r="Y37" s="3634"/>
      <c r="Z37" s="2046" t="str">
        <f t="shared" si="15"/>
        <v>成新度</v>
      </c>
      <c r="AA37" s="2037">
        <f t="shared" si="3"/>
        <v>1</v>
      </c>
      <c r="AB37" s="2037">
        <f t="shared" si="4"/>
        <v>1</v>
      </c>
      <c r="AC37" s="2037">
        <f t="shared" si="5"/>
        <v>1</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34"/>
      <c r="Q38" s="2881" t="str">
        <f t="shared" si="11"/>
        <v>写字楼等级</v>
      </c>
      <c r="R38" s="1648" t="s">
        <v>25</v>
      </c>
      <c r="S38" s="1649">
        <f t="shared" si="12"/>
        <v>100</v>
      </c>
      <c r="T38" s="1648" t="s">
        <v>25</v>
      </c>
      <c r="U38" s="1649">
        <f t="shared" si="13"/>
        <v>100</v>
      </c>
      <c r="V38" s="1648" t="s">
        <v>25</v>
      </c>
      <c r="W38" s="1649">
        <f t="shared" si="14"/>
        <v>100</v>
      </c>
      <c r="X38" s="1650"/>
      <c r="Y38" s="3634"/>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34" t="s">
        <v>2217</v>
      </c>
      <c r="Q39" s="2882" t="str">
        <f t="shared" si="11"/>
        <v>物业管理</v>
      </c>
      <c r="R39" s="1693" t="s">
        <v>25</v>
      </c>
      <c r="S39" s="1694">
        <f t="shared" si="12"/>
        <v>100</v>
      </c>
      <c r="T39" s="1693" t="s">
        <v>25</v>
      </c>
      <c r="U39" s="1694">
        <f t="shared" si="13"/>
        <v>100</v>
      </c>
      <c r="V39" s="1693" t="s">
        <v>25</v>
      </c>
      <c r="W39" s="1694">
        <f t="shared" si="14"/>
        <v>100</v>
      </c>
      <c r="X39" s="2042"/>
      <c r="Y39" s="3634" t="s">
        <v>2217</v>
      </c>
      <c r="Z39" s="2046" t="str">
        <f t="shared" si="15"/>
        <v>物业管理</v>
      </c>
      <c r="AA39" s="2037">
        <f t="shared" si="3"/>
        <v>1</v>
      </c>
      <c r="AB39" s="2037">
        <f t="shared" si="4"/>
        <v>1</v>
      </c>
      <c r="AC39" s="2037">
        <f t="shared" si="5"/>
        <v>1</v>
      </c>
    </row>
    <row r="40" spans="1:29" ht="15">
      <c r="A40" s="1740"/>
      <c r="B40" s="1663" t="s">
        <v>2306</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8"/>
      <c r="M40" s="2964"/>
      <c r="N40" s="2964"/>
      <c r="O40" s="2964"/>
      <c r="P40" s="3634"/>
      <c r="Q40" s="2882" t="str">
        <f t="shared" si="11"/>
        <v>市政基础设施</v>
      </c>
      <c r="R40" s="1693" t="s">
        <v>25</v>
      </c>
      <c r="S40" s="1694">
        <f t="shared" si="12"/>
        <v>100</v>
      </c>
      <c r="T40" s="1693" t="s">
        <v>25</v>
      </c>
      <c r="U40" s="1694">
        <f t="shared" si="13"/>
        <v>100</v>
      </c>
      <c r="V40" s="1693" t="s">
        <v>25</v>
      </c>
      <c r="W40" s="1694">
        <f t="shared" si="14"/>
        <v>100</v>
      </c>
      <c r="X40" s="2042"/>
      <c r="Y40" s="3634"/>
      <c r="Z40" s="2046" t="str">
        <f t="shared" si="15"/>
        <v>市政基础设施</v>
      </c>
      <c r="AA40" s="2037">
        <f t="shared" si="3"/>
        <v>1</v>
      </c>
      <c r="AB40" s="2037">
        <f t="shared" si="4"/>
        <v>1</v>
      </c>
      <c r="AC40" s="2037">
        <f t="shared" si="5"/>
        <v>1</v>
      </c>
    </row>
    <row r="41" spans="1:29" ht="15">
      <c r="A41" s="1740"/>
      <c r="B41" s="1663" t="s">
        <v>2308</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8"/>
      <c r="M41" s="2964"/>
      <c r="N41" s="2964"/>
      <c r="O41" s="2964"/>
      <c r="P41" s="3634"/>
      <c r="Q41" s="2882" t="str">
        <f t="shared" si="11"/>
        <v>层高</v>
      </c>
      <c r="R41" s="1693" t="s">
        <v>25</v>
      </c>
      <c r="S41" s="1694">
        <f t="shared" si="12"/>
        <v>100</v>
      </c>
      <c r="T41" s="1693" t="s">
        <v>25</v>
      </c>
      <c r="U41" s="1694">
        <f t="shared" si="13"/>
        <v>100</v>
      </c>
      <c r="V41" s="1693" t="s">
        <v>25</v>
      </c>
      <c r="W41" s="1694">
        <f t="shared" si="14"/>
        <v>100</v>
      </c>
      <c r="X41" s="2042"/>
      <c r="Y41" s="3634"/>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34"/>
      <c r="Q42" s="1734" t="str">
        <f t="shared" si="11"/>
        <v>单套建筑面积</v>
      </c>
      <c r="R42" s="1735" t="s">
        <v>25</v>
      </c>
      <c r="S42" s="1736">
        <f t="shared" si="12"/>
        <v>100</v>
      </c>
      <c r="T42" s="1735" t="s">
        <v>25</v>
      </c>
      <c r="U42" s="1736">
        <f t="shared" si="13"/>
        <v>100</v>
      </c>
      <c r="V42" s="1735" t="s">
        <v>25</v>
      </c>
      <c r="W42" s="1736">
        <f t="shared" si="14"/>
        <v>100</v>
      </c>
      <c r="X42" s="1737"/>
      <c r="Y42" s="3634"/>
      <c r="Z42" s="1738" t="str">
        <f t="shared" si="15"/>
        <v>单套建筑面积</v>
      </c>
      <c r="AA42" s="2037">
        <f t="shared" si="3"/>
        <v>1</v>
      </c>
      <c r="AB42" s="2037">
        <f t="shared" si="4"/>
        <v>1</v>
      </c>
      <c r="AC42" s="2037">
        <f t="shared" si="5"/>
        <v>1</v>
      </c>
    </row>
    <row r="43" spans="1:29" ht="15">
      <c r="A43" s="1740"/>
      <c r="B43" s="1663" t="s">
        <v>2311</v>
      </c>
      <c r="C43" s="3337" t="s">
        <v>3093</v>
      </c>
      <c r="D43" s="1679">
        <v>100</v>
      </c>
      <c r="E43" s="3337" t="s">
        <v>3096</v>
      </c>
      <c r="F43" s="1722">
        <f>SUMIF(123:123,E43,124:124)-SUMIF(123:123,C43,124:124)+100</f>
        <v>99</v>
      </c>
      <c r="G43" s="3337" t="s">
        <v>3098</v>
      </c>
      <c r="H43" s="1679">
        <f>SUMIF(123:123,G43,124:124)-SUMIF(123:123,C43,124:124)+100</f>
        <v>101</v>
      </c>
      <c r="I43" s="3337" t="s">
        <v>3097</v>
      </c>
      <c r="J43" s="1679">
        <f>SUMIF(123:123,I43,124:124)-SUMIF(123:123,C43,124:124)+100</f>
        <v>98</v>
      </c>
      <c r="K43" s="1960">
        <v>1</v>
      </c>
      <c r="L43" s="2968"/>
      <c r="M43" s="2964"/>
      <c r="N43" s="2964"/>
      <c r="O43" s="2964"/>
      <c r="P43" s="3634"/>
      <c r="Q43" s="2882" t="str">
        <f t="shared" si="11"/>
        <v>内部装修</v>
      </c>
      <c r="R43" s="1693" t="s">
        <v>25</v>
      </c>
      <c r="S43" s="1694">
        <f t="shared" si="12"/>
        <v>99</v>
      </c>
      <c r="T43" s="1693" t="s">
        <v>25</v>
      </c>
      <c r="U43" s="1694">
        <f t="shared" si="13"/>
        <v>101</v>
      </c>
      <c r="V43" s="1693" t="s">
        <v>25</v>
      </c>
      <c r="W43" s="1694">
        <f t="shared" si="14"/>
        <v>98</v>
      </c>
      <c r="X43" s="2042"/>
      <c r="Y43" s="3634"/>
      <c r="Z43" s="2046" t="str">
        <f t="shared" si="15"/>
        <v>内部装修</v>
      </c>
      <c r="AA43" s="2037">
        <f t="shared" si="3"/>
        <v>1.0101010101010102</v>
      </c>
      <c r="AB43" s="2037">
        <f t="shared" si="4"/>
        <v>0.99009900990099009</v>
      </c>
      <c r="AC43" s="2037">
        <f t="shared" si="5"/>
        <v>1.0204081632653061</v>
      </c>
    </row>
    <row r="44" spans="1:29" ht="15.75" thickBot="1">
      <c r="A44" s="1740"/>
      <c r="B44" s="1663" t="s">
        <v>2228</v>
      </c>
      <c r="C44" s="3337" t="s">
        <v>3094</v>
      </c>
      <c r="D44" s="1679">
        <v>100</v>
      </c>
      <c r="E44" s="3342" t="s">
        <v>3094</v>
      </c>
      <c r="F44" s="1722">
        <f>SUMIF(125:125,E44,126:126)-SUMIF(125:125,C44,126:126)+100</f>
        <v>100</v>
      </c>
      <c r="G44" s="3342" t="s">
        <v>3095</v>
      </c>
      <c r="H44" s="1679">
        <f>SUMIF(125:125,G44,126:126)-SUMIF(125:125,C44,126:126)+100</f>
        <v>100</v>
      </c>
      <c r="I44" s="3342" t="s">
        <v>3094</v>
      </c>
      <c r="J44" s="1679">
        <f>SUMIF(125:125,I44,126:126)-SUMIF(125:125,C44,126:126)+100</f>
        <v>100</v>
      </c>
      <c r="K44" s="1960"/>
      <c r="L44" s="2968"/>
      <c r="M44" s="2964"/>
      <c r="N44" s="2964"/>
      <c r="O44" s="2964"/>
      <c r="P44" s="3634"/>
      <c r="Q44" s="2882" t="str">
        <f t="shared" si="11"/>
        <v>内部装修维护情况</v>
      </c>
      <c r="R44" s="1693" t="s">
        <v>25</v>
      </c>
      <c r="S44" s="1694">
        <f t="shared" si="12"/>
        <v>100</v>
      </c>
      <c r="T44" s="1693" t="s">
        <v>25</v>
      </c>
      <c r="U44" s="1694">
        <f t="shared" si="13"/>
        <v>100</v>
      </c>
      <c r="V44" s="1693" t="s">
        <v>25</v>
      </c>
      <c r="W44" s="1694">
        <f t="shared" si="14"/>
        <v>100</v>
      </c>
      <c r="X44" s="2042"/>
      <c r="Y44" s="3634"/>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34"/>
      <c r="Q45" s="2881">
        <f t="shared" si="11"/>
        <v>111</v>
      </c>
      <c r="R45" s="1648" t="s">
        <v>25</v>
      </c>
      <c r="S45" s="1649">
        <f t="shared" si="12"/>
        <v>100</v>
      </c>
      <c r="T45" s="1648" t="s">
        <v>25</v>
      </c>
      <c r="U45" s="1649">
        <f t="shared" si="13"/>
        <v>100</v>
      </c>
      <c r="V45" s="1648" t="s">
        <v>25</v>
      </c>
      <c r="W45" s="1649">
        <f t="shared" si="14"/>
        <v>100</v>
      </c>
      <c r="X45" s="1650"/>
      <c r="Y45" s="3634"/>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34"/>
      <c r="Q46" s="2882">
        <f t="shared" si="11"/>
        <v>111</v>
      </c>
      <c r="R46" s="1693" t="s">
        <v>25</v>
      </c>
      <c r="S46" s="1694">
        <f t="shared" si="12"/>
        <v>100</v>
      </c>
      <c r="T46" s="1693" t="s">
        <v>25</v>
      </c>
      <c r="U46" s="1694">
        <f t="shared" si="13"/>
        <v>100</v>
      </c>
      <c r="V46" s="1693" t="s">
        <v>25</v>
      </c>
      <c r="W46" s="1694">
        <f t="shared" si="14"/>
        <v>100</v>
      </c>
      <c r="X46" s="2042"/>
      <c r="Y46" s="3634"/>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35"/>
      <c r="Q47" s="2882">
        <f t="shared" si="11"/>
        <v>111</v>
      </c>
      <c r="R47" s="1693" t="s">
        <v>25</v>
      </c>
      <c r="S47" s="1694">
        <f t="shared" si="12"/>
        <v>100</v>
      </c>
      <c r="T47" s="1693" t="s">
        <v>25</v>
      </c>
      <c r="U47" s="1694">
        <f t="shared" si="13"/>
        <v>100</v>
      </c>
      <c r="V47" s="1693" t="s">
        <v>25</v>
      </c>
      <c r="W47" s="1694">
        <f t="shared" si="14"/>
        <v>100</v>
      </c>
      <c r="X47" s="2042"/>
      <c r="Y47" s="3635"/>
      <c r="Z47" s="2046">
        <f t="shared" si="15"/>
        <v>111</v>
      </c>
      <c r="AA47" s="2037">
        <f t="shared" si="3"/>
        <v>1</v>
      </c>
      <c r="AB47" s="2037">
        <f t="shared" si="4"/>
        <v>1</v>
      </c>
      <c r="AC47" s="2037">
        <f t="shared" si="5"/>
        <v>1</v>
      </c>
    </row>
    <row r="48" spans="1:29" ht="15">
      <c r="A48" s="1749" t="s">
        <v>2229</v>
      </c>
      <c r="B48" s="1750"/>
      <c r="C48" s="1751" t="s">
        <v>1</v>
      </c>
      <c r="D48" s="1752"/>
      <c r="E48" s="1753">
        <v>18000</v>
      </c>
      <c r="F48" s="1754"/>
      <c r="G48" s="1755">
        <v>20000</v>
      </c>
      <c r="H48" s="1756"/>
      <c r="I48" s="1753">
        <v>20000</v>
      </c>
      <c r="J48" s="1756"/>
      <c r="K48" s="1981"/>
      <c r="L48" s="2969"/>
      <c r="M48" s="2964"/>
      <c r="N48" s="2964"/>
      <c r="O48" s="2964"/>
      <c r="P48" s="3626" t="str">
        <f>A48</f>
        <v>成交单价（元/平方米）</v>
      </c>
      <c r="Q48" s="3626"/>
      <c r="R48" s="3622">
        <f>E48</f>
        <v>18000</v>
      </c>
      <c r="S48" s="3622"/>
      <c r="T48" s="3622">
        <f>G48</f>
        <v>20000</v>
      </c>
      <c r="U48" s="3622"/>
      <c r="V48" s="3622">
        <f>I48</f>
        <v>20000</v>
      </c>
      <c r="W48" s="3622"/>
      <c r="X48" s="1759"/>
      <c r="Y48" s="2041"/>
      <c r="Z48" s="1759"/>
      <c r="AA48" s="1759"/>
      <c r="AB48" s="1759"/>
      <c r="AC48" s="1759"/>
    </row>
    <row r="49" spans="1:29" ht="15.75" thickBot="1">
      <c r="A49" s="1761" t="s">
        <v>2312</v>
      </c>
      <c r="B49" s="1762"/>
      <c r="C49" s="1763">
        <f>R50</f>
        <v>19539</v>
      </c>
      <c r="D49" s="1764" t="s">
        <v>2684</v>
      </c>
      <c r="E49" s="1765">
        <f>R49</f>
        <v>18002</v>
      </c>
      <c r="F49" s="1766"/>
      <c r="G49" s="1763">
        <f>T49</f>
        <v>20206</v>
      </c>
      <c r="H49" s="1766"/>
      <c r="I49" s="1765">
        <f>V49</f>
        <v>20408</v>
      </c>
      <c r="J49" s="1766"/>
      <c r="K49" s="2478">
        <f>F49+H49+J49</f>
        <v>0</v>
      </c>
      <c r="L49" s="2969"/>
      <c r="M49" s="2964"/>
      <c r="N49" s="2964"/>
      <c r="O49" s="2964"/>
      <c r="P49" s="3626" t="str">
        <f>A49</f>
        <v>比较价值（元/平方米）</v>
      </c>
      <c r="Q49" s="3626"/>
      <c r="R49" s="3622">
        <f>IF(E1="售价",ROUND(PRODUCT(R48,AA7:AA47),0),ROUND(PRODUCT(R48,AA7:AA47),1))</f>
        <v>18002</v>
      </c>
      <c r="S49" s="3622"/>
      <c r="T49" s="3622">
        <f>IF(E1="售价",ROUND(PRODUCT(T48,AB7:AB47),0),ROUND(PRODUCT(T48,AB7:AB47),1))</f>
        <v>20206</v>
      </c>
      <c r="U49" s="3622"/>
      <c r="V49" s="3622">
        <f>IF(E1="售价",ROUND(PRODUCT(V48,AC7:AC47),0),ROUND(PRODUCT(V48,AC7:AC47),1))</f>
        <v>20408</v>
      </c>
      <c r="W49" s="3622"/>
      <c r="X49" s="1759"/>
      <c r="Y49" s="1759"/>
      <c r="Z49" s="1759"/>
      <c r="AA49" s="1759"/>
      <c r="AB49" s="1759"/>
      <c r="AC49" s="1759"/>
    </row>
    <row r="50" spans="1:29" ht="15.75" thickBot="1">
      <c r="A50" s="1767" t="s">
        <v>2335</v>
      </c>
      <c r="B50" s="1768"/>
      <c r="C50" s="1770">
        <f>R50</f>
        <v>19539</v>
      </c>
      <c r="D50" s="1770"/>
      <c r="E50" s="1770"/>
      <c r="F50" s="1770"/>
      <c r="G50" s="1770"/>
      <c r="H50" s="1770"/>
      <c r="I50" s="1770"/>
      <c r="J50" s="1770"/>
      <c r="K50" s="1986"/>
      <c r="L50" s="2969"/>
      <c r="M50" s="2964"/>
      <c r="N50" s="2964"/>
      <c r="O50" s="2964"/>
      <c r="P50" s="3623" t="str">
        <f>A50</f>
        <v>估价对象XX用房的比较价值（楼面单价，元/平方米）</v>
      </c>
      <c r="Q50" s="3624"/>
      <c r="R50" s="3625">
        <f>IF(E1="售价",ROUND(IF(D49="简单平均",AVERAGE(R49:V49),R49*F49+T49*H49+V49*J49),0),ROUND(IF(D49="简单平均",AVERAGE(R49:V49),R49*F49+T49*H49+V49*J49),1))</f>
        <v>19539</v>
      </c>
      <c r="S50" s="3625"/>
      <c r="T50" s="3625"/>
      <c r="U50" s="3625"/>
      <c r="V50" s="3625"/>
      <c r="W50" s="3625"/>
      <c r="X50" s="1759"/>
      <c r="Y50" s="1759"/>
      <c r="Z50" s="1759"/>
      <c r="AA50" s="1759"/>
      <c r="AB50" s="1759"/>
      <c r="AC50" s="1759"/>
    </row>
    <row r="51" spans="1:29">
      <c r="G51" s="2973"/>
    </row>
    <row r="53" spans="1:29" ht="13.5" customHeight="1">
      <c r="C53" s="383" t="s">
        <v>2314</v>
      </c>
      <c r="D53" s="1775"/>
      <c r="E53" s="1776">
        <f>IF(E48&lt;E49,E49/E48-1,E48/E49-1)</f>
        <v>1.1111111111117289E-4</v>
      </c>
      <c r="F53" s="1777" t="str">
        <f>IF(OR(E53&gt;=0.3,E53&lt;=-0.3),"超过30%","")</f>
        <v/>
      </c>
      <c r="G53" s="1776">
        <f>IF(G48&lt;G49,G49/G48-1,G48/G49-1)</f>
        <v>1.0299999999999976E-2</v>
      </c>
      <c r="H53" s="1777" t="str">
        <f>IF(OR(G53&gt;=0.3,G53&lt;=-0.3),"超过30%","")</f>
        <v/>
      </c>
      <c r="I53" s="1776">
        <f>IF(I48&lt;I49,I49/I48-1,I48/I49-1)</f>
        <v>2.0399999999999974E-2</v>
      </c>
      <c r="J53" s="1777" t="str">
        <f>IF(OR(I53&gt;=0.3,I53&lt;=-0.3),"超过30%","")</f>
        <v/>
      </c>
    </row>
    <row r="54" spans="1:29" ht="13.5" customHeight="1">
      <c r="C54" s="383" t="s">
        <v>2315</v>
      </c>
      <c r="D54" s="1778"/>
      <c r="E54" s="1776">
        <f>IF(E49&lt;G49,G49/E49-1,E49/G49-1)</f>
        <v>0.12243084101766466</v>
      </c>
      <c r="F54" s="1777" t="str">
        <f>IF(OR(E54&gt;=0.2,E54&lt;=-0.2),"超过20%","")</f>
        <v/>
      </c>
      <c r="G54" s="1776">
        <f>IF(G49&lt;I49,I49/G49-1,G49/I49-1)</f>
        <v>9.9970305849748087E-3</v>
      </c>
      <c r="H54" s="1777" t="str">
        <f>IF(OR(G54&gt;=0.2,G54&lt;=-0.2),"超过20%","")</f>
        <v/>
      </c>
      <c r="I54" s="1776">
        <f>IF(I49&lt;E49,E49/I49-1,I49/E49-1)</f>
        <v>0.13365181646483726</v>
      </c>
      <c r="J54" s="1777" t="str">
        <f>IF(OR(I54&gt;=0.2,I54&lt;=-0.2),"超过20%","")</f>
        <v/>
      </c>
    </row>
    <row r="55" spans="1:29" s="1781" customFormat="1" ht="13.5" customHeight="1">
      <c r="C55" s="383" t="s">
        <v>2316</v>
      </c>
      <c r="D55" s="1778"/>
      <c r="E55" s="1776">
        <f>IF(E48&lt;G48,G48/E48-1,E48/G48-1)</f>
        <v>0.11111111111111116</v>
      </c>
      <c r="F55" s="1777" t="str">
        <f>IF(OR(E55&gt;=0.3,E55&lt;=-0.3),"超过30%","")</f>
        <v/>
      </c>
      <c r="G55" s="1776">
        <f>IF(G48&lt;I48,I48/G48-1,G48/I48-1)</f>
        <v>0</v>
      </c>
      <c r="H55" s="1777" t="str">
        <f>IF(OR(G55&gt;=0.3,G55&lt;=-0.3),"超过30%","")</f>
        <v/>
      </c>
      <c r="I55" s="1776">
        <f>IF(I48&lt;E48,E48/I48-1,I48/E48-1)</f>
        <v>0.11111111111111116</v>
      </c>
      <c r="J55" s="1777" t="str">
        <f>IF(OR(I55&gt;=0.3,I55&lt;=-0.3),"超过30%","")</f>
        <v/>
      </c>
      <c r="K55" s="2976"/>
      <c r="L55" s="2970"/>
    </row>
    <row r="56" spans="1:29" s="1781" customFormat="1">
      <c r="B56" s="2974"/>
      <c r="C56" s="2975"/>
      <c r="K56" s="2976"/>
      <c r="L56" s="2970"/>
    </row>
    <row r="57" spans="1:29">
      <c r="B57" s="2974"/>
      <c r="C57" s="2975"/>
    </row>
    <row r="58" spans="1:29" ht="21.75" thickBot="1">
      <c r="A58" s="1784" t="s">
        <v>2317</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v>100</v>
      </c>
      <c r="E60" s="1799">
        <v>100</v>
      </c>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办公</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97</v>
      </c>
      <c r="E78" s="1830">
        <f>D78-$K15</f>
        <v>94</v>
      </c>
      <c r="F78" s="1830">
        <f>E78-$K15</f>
        <v>91</v>
      </c>
      <c r="G78" s="1830">
        <f>F78-$K15</f>
        <v>88</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98</v>
      </c>
      <c r="E80" s="1830">
        <f>D80-$K17</f>
        <v>96</v>
      </c>
      <c r="F80" s="1830">
        <f>E80-$K17</f>
        <v>94</v>
      </c>
      <c r="G80" s="1830">
        <f>F80-$K17</f>
        <v>92</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99</v>
      </c>
      <c r="E84" s="1830">
        <f>D84-$K21</f>
        <v>98</v>
      </c>
      <c r="F84" s="1830">
        <f>E84-$K21</f>
        <v>97</v>
      </c>
      <c r="G84" s="1830">
        <f>F84-$K21</f>
        <v>96</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97</v>
      </c>
      <c r="E86" s="1830">
        <f>D86-$K23</f>
        <v>94</v>
      </c>
      <c r="F86" s="1830">
        <f>E86-$K23</f>
        <v>91</v>
      </c>
      <c r="G86" s="1830">
        <f>F86-$K23</f>
        <v>88</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468"/>
      <c r="D91" s="468"/>
      <c r="E91" s="468"/>
      <c r="F91" s="468"/>
      <c r="G91" s="468"/>
      <c r="H91" s="443"/>
      <c r="I91" s="443"/>
      <c r="J91" s="443"/>
      <c r="K91" s="443"/>
      <c r="L91" s="443"/>
      <c r="M91" s="1838"/>
      <c r="N91" s="2984"/>
      <c r="O91" s="2984"/>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4"/>
      <c r="O92" s="2984"/>
      <c r="P92" s="2026"/>
      <c r="Q92" s="1841"/>
    </row>
    <row r="93" spans="1:17" ht="15.75" thickTop="1">
      <c r="A93" s="1821"/>
      <c r="B93" s="1826" t="str">
        <f>B29</f>
        <v>楼层</v>
      </c>
      <c r="C93" s="3324" t="s">
        <v>2998</v>
      </c>
      <c r="D93" s="3324" t="s">
        <v>2999</v>
      </c>
      <c r="E93" s="3324" t="s">
        <v>3000</v>
      </c>
      <c r="F93" s="468"/>
      <c r="G93" s="468"/>
      <c r="H93" s="468"/>
      <c r="I93" s="468"/>
      <c r="J93" s="468"/>
      <c r="K93" s="468"/>
      <c r="L93" s="468"/>
      <c r="M93" s="1858"/>
      <c r="N93" s="2982"/>
      <c r="O93" s="2982"/>
      <c r="P93" s="2025"/>
      <c r="Q93" s="1789"/>
    </row>
    <row r="94" spans="1:17" ht="15.75" thickBot="1">
      <c r="A94" s="1821"/>
      <c r="B94" s="1829"/>
      <c r="C94" s="1842">
        <v>100</v>
      </c>
      <c r="D94" s="1823">
        <v>98</v>
      </c>
      <c r="E94" s="1823">
        <v>96</v>
      </c>
      <c r="F94" s="1823"/>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3092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3"/>
      <c r="O102" s="2983"/>
      <c r="P102" s="2025"/>
      <c r="Q102" s="1789"/>
    </row>
    <row r="103" spans="1:17" ht="15.75" thickTop="1">
      <c r="A103" s="1821"/>
      <c r="B103" s="1826" t="s">
        <v>2265</v>
      </c>
      <c r="C103" s="579" t="str">
        <f>C104&amp;"(含)"&amp;"-"&amp;D104</f>
        <v>0(含)-300</v>
      </c>
      <c r="D103" s="579" t="str">
        <f t="shared" ref="D103:L103" si="23">D104&amp;"(含)"&amp;"-"&amp;E104</f>
        <v>300(含)-500</v>
      </c>
      <c r="E103" s="579" t="str">
        <f t="shared" si="23"/>
        <v>500(含)-700</v>
      </c>
      <c r="F103" s="579" t="str">
        <f t="shared" si="23"/>
        <v>700(含)-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1869">
        <v>300</v>
      </c>
      <c r="E104" s="1869">
        <v>500</v>
      </c>
      <c r="F104" s="1869">
        <v>700</v>
      </c>
      <c r="G104" s="1869"/>
      <c r="H104" s="1869"/>
      <c r="I104" s="1869"/>
      <c r="J104" s="485"/>
      <c r="K104" s="485"/>
      <c r="L104" s="485"/>
      <c r="M104" s="1870"/>
      <c r="N104" s="2984"/>
      <c r="O104" s="2984"/>
      <c r="P104" s="2026"/>
      <c r="Q104" s="1841"/>
    </row>
    <row r="105" spans="1:17" s="1739" customFormat="1" ht="15.75" thickBot="1">
      <c r="A105" s="1837"/>
      <c r="B105" s="1829"/>
      <c r="C105" s="1823">
        <v>99</v>
      </c>
      <c r="D105" s="1823">
        <v>100</v>
      </c>
      <c r="E105" s="1823">
        <v>99</v>
      </c>
      <c r="F105" s="1823">
        <v>98</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468"/>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3"/>
      <c r="O118" s="2983"/>
      <c r="P118" s="2025"/>
      <c r="Q118" s="1789"/>
    </row>
    <row r="119" spans="1:17" ht="15" thickTop="1">
      <c r="A119" s="1871"/>
      <c r="B119" s="2473" t="s">
        <v>2340</v>
      </c>
      <c r="C119" s="1545"/>
      <c r="D119" s="1545"/>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3099</v>
      </c>
      <c r="D123" s="3324" t="s">
        <v>3093</v>
      </c>
      <c r="E123" s="3324" t="s">
        <v>3096</v>
      </c>
      <c r="F123" s="3338" t="s">
        <v>3097</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99</v>
      </c>
      <c r="E124" s="1830">
        <f t="shared" si="30"/>
        <v>98</v>
      </c>
      <c r="F124" s="1830">
        <f t="shared" si="30"/>
        <v>97</v>
      </c>
      <c r="G124" s="1830">
        <f t="shared" si="30"/>
        <v>96</v>
      </c>
      <c r="H124" s="1830">
        <f t="shared" si="30"/>
        <v>95</v>
      </c>
      <c r="I124" s="1830">
        <f t="shared" si="30"/>
        <v>94</v>
      </c>
      <c r="J124" s="1830">
        <f t="shared" si="30"/>
        <v>93</v>
      </c>
      <c r="K124" s="1830">
        <f t="shared" si="30"/>
        <v>92</v>
      </c>
      <c r="L124" s="1830">
        <f t="shared" si="30"/>
        <v>91</v>
      </c>
      <c r="M124" s="1831">
        <f t="shared" si="30"/>
        <v>90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90" zoomScaleNormal="60" zoomScaleSheetLayoutView="9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2" t="s">
        <v>2687</v>
      </c>
      <c r="E1" s="1593" t="s">
        <v>1183</v>
      </c>
      <c r="F1" s="1594"/>
      <c r="G1" s="1595" t="e">
        <f>MATCH(C1,'数据-取费表'!A19:A19,0)+5</f>
        <v>#N/A</v>
      </c>
      <c r="H1" s="2953"/>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119</v>
      </c>
      <c r="C2" s="1486"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16859</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58168</v>
      </c>
      <c r="D5" s="1600" t="s">
        <v>2665</v>
      </c>
      <c r="E5" s="925"/>
      <c r="F5" s="1054"/>
      <c r="G5" s="949"/>
      <c r="H5" s="232">
        <v>1</v>
      </c>
      <c r="I5" s="233" t="s">
        <v>1954</v>
      </c>
      <c r="J5" s="234">
        <f ca="1">J6+J10+J12</f>
        <v>0</v>
      </c>
      <c r="K5" s="1487" t="s">
        <v>1955</v>
      </c>
      <c r="L5" s="925"/>
      <c r="M5" s="1054"/>
    </row>
    <row r="6" spans="1:37" ht="18" customHeight="1">
      <c r="A6" s="1055" t="s">
        <v>1956</v>
      </c>
      <c r="B6" s="1409" t="s">
        <v>1957</v>
      </c>
      <c r="C6" s="234">
        <f>ROUND(F6*F8*F7*(1-F9),0)</f>
        <v>58095</v>
      </c>
      <c r="D6" s="36" t="s">
        <v>2642</v>
      </c>
      <c r="E6" s="235" t="s">
        <v>1958</v>
      </c>
      <c r="F6" s="236">
        <f>'数据-取费表'!B30</f>
        <v>2.5</v>
      </c>
      <c r="G6" s="949"/>
      <c r="H6" s="1055" t="s">
        <v>1956</v>
      </c>
      <c r="I6" s="1409"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70.739999999999995</v>
      </c>
      <c r="G7" s="949"/>
      <c r="H7" s="237"/>
      <c r="I7" s="238"/>
      <c r="J7" s="239"/>
      <c r="K7" s="240"/>
      <c r="L7" s="235" t="s">
        <v>1959</v>
      </c>
      <c r="M7" s="236">
        <f>IF('数据-取费表'!B42="",IF(D1="仅计算典型户型",'数据-取费表'!E5,'数据-取费表'!B5),'数据-取费表'!B42)</f>
        <v>70.739999999999995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8" t="s">
        <v>1964</v>
      </c>
      <c r="C10" s="1056">
        <f ca="1">ROUND(IF(F10="押一",C6/12*F11,IF(F10="押二",C6/12*2*F11,IF(F10="押三",C6/12*3*F11,C11*F11))),0)</f>
        <v>73</v>
      </c>
      <c r="D10" s="1489" t="s">
        <v>2648</v>
      </c>
      <c r="E10" s="246" t="s">
        <v>1965</v>
      </c>
      <c r="F10" s="1490" t="s">
        <v>1966</v>
      </c>
      <c r="G10" s="949"/>
      <c r="H10" s="1055" t="s">
        <v>1963</v>
      </c>
      <c r="I10" s="1488" t="s">
        <v>1964</v>
      </c>
      <c r="J10" s="1056">
        <f ca="1">ROUND(IF(M10="押一",J6/12*M11,IF(M10="押二",J6/12*2*M11,IF(M10="押三",J6/12*3*M11,J11*M11))),0)</f>
        <v>0</v>
      </c>
      <c r="K10" s="36" t="s">
        <v>2648</v>
      </c>
      <c r="L10" s="246" t="s">
        <v>1965</v>
      </c>
      <c r="M10" s="1490"/>
    </row>
    <row r="11" spans="1:37" s="257" customFormat="1" ht="18" customHeight="1">
      <c r="A11" s="263"/>
      <c r="B11" s="1491" t="s">
        <v>1967</v>
      </c>
      <c r="C11" s="1060"/>
      <c r="D11" s="240"/>
      <c r="E11" s="246" t="s">
        <v>1968</v>
      </c>
      <c r="F11" s="247">
        <f ca="1">'数据-取费表'!B31</f>
        <v>1.4999999999999999E-2</v>
      </c>
      <c r="G11" s="950"/>
      <c r="H11" s="241"/>
      <c r="I11" s="1491"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2" t="s">
        <v>1971</v>
      </c>
      <c r="C12" s="1066"/>
      <c r="D12" s="1493"/>
      <c r="E12" s="1072"/>
      <c r="F12" s="1067"/>
      <c r="G12" s="949"/>
      <c r="H12" s="1065" t="s">
        <v>1970</v>
      </c>
      <c r="I12" s="1492" t="s">
        <v>1971</v>
      </c>
      <c r="J12" s="1066"/>
      <c r="K12" s="1082"/>
      <c r="L12" s="1072"/>
      <c r="M12" s="1083"/>
    </row>
    <row r="13" spans="1:37" s="257" customFormat="1" ht="18" customHeight="1" thickTop="1">
      <c r="A13" s="1061">
        <v>2</v>
      </c>
      <c r="B13" s="1062" t="s">
        <v>1972</v>
      </c>
      <c r="C13" s="243">
        <f ca="1">ROUND(C29*F13,0)</f>
        <v>343589</v>
      </c>
      <c r="D13" s="1063" t="s">
        <v>1973</v>
      </c>
      <c r="E13" s="1063" t="s">
        <v>1974</v>
      </c>
      <c r="F13" s="1064">
        <f>'数据-取费表'!E20</f>
        <v>0.88</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247590</v>
      </c>
      <c r="D14" s="1296" t="s">
        <v>1977</v>
      </c>
      <c r="E14" s="1297"/>
      <c r="F14" s="798"/>
      <c r="G14" s="950"/>
      <c r="H14" s="253" t="s">
        <v>1956</v>
      </c>
      <c r="I14" s="235" t="s">
        <v>1978</v>
      </c>
      <c r="J14" s="13">
        <f ca="1">C29</f>
        <v>390442</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12380</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5857</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14148</v>
      </c>
      <c r="D17" s="235" t="s">
        <v>1991</v>
      </c>
      <c r="E17" s="235" t="s">
        <v>1992</v>
      </c>
      <c r="F17" s="15">
        <f>'数据-取费表'!E23</f>
        <v>200</v>
      </c>
      <c r="G17" s="950"/>
      <c r="H17" s="253" t="s">
        <v>1993</v>
      </c>
      <c r="I17" s="235" t="s">
        <v>1994</v>
      </c>
      <c r="J17" s="2793">
        <f>ROUND(IF(AND(项目基本情况!B7="自然人",项目基本情况!B6="北京市"),J6*M17/(1+'数据-取费表'!F30),J18+J19+J20),0)</f>
        <v>0</v>
      </c>
      <c r="K17" s="1296" t="s">
        <v>1995</v>
      </c>
      <c r="L17" s="1299" t="s">
        <v>1996</v>
      </c>
      <c r="M17" s="2792">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3714</v>
      </c>
      <c r="D18" s="235" t="s">
        <v>1981</v>
      </c>
      <c r="E18" s="235" t="s">
        <v>1982</v>
      </c>
      <c r="F18" s="258">
        <f>'数据-取费表'!E24</f>
        <v>1.4999999999999999E-2</v>
      </c>
      <c r="G18" s="949"/>
      <c r="H18" s="253" t="s">
        <v>1999</v>
      </c>
      <c r="I18" s="235" t="s">
        <v>2000</v>
      </c>
      <c r="J18" s="13" t="str">
        <f>IF(项目基本情况!B7="自然人","——",ROUND(J6*M18/(1+'数据-取费表'!F30),0))</f>
        <v>——</v>
      </c>
      <c r="K18" s="1299" t="s">
        <v>2667</v>
      </c>
      <c r="L18" s="235" t="s">
        <v>1982</v>
      </c>
      <c r="M18" s="258">
        <f>'数据-取费表'!E29</f>
        <v>5.5000000000000007E-2</v>
      </c>
    </row>
    <row r="19" spans="1:37" s="257" customFormat="1" ht="18" customHeight="1">
      <c r="A19" s="253" t="s">
        <v>1993</v>
      </c>
      <c r="B19" s="235" t="s">
        <v>2001</v>
      </c>
      <c r="C19" s="13">
        <f>SUM(C14:C18)</f>
        <v>277832</v>
      </c>
      <c r="D19" s="33" t="s">
        <v>2002</v>
      </c>
      <c r="E19" s="1301"/>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8335</v>
      </c>
      <c r="D20" s="259" t="s">
        <v>2006</v>
      </c>
      <c r="E20" s="235" t="s">
        <v>2007</v>
      </c>
      <c r="F20" s="258">
        <f>'数据-取费表'!E25</f>
        <v>0.03</v>
      </c>
      <c r="G20" s="950"/>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5857</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12019</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1E-3</v>
      </c>
    </row>
    <row r="24" spans="1:37" s="257" customFormat="1" ht="18" customHeight="1" thickBot="1">
      <c r="A24" s="253" t="s">
        <v>2025</v>
      </c>
      <c r="B24" s="235" t="s">
        <v>2026</v>
      </c>
      <c r="C24" s="13">
        <f ca="1">ROUND(IF('数据-取费表'!B24&lt;=1,F21*F24*F23/2,F21*(POWER((1+F24),F23/2)-1)),4)</f>
        <v>1.2999999999999999E-3</v>
      </c>
      <c r="D24" s="1399"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-5857</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57233</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390442</v>
      </c>
      <c r="D29" s="1074"/>
      <c r="E29" s="1072"/>
      <c r="F29" s="1075"/>
      <c r="G29" s="651"/>
      <c r="H29" s="271" t="s">
        <v>24</v>
      </c>
      <c r="I29" s="272" t="s">
        <v>2051</v>
      </c>
      <c r="J29" s="273">
        <f ca="1">ROUND(J26/(1+F40)^F41,0)</f>
        <v>0</v>
      </c>
      <c r="K29" s="274" t="s">
        <v>2052</v>
      </c>
      <c r="L29" s="275"/>
      <c r="M29" s="276">
        <f>IF(D1="仅计算典型户型",'数据-取费表'!E5,'数据-取费表'!B5)</f>
        <v>70.739999999999995</v>
      </c>
    </row>
    <row r="30" spans="1:37" ht="18" customHeight="1" thickTop="1">
      <c r="A30" s="1061" t="s">
        <v>14</v>
      </c>
      <c r="B30" s="1062" t="s">
        <v>2053</v>
      </c>
      <c r="C30" s="243">
        <f ca="1">ROUND(C31+C36+C37+C38,0)</f>
        <v>10656</v>
      </c>
      <c r="D30" s="1068" t="s">
        <v>2054</v>
      </c>
      <c r="E30" s="1069"/>
      <c r="F30" s="1070"/>
      <c r="G30" s="651"/>
      <c r="H30" s="929"/>
      <c r="I30" s="930"/>
      <c r="J30" s="931"/>
      <c r="K30" s="932"/>
      <c r="L30" s="933"/>
      <c r="M30" s="934"/>
    </row>
    <row r="31" spans="1:37" ht="18" customHeight="1">
      <c r="A31" s="253" t="s">
        <v>1956</v>
      </c>
      <c r="B31" s="235" t="s">
        <v>1994</v>
      </c>
      <c r="C31" s="2793">
        <f>ROUND(IF(AND(项目基本情况!B7="自然人",项目基本情况!B6="北京市"),C6*F31/(1+'数据-取费表'!F30),C32+C33+C34),0)</f>
        <v>3873</v>
      </c>
      <c r="D31" s="1296" t="s">
        <v>2055</v>
      </c>
      <c r="E31" s="1299" t="s">
        <v>2056</v>
      </c>
      <c r="F31" s="2792">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9" t="s">
        <v>2666</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2827</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2755</v>
      </c>
      <c r="H35" s="929"/>
      <c r="I35" s="282" t="s">
        <v>2061</v>
      </c>
      <c r="J35" s="283">
        <f>'数据-取费表'!B18</f>
        <v>0</v>
      </c>
      <c r="K35" s="942"/>
      <c r="L35" s="941"/>
      <c r="M35" s="941"/>
    </row>
    <row r="36" spans="1:18" ht="18" customHeight="1">
      <c r="A36" s="1058" t="s">
        <v>1963</v>
      </c>
      <c r="B36" s="235" t="s">
        <v>2062</v>
      </c>
      <c r="C36" s="13">
        <f ca="1">ROUND(C29*F36,0)</f>
        <v>5857</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344</v>
      </c>
      <c r="D37" s="1299" t="s">
        <v>2023</v>
      </c>
      <c r="E37" s="235" t="s">
        <v>2024</v>
      </c>
      <c r="F37" s="266">
        <f>'数据-取费表'!B46</f>
        <v>1E-3</v>
      </c>
      <c r="G37" s="651"/>
      <c r="H37" s="941"/>
      <c r="I37" s="132" t="s">
        <v>2065</v>
      </c>
      <c r="J37" s="286"/>
      <c r="K37" s="945"/>
      <c r="L37" s="941"/>
      <c r="M37" s="941"/>
    </row>
    <row r="38" spans="1:18" ht="18" customHeight="1" thickBot="1">
      <c r="A38" s="1071" t="s">
        <v>2016</v>
      </c>
      <c r="B38" s="1072" t="s">
        <v>2005</v>
      </c>
      <c r="C38" s="1073">
        <f ca="1">ROUND(C5*F38,0)</f>
        <v>582</v>
      </c>
      <c r="D38" s="1074" t="s">
        <v>2028</v>
      </c>
      <c r="E38" s="1072" t="s">
        <v>2024</v>
      </c>
      <c r="F38" s="1067">
        <f>'数据-取费表'!B47</f>
        <v>0.01</v>
      </c>
      <c r="G38" s="651"/>
      <c r="H38" s="941"/>
      <c r="I38" s="280" t="s">
        <v>2066</v>
      </c>
      <c r="J38" s="136">
        <f ca="1">ROUND(J34/C39,3)</f>
        <v>0</v>
      </c>
      <c r="K38" s="946"/>
      <c r="L38" s="941"/>
      <c r="M38" s="941"/>
    </row>
    <row r="39" spans="1:18" ht="18" customHeight="1" thickTop="1">
      <c r="A39" s="1061" t="s">
        <v>22</v>
      </c>
      <c r="B39" s="1076" t="s">
        <v>2067</v>
      </c>
      <c r="C39" s="243">
        <f ca="1">C5-C30</f>
        <v>47512</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1184397</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40.700000000000003</v>
      </c>
      <c r="H41" s="948"/>
      <c r="I41" s="135" t="s">
        <v>1944</v>
      </c>
      <c r="J41" s="136">
        <f ca="1">ROUND(C13/C40,3)</f>
        <v>0.28999999999999998</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0.71</v>
      </c>
      <c r="K42" s="945"/>
      <c r="L42" s="948"/>
      <c r="M42" s="948"/>
      <c r="Q42" s="655"/>
    </row>
    <row r="43" spans="1:18" s="651" customFormat="1" ht="18" customHeight="1" thickBot="1">
      <c r="A43" s="271" t="s">
        <v>24</v>
      </c>
      <c r="B43" s="272" t="s">
        <v>2073</v>
      </c>
      <c r="C43" s="273">
        <f ca="1">ROUND(C40/F43,0)</f>
        <v>16743</v>
      </c>
      <c r="D43" s="274" t="s">
        <v>2074</v>
      </c>
      <c r="E43" s="275" t="s">
        <v>2075</v>
      </c>
      <c r="F43" s="276">
        <f>IF(D1="仅计算典型户型",'数据-取费表'!E5,'数据-取费表'!B5)</f>
        <v>70.739999999999995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1184397</v>
      </c>
      <c r="R45" s="1048" t="s">
        <v>2082</v>
      </c>
    </row>
    <row r="46" spans="1:18" s="651" customFormat="1" ht="18" customHeight="1" thickBot="1">
      <c r="A46" s="648"/>
      <c r="D46" s="648"/>
      <c r="E46" s="648"/>
      <c r="F46" s="648"/>
      <c r="K46" s="652"/>
      <c r="O46" s="1045" t="s">
        <v>950</v>
      </c>
      <c r="P46" s="1046" t="s">
        <v>2083</v>
      </c>
      <c r="Q46" s="1047">
        <f ca="1">J61</f>
        <v>8228</v>
      </c>
      <c r="R46" s="1048" t="s">
        <v>2084</v>
      </c>
    </row>
    <row r="47" spans="1:18" s="651" customFormat="1" ht="21.75" thickBot="1">
      <c r="A47" s="1494" t="s">
        <v>2085</v>
      </c>
      <c r="C47" s="990">
        <f ca="1">IF(C2="元",C69-C40,ROUND((C69-C40)/10000,0))</f>
        <v>-128</v>
      </c>
      <c r="D47" s="1495" t="str">
        <f>C2</f>
        <v>万元</v>
      </c>
      <c r="E47" s="648"/>
      <c r="F47" s="648"/>
      <c r="I47" s="1496" t="s">
        <v>2086</v>
      </c>
      <c r="J47" s="1021"/>
      <c r="K47" s="1022"/>
      <c r="L47" s="1035">
        <f ca="1">IF(M48="住宅",0,IF(L49&gt;J52,L61,J61))</f>
        <v>8228</v>
      </c>
      <c r="O47" s="1049" t="s">
        <v>951</v>
      </c>
      <c r="P47" s="1046" t="s">
        <v>2087</v>
      </c>
      <c r="Q47" s="1047">
        <f ca="1">C29</f>
        <v>390442</v>
      </c>
      <c r="R47" s="1048" t="s">
        <v>2082</v>
      </c>
    </row>
    <row r="48" spans="1:18" s="651" customFormat="1" ht="15.75" thickBot="1">
      <c r="A48" s="228" t="s">
        <v>2088</v>
      </c>
      <c r="B48" s="229" t="s">
        <v>2089</v>
      </c>
      <c r="C48" s="229" t="s">
        <v>2090</v>
      </c>
      <c r="D48" s="229" t="s">
        <v>2091</v>
      </c>
      <c r="E48" s="984" t="s">
        <v>2092</v>
      </c>
      <c r="F48" s="985"/>
      <c r="I48" s="1497" t="s">
        <v>2093</v>
      </c>
      <c r="J48" s="1498" t="s">
        <v>2986</v>
      </c>
      <c r="K48" s="1499"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0" t="s">
        <v>2097</v>
      </c>
      <c r="J49" s="1501" t="s">
        <v>2987</v>
      </c>
      <c r="K49" s="1502" t="s">
        <v>2098</v>
      </c>
      <c r="L49" s="862">
        <f>'数据-取费表'!B13</f>
        <v>40.700000000000003</v>
      </c>
      <c r="O49" s="1049" t="s">
        <v>953</v>
      </c>
      <c r="P49" s="1046" t="s">
        <v>2099</v>
      </c>
      <c r="Q49" s="1050">
        <f>J53</f>
        <v>7.4999999999999997E-2</v>
      </c>
      <c r="R49" s="1048"/>
    </row>
    <row r="50" spans="1:18" s="651" customFormat="1" ht="15.75" thickBot="1">
      <c r="A50" s="260" t="s">
        <v>1956</v>
      </c>
      <c r="B50" s="1409" t="s">
        <v>2100</v>
      </c>
      <c r="C50" s="234">
        <f>ROUND(F50*F52*F51*(1-F53),0)</f>
        <v>0</v>
      </c>
      <c r="D50" s="42" t="s">
        <v>2643</v>
      </c>
      <c r="E50" s="1503" t="s">
        <v>2101</v>
      </c>
      <c r="F50" s="986"/>
      <c r="I50" s="1500" t="s">
        <v>2102</v>
      </c>
      <c r="J50" s="862">
        <f>'数据-取费表'!B27</f>
        <v>2015</v>
      </c>
      <c r="K50" s="1504" t="s">
        <v>2103</v>
      </c>
      <c r="L50" s="1024"/>
      <c r="O50" s="1049" t="s">
        <v>954</v>
      </c>
      <c r="P50" s="1046" t="s">
        <v>2104</v>
      </c>
      <c r="Q50" s="1047">
        <f>J54</f>
        <v>40.700000000000003</v>
      </c>
      <c r="R50" s="1048" t="s">
        <v>2105</v>
      </c>
    </row>
    <row r="51" spans="1:18" s="651" customFormat="1" ht="15.75" thickBot="1">
      <c r="A51" s="237"/>
      <c r="B51" s="238"/>
      <c r="C51" s="239"/>
      <c r="D51" s="240"/>
      <c r="E51" s="255" t="s">
        <v>1959</v>
      </c>
      <c r="F51" s="983">
        <f>F7</f>
        <v>70.739999999999995</v>
      </c>
      <c r="I51" s="1500" t="s">
        <v>2106</v>
      </c>
      <c r="J51" s="1025">
        <f>SUMPRODUCT((I64:I66=J48)*(J63:L63=J49)*(J64:L66))</f>
        <v>60</v>
      </c>
      <c r="K51" s="1504" t="s">
        <v>2107</v>
      </c>
      <c r="L51" s="1024"/>
      <c r="O51" s="1045" t="s">
        <v>955</v>
      </c>
      <c r="P51" s="1046" t="str">
        <f>IF(C2="元","收益价值(元)","收益价值(万元)")</f>
        <v>收益价值(万元)</v>
      </c>
      <c r="Q51" s="1047">
        <f ca="1">ROUND(IF(C2="元",Q45+Q46,(Q45+Q46)/10000),0)</f>
        <v>119</v>
      </c>
      <c r="R51" s="1048" t="s">
        <v>956</v>
      </c>
    </row>
    <row r="52" spans="1:18" s="651" customFormat="1" ht="16.5" thickBot="1">
      <c r="A52" s="237"/>
      <c r="B52" s="238"/>
      <c r="C52" s="239"/>
      <c r="D52" s="240"/>
      <c r="E52" s="235" t="s">
        <v>1961</v>
      </c>
      <c r="F52" s="236">
        <f>F8</f>
        <v>365</v>
      </c>
      <c r="I52" s="1505" t="s">
        <v>2108</v>
      </c>
      <c r="J52" s="1026">
        <f>IF(J50="",J51,J50+J51-YEAR('数据-取费表'!B2))</f>
        <v>53</v>
      </c>
      <c r="K52" s="1506" t="s">
        <v>2109</v>
      </c>
      <c r="L52" s="1027">
        <f ca="1">ROUND(-PV('数据-取费表'!B15,J52,(C40-C13*J35)),0)</f>
        <v>21903531</v>
      </c>
      <c r="O52" s="1039" t="s">
        <v>2110</v>
      </c>
      <c r="P52" s="1040"/>
      <c r="Q52" s="1036"/>
      <c r="R52" s="1040"/>
    </row>
    <row r="53" spans="1:18" s="651" customFormat="1" ht="15.75" thickBot="1">
      <c r="A53" s="241"/>
      <c r="B53" s="242"/>
      <c r="C53" s="243"/>
      <c r="D53" s="244"/>
      <c r="E53" s="235" t="s">
        <v>1962</v>
      </c>
      <c r="F53" s="1034"/>
      <c r="I53" s="1507" t="s">
        <v>2111</v>
      </c>
      <c r="J53" s="1028">
        <v>7.4999999999999997E-2</v>
      </c>
      <c r="K53" s="1507" t="s">
        <v>2112</v>
      </c>
      <c r="L53" s="1028"/>
      <c r="O53" s="1041" t="s">
        <v>2077</v>
      </c>
      <c r="P53" s="1042" t="s">
        <v>2078</v>
      </c>
      <c r="Q53" s="1043" t="s">
        <v>2079</v>
      </c>
      <c r="R53" s="1044" t="s">
        <v>2080</v>
      </c>
    </row>
    <row r="54" spans="1:18" s="651" customFormat="1" ht="29.25" customHeight="1" thickBot="1">
      <c r="A54" s="1055" t="s">
        <v>1963</v>
      </c>
      <c r="B54" s="1488" t="s">
        <v>1964</v>
      </c>
      <c r="C54" s="1056">
        <f ca="1">ROUND(IF(F54="押一",C50/12*F11,IF(F54="押二",C50/12*2*F11,IF(F54="押三",C50/12*3*F11,C55*F11))),0)</f>
        <v>0</v>
      </c>
      <c r="D54" s="1489" t="s">
        <v>2649</v>
      </c>
      <c r="E54" s="246" t="s">
        <v>1965</v>
      </c>
      <c r="F54" s="1490"/>
      <c r="I54" s="1596" t="s">
        <v>2652</v>
      </c>
      <c r="J54" s="1029">
        <f>IF(M48="住宅",IF(E1="——",MAX(J52,L49),MAX(J52,L49-'数据-取费表'!B26)),IF(E1="——",MIN(J52,L49),MIN(J52,L49-'数据-取费表'!B26)))</f>
        <v>40.700000000000003</v>
      </c>
      <c r="K54" s="3671" t="s">
        <v>2641</v>
      </c>
      <c r="L54" s="3672"/>
      <c r="O54" s="1045" t="s">
        <v>949</v>
      </c>
      <c r="P54" s="1046" t="s">
        <v>2081</v>
      </c>
      <c r="Q54" s="1047">
        <f ca="1">C40+J29</f>
        <v>1184397</v>
      </c>
      <c r="R54" s="1048" t="s">
        <v>2082</v>
      </c>
    </row>
    <row r="55" spans="1:18" s="651" customFormat="1" ht="20.25" thickBot="1">
      <c r="A55" s="1055"/>
      <c r="B55" s="1508" t="s">
        <v>1969</v>
      </c>
      <c r="C55" s="1060"/>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5" t="s">
        <v>950</v>
      </c>
      <c r="P55" s="1046" t="s">
        <v>2113</v>
      </c>
      <c r="Q55" s="1047">
        <f>L61</f>
        <v>0</v>
      </c>
      <c r="R55" s="1048" t="s">
        <v>2114</v>
      </c>
    </row>
    <row r="56" spans="1:18" s="651" customFormat="1" ht="20.25" thickBot="1">
      <c r="A56" s="1065" t="s">
        <v>1970</v>
      </c>
      <c r="B56" s="1492" t="s">
        <v>1971</v>
      </c>
      <c r="C56" s="1066"/>
      <c r="D56" s="1082"/>
      <c r="E56" s="1511"/>
      <c r="F56" s="1121"/>
      <c r="I56" s="1512" t="s">
        <v>2115</v>
      </c>
      <c r="J56" s="1288">
        <f>ROUND(IF(J48="钢混",J58/J51,1-(1-2%)*(J51-J58)/J51),3)</f>
        <v>0.20499999999999999</v>
      </c>
      <c r="K56" s="1513"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343589</v>
      </c>
      <c r="D57" s="981"/>
      <c r="E57" s="982"/>
      <c r="F57" s="989"/>
      <c r="I57" s="1514" t="s">
        <v>2118</v>
      </c>
      <c r="J57" s="1033" t="s">
        <v>2980</v>
      </c>
      <c r="K57" s="1500" t="s">
        <v>2119</v>
      </c>
      <c r="L57" s="862" t="str">
        <f>IF(L49&lt;J52,"——",L49-J52)</f>
        <v>——</v>
      </c>
      <c r="O57" s="1049" t="s">
        <v>952</v>
      </c>
      <c r="P57" s="1046" t="s">
        <v>2120</v>
      </c>
      <c r="Q57" s="1050">
        <f>L53</f>
        <v>0</v>
      </c>
      <c r="R57" s="1048"/>
    </row>
    <row r="58" spans="1:18" s="651" customFormat="1" ht="29.25" thickBot="1">
      <c r="A58" s="988"/>
      <c r="B58" s="235" t="s">
        <v>2050</v>
      </c>
      <c r="C58" s="104">
        <f ca="1">C29</f>
        <v>390442</v>
      </c>
      <c r="D58" s="981"/>
      <c r="E58" s="982"/>
      <c r="F58" s="989"/>
      <c r="I58" s="1515" t="s">
        <v>2121</v>
      </c>
      <c r="J58" s="1032">
        <f>IF(OR(M48="住宅",J52&lt;L49,J57="是"),"——",J52-L49)</f>
        <v>12.299999999999997</v>
      </c>
      <c r="K58" s="1500"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6201</v>
      </c>
      <c r="D59" s="12" t="s">
        <v>2054</v>
      </c>
      <c r="E59" s="1301"/>
      <c r="F59" s="15"/>
      <c r="I59" s="1515" t="s">
        <v>2125</v>
      </c>
      <c r="J59" s="1287">
        <f>IF(J56&lt;0.4,0.4,J56)</f>
        <v>0.4</v>
      </c>
      <c r="K59" s="1506"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3">
        <f>ROUND(IF(AND(项目基本情况!B7="自然人",项目基本情况!B6="北京市"),C50*F60/(1+'数据-取费表'!F30),C61+C62+C63),0)</f>
        <v>0</v>
      </c>
      <c r="D60" s="1296" t="s">
        <v>2055</v>
      </c>
      <c r="E60" s="1299" t="s">
        <v>2056</v>
      </c>
      <c r="F60" s="2792">
        <f>IF(项目基本情况!B7="企业","——",IF('数据-取费表'!B10="住宅",IF(F50*F51*F52/12/(1+'数据-取费表'!F30)&gt;100000,4%,2.5%),IF(F50*F51*F52/12/(1+'数据-取费表'!F30)&gt;100000,12%,7%)))</f>
        <v>7.0000000000000007E-2</v>
      </c>
      <c r="I60" s="1515" t="s">
        <v>2128</v>
      </c>
      <c r="J60" s="1032">
        <f ca="1">IF(OR(M48="住宅",J52&lt;L49,J57="是"),"——",ROUND(C29*J59,0))</f>
        <v>156177</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118</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6" t="s">
        <v>2129</v>
      </c>
      <c r="J61" s="1031">
        <f ca="1">IF(OR(M48="住宅",J52&lt;L49,J57="是"),"0",ROUND(J60/(1+J53)^J54,0))</f>
        <v>8228</v>
      </c>
      <c r="K61" s="1517"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8" t="s">
        <v>2136</v>
      </c>
      <c r="J63" s="1291" t="s">
        <v>2137</v>
      </c>
      <c r="K63" s="1291" t="s">
        <v>2138</v>
      </c>
      <c r="L63" s="1291" t="s">
        <v>2139</v>
      </c>
      <c r="M63" s="1290" t="s">
        <v>2140</v>
      </c>
      <c r="O63" s="1045" t="s">
        <v>949</v>
      </c>
      <c r="P63" s="1046" t="s">
        <v>2081</v>
      </c>
      <c r="Q63" s="1047">
        <f ca="1">C40+J29</f>
        <v>1184397</v>
      </c>
      <c r="R63" s="1048" t="s">
        <v>2082</v>
      </c>
    </row>
    <row r="64" spans="1:18" s="651" customFormat="1" ht="20.25" thickBot="1">
      <c r="A64" s="263"/>
      <c r="B64" s="244"/>
      <c r="C64" s="17"/>
      <c r="D64" s="264"/>
      <c r="E64" s="235" t="s">
        <v>2141</v>
      </c>
      <c r="F64" s="236">
        <f t="shared" si="0"/>
        <v>0</v>
      </c>
      <c r="I64" s="1518"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5857</v>
      </c>
      <c r="D65" s="1299" t="s">
        <v>2063</v>
      </c>
      <c r="E65" s="235" t="s">
        <v>2007</v>
      </c>
      <c r="F65" s="265">
        <f t="shared" si="0"/>
        <v>1.4999999999999999E-2</v>
      </c>
      <c r="I65" s="1518" t="s">
        <v>2143</v>
      </c>
      <c r="J65" s="1291">
        <v>50</v>
      </c>
      <c r="K65" s="1291">
        <v>35</v>
      </c>
      <c r="L65" s="1291">
        <v>60</v>
      </c>
      <c r="M65" s="1290">
        <v>0</v>
      </c>
      <c r="O65" s="1049" t="s">
        <v>951</v>
      </c>
      <c r="P65" s="1046" t="s">
        <v>2117</v>
      </c>
      <c r="Q65" s="1051">
        <f ca="1">L52</f>
        <v>21903531</v>
      </c>
      <c r="R65" s="1052" t="s">
        <v>2144</v>
      </c>
    </row>
    <row r="66" spans="1:18" s="651" customFormat="1" ht="20.25" thickBot="1">
      <c r="A66" s="253" t="s">
        <v>20</v>
      </c>
      <c r="B66" s="235" t="s">
        <v>2022</v>
      </c>
      <c r="C66" s="13">
        <f ca="1">ROUND(C57*F66,0)</f>
        <v>344</v>
      </c>
      <c r="D66" s="1299" t="s">
        <v>2023</v>
      </c>
      <c r="E66" s="235" t="s">
        <v>2024</v>
      </c>
      <c r="F66" s="266">
        <f t="shared" si="0"/>
        <v>1E-3</v>
      </c>
      <c r="I66" s="1518" t="s">
        <v>2145</v>
      </c>
      <c r="J66" s="1291">
        <v>40</v>
      </c>
      <c r="K66" s="1291">
        <v>30</v>
      </c>
      <c r="L66" s="1291">
        <v>50</v>
      </c>
      <c r="M66" s="1289">
        <v>0.02</v>
      </c>
      <c r="O66" s="1049" t="s">
        <v>952</v>
      </c>
      <c r="P66" s="1053" t="s">
        <v>2146</v>
      </c>
      <c r="Q66" s="1047">
        <f ca="1">ROUND(Q67-Q68*Q69,0)</f>
        <v>47512</v>
      </c>
      <c r="R66" s="1048"/>
    </row>
    <row r="67" spans="1:18" s="651" customFormat="1" ht="15.75" thickBot="1">
      <c r="A67" s="253" t="s">
        <v>21</v>
      </c>
      <c r="B67" s="235" t="s">
        <v>2005</v>
      </c>
      <c r="C67" s="13">
        <f ca="1">ROUND(C49*F67,0)</f>
        <v>0</v>
      </c>
      <c r="D67" s="1299" t="s">
        <v>2028</v>
      </c>
      <c r="E67" s="235" t="s">
        <v>2024</v>
      </c>
      <c r="F67" s="245">
        <f t="shared" si="0"/>
        <v>0.01</v>
      </c>
      <c r="O67" s="1049" t="s">
        <v>957</v>
      </c>
      <c r="P67" s="1053" t="s">
        <v>2147</v>
      </c>
      <c r="Q67" s="1047">
        <f ca="1">C39</f>
        <v>47512</v>
      </c>
      <c r="R67" s="1048" t="s">
        <v>2082</v>
      </c>
    </row>
    <row r="68" spans="1:18" ht="15.75" thickBot="1">
      <c r="A68" s="248" t="s">
        <v>22</v>
      </c>
      <c r="B68" s="41" t="s">
        <v>2032</v>
      </c>
      <c r="C68" s="250">
        <f ca="1">C49-C59</f>
        <v>-6201</v>
      </c>
      <c r="D68" s="1296" t="s">
        <v>2033</v>
      </c>
      <c r="E68" s="1298"/>
      <c r="F68" s="268"/>
      <c r="H68" s="651"/>
      <c r="I68" s="651"/>
      <c r="J68" s="651"/>
      <c r="K68" s="651"/>
      <c r="L68" s="651"/>
      <c r="M68" s="651"/>
      <c r="O68" s="1049" t="s">
        <v>958</v>
      </c>
      <c r="P68" s="1053" t="s">
        <v>2148</v>
      </c>
      <c r="Q68" s="1047">
        <f ca="1">C13</f>
        <v>343589</v>
      </c>
      <c r="R68" s="1048" t="s">
        <v>2082</v>
      </c>
    </row>
    <row r="69" spans="1:18" ht="15.75" thickBot="1">
      <c r="A69" s="232" t="s">
        <v>23</v>
      </c>
      <c r="B69" s="233" t="s">
        <v>2070</v>
      </c>
      <c r="C69" s="234">
        <f ca="1">ROUND(C68*(1-((1+F71)/(1+F69))^F70)/(F69-F71),0)</f>
        <v>-99989</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40.700000000000003</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-1413</v>
      </c>
      <c r="D72" s="274" t="s">
        <v>2074</v>
      </c>
      <c r="E72" s="275" t="s">
        <v>2075</v>
      </c>
      <c r="F72" s="276">
        <f>F43</f>
        <v>70.739999999999995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118</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6"/>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6"/>
      <c r="I2" s="2986"/>
      <c r="J2" s="2986"/>
      <c r="K2" s="2986"/>
      <c r="L2" s="2987"/>
      <c r="M2" s="2988"/>
      <c r="N2" s="2988"/>
      <c r="O2" s="2988"/>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70.739999999999995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81" t="s">
        <v>2200</v>
      </c>
      <c r="Q7" s="3689"/>
      <c r="R7" s="626" t="s">
        <v>25</v>
      </c>
      <c r="S7" s="627">
        <f t="shared" ref="S7:S15" si="0">F7</f>
        <v>0</v>
      </c>
      <c r="T7" s="626" t="s">
        <v>25</v>
      </c>
      <c r="U7" s="627">
        <f t="shared" ref="U7:U15" si="1">H7</f>
        <v>0</v>
      </c>
      <c r="V7" s="626" t="s">
        <v>25</v>
      </c>
      <c r="W7" s="627">
        <f t="shared" ref="W7:W15" si="2">J7</f>
        <v>0</v>
      </c>
      <c r="X7" s="628"/>
      <c r="Y7" s="3681" t="s">
        <v>2200</v>
      </c>
      <c r="Z7" s="3682"/>
      <c r="AA7" s="629" t="e">
        <f>D7/F7</f>
        <v>#DIV/0!</v>
      </c>
      <c r="AB7" s="629" t="e">
        <f>D7/H7</f>
        <v>#DIV/0!</v>
      </c>
      <c r="AC7" s="629" t="e">
        <f>D7/J7</f>
        <v>#DIV/0!</v>
      </c>
    </row>
    <row r="8" spans="1:29" s="25" customFormat="1" ht="15.75" thickBot="1">
      <c r="A8" s="301" t="s">
        <v>2201</v>
      </c>
      <c r="B8" s="302"/>
      <c r="C8" s="307" t="s">
        <v>2823</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73" t="s">
        <v>2206</v>
      </c>
      <c r="Q9" s="1295" t="str">
        <f t="shared" ref="Q9:Q15" si="6">B9</f>
        <v>用途</v>
      </c>
      <c r="R9" s="626" t="s">
        <v>25</v>
      </c>
      <c r="S9" s="627">
        <f t="shared" si="0"/>
        <v>100</v>
      </c>
      <c r="T9" s="626" t="s">
        <v>25</v>
      </c>
      <c r="U9" s="627">
        <f t="shared" si="1"/>
        <v>100</v>
      </c>
      <c r="V9" s="626" t="s">
        <v>25</v>
      </c>
      <c r="W9" s="627">
        <f t="shared" si="2"/>
        <v>100</v>
      </c>
      <c r="X9" s="628"/>
      <c r="Y9" s="3692"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73"/>
      <c r="Q11" s="1295"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1"/>
      <c r="M14" s="2992"/>
      <c r="N14" s="2992"/>
      <c r="O14" s="3000"/>
      <c r="P14" s="3673"/>
      <c r="Q14" s="1295">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90" t="s">
        <v>2211</v>
      </c>
      <c r="Q15" s="1302" t="str">
        <f t="shared" si="6"/>
        <v>产业集聚程度</v>
      </c>
      <c r="R15" s="630" t="s">
        <v>25</v>
      </c>
      <c r="S15" s="631">
        <f t="shared" si="0"/>
        <v>100</v>
      </c>
      <c r="T15" s="630" t="s">
        <v>25</v>
      </c>
      <c r="U15" s="631">
        <f t="shared" si="1"/>
        <v>100</v>
      </c>
      <c r="V15" s="630" t="s">
        <v>25</v>
      </c>
      <c r="W15" s="631">
        <f t="shared" si="2"/>
        <v>100</v>
      </c>
      <c r="X15" s="1303"/>
      <c r="Y15" s="3690"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1"/>
      <c r="M16" s="2992"/>
      <c r="N16" s="2992"/>
      <c r="O16" s="3000"/>
      <c r="P16" s="3691"/>
      <c r="Q16" s="1302"/>
      <c r="R16" s="630"/>
      <c r="S16" s="631"/>
      <c r="T16" s="630"/>
      <c r="U16" s="631"/>
      <c r="V16" s="630"/>
      <c r="W16" s="631"/>
      <c r="X16" s="1303"/>
      <c r="Y16" s="3691"/>
      <c r="Z16" s="1304"/>
      <c r="AA16" s="1305">
        <v>1</v>
      </c>
      <c r="AB16" s="1305">
        <v>1</v>
      </c>
      <c r="AC16" s="1305">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91"/>
      <c r="Q17" s="1302" t="str">
        <f>B17</f>
        <v>交通便捷度</v>
      </c>
      <c r="R17" s="630" t="s">
        <v>25</v>
      </c>
      <c r="S17" s="631">
        <f>F17</f>
        <v>100</v>
      </c>
      <c r="T17" s="630" t="s">
        <v>25</v>
      </c>
      <c r="U17" s="631">
        <f>H17</f>
        <v>100</v>
      </c>
      <c r="V17" s="630" t="s">
        <v>25</v>
      </c>
      <c r="W17" s="631">
        <f>J17</f>
        <v>100</v>
      </c>
      <c r="X17" s="1303"/>
      <c r="Y17" s="3691"/>
      <c r="Z17" s="1304" t="str">
        <f>Q17</f>
        <v>交通便捷度</v>
      </c>
      <c r="AA17" s="1305">
        <f t="shared" si="3"/>
        <v>1</v>
      </c>
      <c r="AB17" s="1305">
        <f t="shared" si="4"/>
        <v>1</v>
      </c>
      <c r="AC17" s="1305">
        <f t="shared" si="5"/>
        <v>1</v>
      </c>
    </row>
    <row r="18" spans="1:29" ht="15">
      <c r="A18" s="318"/>
      <c r="B18" s="345"/>
      <c r="C18" s="346"/>
      <c r="D18" s="339"/>
      <c r="E18" s="1100"/>
      <c r="F18" s="342"/>
      <c r="G18" s="1535"/>
      <c r="H18" s="336"/>
      <c r="I18" s="1100"/>
      <c r="J18" s="336"/>
      <c r="K18" s="501"/>
      <c r="L18" s="3001"/>
      <c r="M18" s="2992"/>
      <c r="N18" s="2992"/>
      <c r="O18" s="3000"/>
      <c r="P18" s="3691"/>
      <c r="Q18" s="1302"/>
      <c r="R18" s="630"/>
      <c r="S18" s="631"/>
      <c r="T18" s="630"/>
      <c r="U18" s="631"/>
      <c r="V18" s="630"/>
      <c r="W18" s="631"/>
      <c r="X18" s="1303"/>
      <c r="Y18" s="3691"/>
      <c r="Z18" s="1304"/>
      <c r="AA18" s="1305">
        <v>1</v>
      </c>
      <c r="AB18" s="1305">
        <v>1</v>
      </c>
      <c r="AC18" s="1305">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91"/>
      <c r="Q19" s="1302" t="str">
        <f>B19</f>
        <v>公共配套设施</v>
      </c>
      <c r="R19" s="630" t="s">
        <v>25</v>
      </c>
      <c r="S19" s="631">
        <f>F19</f>
        <v>100</v>
      </c>
      <c r="T19" s="630" t="s">
        <v>25</v>
      </c>
      <c r="U19" s="631">
        <f>H19</f>
        <v>100</v>
      </c>
      <c r="V19" s="630" t="s">
        <v>25</v>
      </c>
      <c r="W19" s="631">
        <f>J19</f>
        <v>100</v>
      </c>
      <c r="X19" s="1303"/>
      <c r="Y19" s="3691"/>
      <c r="Z19" s="1304" t="str">
        <f>Q19</f>
        <v>公共配套设施</v>
      </c>
      <c r="AA19" s="1305">
        <f t="shared" si="3"/>
        <v>1</v>
      </c>
      <c r="AB19" s="1305">
        <f t="shared" si="4"/>
        <v>1</v>
      </c>
      <c r="AC19" s="1305">
        <f t="shared" si="5"/>
        <v>1</v>
      </c>
    </row>
    <row r="20" spans="1:29" ht="15">
      <c r="A20" s="318"/>
      <c r="B20" s="514"/>
      <c r="C20" s="335"/>
      <c r="D20" s="336"/>
      <c r="E20" s="337"/>
      <c r="F20" s="338"/>
      <c r="G20" s="1533"/>
      <c r="H20" s="336"/>
      <c r="I20" s="337"/>
      <c r="J20" s="336"/>
      <c r="K20" s="501"/>
      <c r="L20" s="3001"/>
      <c r="M20" s="2992"/>
      <c r="N20" s="2992"/>
      <c r="O20" s="3000"/>
      <c r="P20" s="3691"/>
      <c r="Q20" s="1302"/>
      <c r="R20" s="630"/>
      <c r="S20" s="631"/>
      <c r="T20" s="630"/>
      <c r="U20" s="631"/>
      <c r="V20" s="630"/>
      <c r="W20" s="631"/>
      <c r="X20" s="1303"/>
      <c r="Y20" s="3691"/>
      <c r="Z20" s="1304"/>
      <c r="AA20" s="1305">
        <v>1</v>
      </c>
      <c r="AB20" s="1305">
        <v>1</v>
      </c>
      <c r="AC20" s="1305">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91"/>
      <c r="Q21" s="1302" t="str">
        <f>B21</f>
        <v>基础设施水平</v>
      </c>
      <c r="R21" s="630" t="s">
        <v>25</v>
      </c>
      <c r="S21" s="631">
        <f>F21</f>
        <v>100</v>
      </c>
      <c r="T21" s="630" t="s">
        <v>25</v>
      </c>
      <c r="U21" s="631">
        <f>H21</f>
        <v>100</v>
      </c>
      <c r="V21" s="630" t="s">
        <v>25</v>
      </c>
      <c r="W21" s="631">
        <f>J21</f>
        <v>100</v>
      </c>
      <c r="X21" s="1303"/>
      <c r="Y21" s="3691"/>
      <c r="Z21" s="1304" t="str">
        <f>Q21</f>
        <v>基础设施水平</v>
      </c>
      <c r="AA21" s="1305">
        <f t="shared" ref="AA21" si="8">D21/F21</f>
        <v>1</v>
      </c>
      <c r="AB21" s="1305">
        <f t="shared" ref="AB21" si="9">D21/H21</f>
        <v>1</v>
      </c>
      <c r="AC21" s="1305">
        <f t="shared" ref="AC21" si="10">D21/J21</f>
        <v>1</v>
      </c>
    </row>
    <row r="22" spans="1:29" ht="15">
      <c r="A22" s="318"/>
      <c r="B22" s="1536"/>
      <c r="C22" s="346"/>
      <c r="D22" s="336"/>
      <c r="E22" s="335"/>
      <c r="F22" s="338"/>
      <c r="G22" s="335"/>
      <c r="H22" s="336"/>
      <c r="I22" s="335"/>
      <c r="J22" s="336"/>
      <c r="K22" s="1101"/>
      <c r="L22" s="3001"/>
      <c r="M22" s="2992"/>
      <c r="N22" s="2992"/>
      <c r="O22" s="3000"/>
      <c r="P22" s="3691"/>
      <c r="Q22" s="1302"/>
      <c r="R22" s="630"/>
      <c r="S22" s="631"/>
      <c r="T22" s="630"/>
      <c r="U22" s="631"/>
      <c r="V22" s="630"/>
      <c r="W22" s="631"/>
      <c r="X22" s="1303"/>
      <c r="Y22" s="3691"/>
      <c r="Z22" s="1304"/>
      <c r="AA22" s="1305">
        <v>1</v>
      </c>
      <c r="AB22" s="1305">
        <v>1</v>
      </c>
      <c r="AC22" s="1305">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91"/>
      <c r="Q23" s="1302" t="str">
        <f>B23</f>
        <v>环境质量</v>
      </c>
      <c r="R23" s="630" t="s">
        <v>25</v>
      </c>
      <c r="S23" s="631">
        <f>F23</f>
        <v>100</v>
      </c>
      <c r="T23" s="630" t="s">
        <v>25</v>
      </c>
      <c r="U23" s="631">
        <f>H23</f>
        <v>100</v>
      </c>
      <c r="V23" s="630" t="s">
        <v>25</v>
      </c>
      <c r="W23" s="631">
        <f>J23</f>
        <v>100</v>
      </c>
      <c r="X23" s="1303"/>
      <c r="Y23" s="3691"/>
      <c r="Z23" s="1304" t="str">
        <f>Q23</f>
        <v>环境质量</v>
      </c>
      <c r="AA23" s="1305">
        <f t="shared" si="3"/>
        <v>1</v>
      </c>
      <c r="AB23" s="1305">
        <f t="shared" si="4"/>
        <v>1</v>
      </c>
      <c r="AC23" s="1305">
        <f t="shared" si="5"/>
        <v>1</v>
      </c>
    </row>
    <row r="24" spans="1:29" ht="15">
      <c r="A24" s="318"/>
      <c r="B24" s="1536"/>
      <c r="C24" s="335"/>
      <c r="D24" s="336"/>
      <c r="E24" s="337"/>
      <c r="F24" s="338"/>
      <c r="G24" s="1533"/>
      <c r="H24" s="336"/>
      <c r="I24" s="337"/>
      <c r="J24" s="336"/>
      <c r="K24" s="501"/>
      <c r="L24" s="3001"/>
      <c r="M24" s="2992"/>
      <c r="N24" s="2992"/>
      <c r="O24" s="3000"/>
      <c r="P24" s="3691"/>
      <c r="Q24" s="1302"/>
      <c r="R24" s="630"/>
      <c r="S24" s="631"/>
      <c r="T24" s="630"/>
      <c r="U24" s="631"/>
      <c r="V24" s="630"/>
      <c r="W24" s="631"/>
      <c r="X24" s="1303"/>
      <c r="Y24" s="3691"/>
      <c r="Z24" s="1304"/>
      <c r="AA24" s="1305">
        <v>1</v>
      </c>
      <c r="AB24" s="1305">
        <v>1</v>
      </c>
      <c r="AC24" s="1305">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91"/>
      <c r="Q25" s="1302">
        <f>B25</f>
        <v>111</v>
      </c>
      <c r="R25" s="630" t="s">
        <v>25</v>
      </c>
      <c r="S25" s="631">
        <f>F25</f>
        <v>100</v>
      </c>
      <c r="T25" s="630" t="s">
        <v>25</v>
      </c>
      <c r="U25" s="631">
        <f>H25</f>
        <v>100</v>
      </c>
      <c r="V25" s="630" t="s">
        <v>25</v>
      </c>
      <c r="W25" s="631">
        <f>J25</f>
        <v>100</v>
      </c>
      <c r="X25" s="1303"/>
      <c r="Y25" s="3691"/>
      <c r="Z25" s="1304">
        <f>Q25</f>
        <v>111</v>
      </c>
      <c r="AA25" s="1305">
        <f t="shared" si="3"/>
        <v>1</v>
      </c>
      <c r="AB25" s="1305">
        <f t="shared" si="4"/>
        <v>1</v>
      </c>
      <c r="AC25" s="1305">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91"/>
      <c r="Q26" s="1302">
        <f t="shared" ref="Q26:Q40" si="11">B26</f>
        <v>111</v>
      </c>
      <c r="R26" s="630" t="s">
        <v>25</v>
      </c>
      <c r="S26" s="631">
        <f>F26</f>
        <v>100</v>
      </c>
      <c r="T26" s="630" t="s">
        <v>25</v>
      </c>
      <c r="U26" s="631">
        <f>H26</f>
        <v>100</v>
      </c>
      <c r="V26" s="630" t="s">
        <v>25</v>
      </c>
      <c r="W26" s="631">
        <f>J26</f>
        <v>100</v>
      </c>
      <c r="X26" s="1303"/>
      <c r="Y26" s="3691"/>
      <c r="Z26" s="1304">
        <f>Q26</f>
        <v>111</v>
      </c>
      <c r="AA26" s="1305">
        <f t="shared" si="3"/>
        <v>1</v>
      </c>
      <c r="AB26" s="1305">
        <f t="shared" si="4"/>
        <v>1</v>
      </c>
      <c r="AC26" s="1305">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91"/>
      <c r="Q27" s="1295">
        <f t="shared" si="11"/>
        <v>111</v>
      </c>
      <c r="R27" s="626" t="s">
        <v>25</v>
      </c>
      <c r="S27" s="627">
        <f>F27</f>
        <v>100</v>
      </c>
      <c r="T27" s="626" t="s">
        <v>25</v>
      </c>
      <c r="U27" s="627">
        <f>H27</f>
        <v>100</v>
      </c>
      <c r="V27" s="626" t="s">
        <v>25</v>
      </c>
      <c r="W27" s="627">
        <f>J27</f>
        <v>100</v>
      </c>
      <c r="X27" s="628"/>
      <c r="Y27" s="3691"/>
      <c r="Z27" s="19">
        <f>Q27</f>
        <v>111</v>
      </c>
      <c r="AA27" s="1305">
        <f>D27/F27</f>
        <v>1</v>
      </c>
      <c r="AB27" s="1305">
        <f>D27/H27</f>
        <v>1</v>
      </c>
      <c r="AC27" s="1305">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91"/>
      <c r="Q28" s="1302">
        <f t="shared" si="11"/>
        <v>111</v>
      </c>
      <c r="R28" s="630" t="s">
        <v>25</v>
      </c>
      <c r="S28" s="631">
        <f t="shared" ref="S28:S40" si="12">F28</f>
        <v>100</v>
      </c>
      <c r="T28" s="630" t="s">
        <v>25</v>
      </c>
      <c r="U28" s="631">
        <f t="shared" ref="U28:U40" si="13">H28</f>
        <v>100</v>
      </c>
      <c r="V28" s="630" t="s">
        <v>25</v>
      </c>
      <c r="W28" s="631">
        <f t="shared" ref="W28:W40" si="14">J28</f>
        <v>100</v>
      </c>
      <c r="X28" s="1303"/>
      <c r="Y28" s="3691"/>
      <c r="Z28" s="1304">
        <f t="shared" ref="Z28:Z40" si="15">Q28</f>
        <v>111</v>
      </c>
      <c r="AA28" s="1305">
        <f t="shared" si="3"/>
        <v>1</v>
      </c>
      <c r="AB28" s="1305">
        <f t="shared" si="4"/>
        <v>1</v>
      </c>
      <c r="AC28" s="1305">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3001"/>
      <c r="M29" s="2992"/>
      <c r="N29" s="2992"/>
      <c r="O29" s="3000"/>
      <c r="P29" s="3678" t="s">
        <v>2217</v>
      </c>
      <c r="Q29" s="1302" t="str">
        <f t="shared" si="11"/>
        <v>建筑类型</v>
      </c>
      <c r="R29" s="630" t="s">
        <v>25</v>
      </c>
      <c r="S29" s="631">
        <f t="shared" si="12"/>
        <v>100</v>
      </c>
      <c r="T29" s="630" t="s">
        <v>25</v>
      </c>
      <c r="U29" s="631">
        <f t="shared" si="13"/>
        <v>100</v>
      </c>
      <c r="V29" s="630" t="s">
        <v>25</v>
      </c>
      <c r="W29" s="631">
        <f t="shared" si="14"/>
        <v>100</v>
      </c>
      <c r="X29" s="1303"/>
      <c r="Y29" s="3679"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79"/>
      <c r="Q30" s="632" t="str">
        <f t="shared" si="11"/>
        <v>项目建筑规模</v>
      </c>
      <c r="R30" s="633" t="s">
        <v>25</v>
      </c>
      <c r="S30" s="634" t="e">
        <f t="shared" si="12"/>
        <v>#N/A</v>
      </c>
      <c r="T30" s="633" t="s">
        <v>25</v>
      </c>
      <c r="U30" s="634" t="e">
        <f t="shared" si="13"/>
        <v>#N/A</v>
      </c>
      <c r="V30" s="633" t="s">
        <v>25</v>
      </c>
      <c r="W30" s="634" t="e">
        <f t="shared" si="14"/>
        <v>#N/A</v>
      </c>
      <c r="X30" s="635"/>
      <c r="Y30" s="3679"/>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79"/>
      <c r="Q31" s="1302" t="str">
        <f t="shared" si="11"/>
        <v>建筑结构</v>
      </c>
      <c r="R31" s="630" t="s">
        <v>25</v>
      </c>
      <c r="S31" s="631">
        <f t="shared" si="12"/>
        <v>100</v>
      </c>
      <c r="T31" s="630" t="s">
        <v>25</v>
      </c>
      <c r="U31" s="631">
        <f t="shared" si="13"/>
        <v>100</v>
      </c>
      <c r="V31" s="630" t="s">
        <v>25</v>
      </c>
      <c r="W31" s="631">
        <f t="shared" si="14"/>
        <v>100</v>
      </c>
      <c r="X31" s="1303"/>
      <c r="Y31" s="3679"/>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79"/>
      <c r="Q32" s="1302" t="str">
        <f t="shared" si="11"/>
        <v>公共部分装修</v>
      </c>
      <c r="R32" s="630" t="s">
        <v>25</v>
      </c>
      <c r="S32" s="631">
        <f t="shared" si="12"/>
        <v>100</v>
      </c>
      <c r="T32" s="630" t="s">
        <v>25</v>
      </c>
      <c r="U32" s="631">
        <f t="shared" si="13"/>
        <v>100</v>
      </c>
      <c r="V32" s="630" t="s">
        <v>25</v>
      </c>
      <c r="W32" s="631">
        <f t="shared" si="14"/>
        <v>100</v>
      </c>
      <c r="X32" s="1303"/>
      <c r="Y32" s="3679"/>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79"/>
      <c r="Q33" s="1302" t="str">
        <f t="shared" si="11"/>
        <v>成新度</v>
      </c>
      <c r="R33" s="630" t="s">
        <v>25</v>
      </c>
      <c r="S33" s="631" t="e">
        <f t="shared" si="12"/>
        <v>#N/A</v>
      </c>
      <c r="T33" s="630" t="s">
        <v>25</v>
      </c>
      <c r="U33" s="631" t="e">
        <f t="shared" si="13"/>
        <v>#N/A</v>
      </c>
      <c r="V33" s="630" t="s">
        <v>25</v>
      </c>
      <c r="W33" s="631" t="e">
        <f t="shared" si="14"/>
        <v>#N/A</v>
      </c>
      <c r="X33" s="1303"/>
      <c r="Y33" s="3679"/>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79"/>
      <c r="Q34" s="1295" t="str">
        <f t="shared" si="11"/>
        <v>物业管理</v>
      </c>
      <c r="R34" s="626" t="s">
        <v>25</v>
      </c>
      <c r="S34" s="627">
        <f t="shared" si="12"/>
        <v>100</v>
      </c>
      <c r="T34" s="626" t="s">
        <v>25</v>
      </c>
      <c r="U34" s="627">
        <f t="shared" si="13"/>
        <v>100</v>
      </c>
      <c r="V34" s="626" t="s">
        <v>25</v>
      </c>
      <c r="W34" s="627">
        <f t="shared" si="14"/>
        <v>100</v>
      </c>
      <c r="X34" s="628"/>
      <c r="Y34" s="3679"/>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79" t="s">
        <v>2217</v>
      </c>
      <c r="Q35" s="1302" t="str">
        <f t="shared" si="11"/>
        <v>市政基础设施</v>
      </c>
      <c r="R35" s="630" t="s">
        <v>25</v>
      </c>
      <c r="S35" s="631">
        <f t="shared" si="12"/>
        <v>100</v>
      </c>
      <c r="T35" s="630" t="s">
        <v>25</v>
      </c>
      <c r="U35" s="631">
        <f t="shared" si="13"/>
        <v>100</v>
      </c>
      <c r="V35" s="630" t="s">
        <v>25</v>
      </c>
      <c r="W35" s="631">
        <f t="shared" si="14"/>
        <v>100</v>
      </c>
      <c r="X35" s="1303"/>
      <c r="Y35" s="3679"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79"/>
      <c r="Q36" s="1302" t="str">
        <f t="shared" si="11"/>
        <v>内部装修</v>
      </c>
      <c r="R36" s="630" t="s">
        <v>25</v>
      </c>
      <c r="S36" s="631">
        <f t="shared" si="12"/>
        <v>100</v>
      </c>
      <c r="T36" s="630" t="s">
        <v>25</v>
      </c>
      <c r="U36" s="631">
        <f t="shared" si="13"/>
        <v>100</v>
      </c>
      <c r="V36" s="630" t="s">
        <v>25</v>
      </c>
      <c r="W36" s="631">
        <f t="shared" si="14"/>
        <v>100</v>
      </c>
      <c r="X36" s="1303"/>
      <c r="Y36" s="3679"/>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79"/>
      <c r="Q37" s="1302" t="str">
        <f t="shared" si="11"/>
        <v>内部装修状况</v>
      </c>
      <c r="R37" s="630" t="s">
        <v>25</v>
      </c>
      <c r="S37" s="631">
        <f t="shared" si="12"/>
        <v>100</v>
      </c>
      <c r="T37" s="630" t="s">
        <v>25</v>
      </c>
      <c r="U37" s="631">
        <f t="shared" si="13"/>
        <v>100</v>
      </c>
      <c r="V37" s="630" t="s">
        <v>25</v>
      </c>
      <c r="W37" s="631">
        <f t="shared" si="14"/>
        <v>100</v>
      </c>
      <c r="X37" s="1303"/>
      <c r="Y37" s="3679"/>
      <c r="Z37" s="1304" t="str">
        <f t="shared" si="15"/>
        <v>内部装修状况</v>
      </c>
      <c r="AA37" s="1305">
        <f t="shared" si="3"/>
        <v>1</v>
      </c>
      <c r="AB37" s="1305">
        <f t="shared" si="4"/>
        <v>1</v>
      </c>
      <c r="AC37" s="1305">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79"/>
      <c r="Q38" s="632">
        <f t="shared" si="11"/>
        <v>111</v>
      </c>
      <c r="R38" s="633" t="s">
        <v>25</v>
      </c>
      <c r="S38" s="634">
        <f t="shared" si="12"/>
        <v>100</v>
      </c>
      <c r="T38" s="633" t="s">
        <v>25</v>
      </c>
      <c r="U38" s="634">
        <f t="shared" si="13"/>
        <v>100</v>
      </c>
      <c r="V38" s="633" t="s">
        <v>25</v>
      </c>
      <c r="W38" s="634">
        <f t="shared" si="14"/>
        <v>100</v>
      </c>
      <c r="X38" s="635"/>
      <c r="Y38" s="3679"/>
      <c r="Z38" s="636">
        <f t="shared" si="15"/>
        <v>111</v>
      </c>
      <c r="AA38" s="1305">
        <f t="shared" si="3"/>
        <v>1</v>
      </c>
      <c r="AB38" s="1305">
        <f t="shared" si="4"/>
        <v>1</v>
      </c>
      <c r="AC38" s="1305">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79"/>
      <c r="Q39" s="1302">
        <f t="shared" si="11"/>
        <v>111</v>
      </c>
      <c r="R39" s="630" t="s">
        <v>25</v>
      </c>
      <c r="S39" s="631">
        <f t="shared" si="12"/>
        <v>100</v>
      </c>
      <c r="T39" s="630" t="s">
        <v>25</v>
      </c>
      <c r="U39" s="631">
        <f t="shared" si="13"/>
        <v>100</v>
      </c>
      <c r="V39" s="630" t="s">
        <v>25</v>
      </c>
      <c r="W39" s="631">
        <f t="shared" si="14"/>
        <v>100</v>
      </c>
      <c r="X39" s="1303"/>
      <c r="Y39" s="3679"/>
      <c r="Z39" s="1304">
        <f t="shared" si="15"/>
        <v>111</v>
      </c>
      <c r="AA39" s="1305">
        <f t="shared" si="3"/>
        <v>1</v>
      </c>
      <c r="AB39" s="1305">
        <f t="shared" si="4"/>
        <v>1</v>
      </c>
      <c r="AC39" s="1305">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80"/>
      <c r="Q40" s="1302">
        <f t="shared" si="11"/>
        <v>111</v>
      </c>
      <c r="R40" s="630" t="s">
        <v>25</v>
      </c>
      <c r="S40" s="631">
        <f t="shared" si="12"/>
        <v>100</v>
      </c>
      <c r="T40" s="630" t="s">
        <v>25</v>
      </c>
      <c r="U40" s="631">
        <f t="shared" si="13"/>
        <v>100</v>
      </c>
      <c r="V40" s="630" t="s">
        <v>25</v>
      </c>
      <c r="W40" s="631">
        <f t="shared" si="14"/>
        <v>100</v>
      </c>
      <c r="X40" s="1303"/>
      <c r="Y40" s="3680"/>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3"/>
      <c r="N41" s="2992"/>
      <c r="P41" s="3673" t="str">
        <f>A41</f>
        <v>成交单价（元/平方米）</v>
      </c>
      <c r="Q41" s="3673"/>
      <c r="R41" s="3674">
        <f>E41</f>
        <v>0</v>
      </c>
      <c r="S41" s="3674"/>
      <c r="T41" s="3674">
        <f>G41</f>
        <v>0</v>
      </c>
      <c r="U41" s="3674"/>
      <c r="V41" s="3674">
        <f>I41</f>
        <v>0</v>
      </c>
      <c r="W41" s="3674"/>
      <c r="X41" s="617"/>
      <c r="Y41" s="637"/>
      <c r="Z41" s="617"/>
      <c r="AA41" s="617"/>
      <c r="AB41" s="617"/>
      <c r="AC41" s="617"/>
    </row>
    <row r="42" spans="1:29" ht="15.75" thickBot="1">
      <c r="A42" s="374" t="s">
        <v>2312</v>
      </c>
      <c r="B42" s="375"/>
      <c r="C42" s="1128" t="e">
        <f>R43</f>
        <v>#DIV/0!</v>
      </c>
      <c r="D42" s="1764" t="s">
        <v>2684</v>
      </c>
      <c r="E42" s="1129" t="e">
        <f>R42</f>
        <v>#DIV/0!</v>
      </c>
      <c r="F42" s="1766"/>
      <c r="G42" s="1128" t="e">
        <f>T42</f>
        <v>#DIV/0!</v>
      </c>
      <c r="H42" s="1766"/>
      <c r="I42" s="1129" t="e">
        <f>V42</f>
        <v>#DIV/0!</v>
      </c>
      <c r="J42" s="1766"/>
      <c r="K42" s="2478">
        <f>F42+H42+J42</f>
        <v>0</v>
      </c>
      <c r="L42" s="3003"/>
      <c r="N42" s="2992"/>
      <c r="P42" s="3673" t="str">
        <f>A42</f>
        <v>比较价值（元/平方米）</v>
      </c>
      <c r="Q42" s="3673"/>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3"/>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7"/>
      <c r="Y43" s="617"/>
      <c r="Z43" s="617"/>
      <c r="AA43" s="617"/>
      <c r="AB43" s="617"/>
      <c r="AC43" s="617"/>
    </row>
    <row r="44" spans="1:29">
      <c r="G44" s="3006"/>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19" t="s">
        <v>2317</v>
      </c>
      <c r="B51" s="617"/>
      <c r="C51" s="620"/>
      <c r="D51" s="620"/>
      <c r="E51" s="620"/>
      <c r="F51" s="621"/>
      <c r="G51" s="621"/>
      <c r="H51" s="620"/>
      <c r="I51" s="620"/>
      <c r="J51" s="620"/>
      <c r="K51" s="622"/>
      <c r="L51" s="623"/>
      <c r="M51" s="620"/>
      <c r="N51" s="3009"/>
      <c r="O51" s="3009"/>
      <c r="P51" s="389"/>
      <c r="Q51" s="390"/>
    </row>
    <row r="52" spans="1:17" s="394" customFormat="1" ht="15">
      <c r="A52" s="391" t="s">
        <v>2199</v>
      </c>
      <c r="B52" s="392"/>
      <c r="C52" s="1156" t="str">
        <f>YEAR(C7)&amp;"-"&amp;MONTH(C7)</f>
        <v>2022-8</v>
      </c>
      <c r="D52" s="1157">
        <f>EDATE(C52,-1)</f>
        <v>44743</v>
      </c>
      <c r="E52" s="1158">
        <f t="shared" ref="E52:O52" si="16">EDATE(D52,-1)</f>
        <v>44713</v>
      </c>
      <c r="F52" s="1158">
        <f t="shared" si="16"/>
        <v>44682</v>
      </c>
      <c r="G52" s="1158">
        <f t="shared" si="16"/>
        <v>44652</v>
      </c>
      <c r="H52" s="1158">
        <f t="shared" si="16"/>
        <v>44621</v>
      </c>
      <c r="I52" s="1158">
        <f t="shared" si="16"/>
        <v>44593</v>
      </c>
      <c r="J52" s="1158">
        <f t="shared" si="16"/>
        <v>44562</v>
      </c>
      <c r="K52" s="1158">
        <f t="shared" si="16"/>
        <v>44531</v>
      </c>
      <c r="L52" s="1158">
        <f t="shared" si="16"/>
        <v>44501</v>
      </c>
      <c r="M52" s="1158">
        <f t="shared" si="16"/>
        <v>44470</v>
      </c>
      <c r="N52" s="1158">
        <f t="shared" si="16"/>
        <v>44440</v>
      </c>
      <c r="O52" s="115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191"/>
      <c r="E1" s="1526"/>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70.739999999999995</v>
      </c>
      <c r="E3" s="838" t="s">
        <v>2347</v>
      </c>
      <c r="F3" s="293">
        <f>'数据-取费表'!B42</f>
        <v>0</v>
      </c>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81" t="s">
        <v>2200</v>
      </c>
      <c r="Q7" s="3689"/>
      <c r="R7" s="626" t="s">
        <v>25</v>
      </c>
      <c r="S7" s="627">
        <f t="shared" ref="S7:S14" si="0">F7</f>
        <v>0</v>
      </c>
      <c r="T7" s="626" t="s">
        <v>25</v>
      </c>
      <c r="U7" s="627">
        <f t="shared" ref="U7:U14" si="1">H7</f>
        <v>0</v>
      </c>
      <c r="V7" s="626" t="s">
        <v>25</v>
      </c>
      <c r="W7" s="627">
        <f t="shared" ref="W7:W14" si="2">J7</f>
        <v>0</v>
      </c>
      <c r="X7" s="628"/>
      <c r="Y7" s="3681" t="s">
        <v>2200</v>
      </c>
      <c r="Z7" s="3682"/>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73" t="s">
        <v>2206</v>
      </c>
      <c r="Q9" s="1295" t="str">
        <f t="shared" ref="Q9:Q14" si="6">B9</f>
        <v>用途</v>
      </c>
      <c r="R9" s="626" t="s">
        <v>25</v>
      </c>
      <c r="S9" s="627">
        <f t="shared" si="0"/>
        <v>100</v>
      </c>
      <c r="T9" s="626" t="s">
        <v>25</v>
      </c>
      <c r="U9" s="627">
        <f t="shared" si="1"/>
        <v>100</v>
      </c>
      <c r="V9" s="626" t="s">
        <v>25</v>
      </c>
      <c r="W9" s="627">
        <f t="shared" si="2"/>
        <v>100</v>
      </c>
      <c r="X9" s="628"/>
      <c r="Y9" s="3692"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73"/>
      <c r="Q11" s="1295">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90" t="s">
        <v>2211</v>
      </c>
      <c r="Q14" s="1302" t="str">
        <f t="shared" si="6"/>
        <v>交通便捷度</v>
      </c>
      <c r="R14" s="630" t="s">
        <v>25</v>
      </c>
      <c r="S14" s="631">
        <f t="shared" si="0"/>
        <v>100</v>
      </c>
      <c r="T14" s="630" t="s">
        <v>25</v>
      </c>
      <c r="U14" s="631">
        <f t="shared" si="1"/>
        <v>100</v>
      </c>
      <c r="V14" s="630" t="s">
        <v>25</v>
      </c>
      <c r="W14" s="631">
        <f t="shared" si="2"/>
        <v>100</v>
      </c>
      <c r="X14" s="1303"/>
      <c r="Y14" s="3690"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1"/>
      <c r="M15" s="2992"/>
      <c r="N15" s="2992"/>
      <c r="O15" s="3000"/>
      <c r="P15" s="3691"/>
      <c r="Q15" s="1302"/>
      <c r="R15" s="630"/>
      <c r="S15" s="631"/>
      <c r="T15" s="630"/>
      <c r="U15" s="631"/>
      <c r="V15" s="630"/>
      <c r="W15" s="631"/>
      <c r="X15" s="1303"/>
      <c r="Y15" s="3691"/>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91"/>
      <c r="Q16" s="1302" t="str">
        <f>B16</f>
        <v>公共配套设施</v>
      </c>
      <c r="R16" s="630" t="s">
        <v>25</v>
      </c>
      <c r="S16" s="631">
        <f>F16</f>
        <v>100</v>
      </c>
      <c r="T16" s="630" t="s">
        <v>25</v>
      </c>
      <c r="U16" s="631">
        <f>H16</f>
        <v>100</v>
      </c>
      <c r="V16" s="630" t="s">
        <v>25</v>
      </c>
      <c r="W16" s="631">
        <f>J16</f>
        <v>100</v>
      </c>
      <c r="X16" s="1303"/>
      <c r="Y16" s="3691"/>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1"/>
      <c r="M17" s="2992"/>
      <c r="N17" s="2992"/>
      <c r="O17" s="3000"/>
      <c r="P17" s="3691"/>
      <c r="Q17" s="1302"/>
      <c r="R17" s="630"/>
      <c r="S17" s="631"/>
      <c r="T17" s="630"/>
      <c r="U17" s="631"/>
      <c r="V17" s="630"/>
      <c r="W17" s="631"/>
      <c r="X17" s="1303"/>
      <c r="Y17" s="3691"/>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91"/>
      <c r="Q18" s="1302" t="str">
        <f>B18</f>
        <v>基础设施水平</v>
      </c>
      <c r="R18" s="630" t="s">
        <v>25</v>
      </c>
      <c r="S18" s="631">
        <f>F18</f>
        <v>100</v>
      </c>
      <c r="T18" s="630" t="s">
        <v>25</v>
      </c>
      <c r="U18" s="631">
        <f>H18</f>
        <v>100</v>
      </c>
      <c r="V18" s="630" t="s">
        <v>25</v>
      </c>
      <c r="W18" s="631">
        <f>J18</f>
        <v>100</v>
      </c>
      <c r="X18" s="1303"/>
      <c r="Y18" s="3691"/>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1"/>
      <c r="M19" s="2992"/>
      <c r="N19" s="2992"/>
      <c r="O19" s="3000"/>
      <c r="P19" s="3691"/>
      <c r="Q19" s="1302"/>
      <c r="R19" s="630"/>
      <c r="S19" s="631"/>
      <c r="T19" s="630"/>
      <c r="U19" s="631"/>
      <c r="V19" s="630"/>
      <c r="W19" s="631"/>
      <c r="X19" s="1303"/>
      <c r="Y19" s="3691"/>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91"/>
      <c r="Q20" s="1302" t="str">
        <f>B20</f>
        <v>自然及人文环境</v>
      </c>
      <c r="R20" s="630" t="s">
        <v>25</v>
      </c>
      <c r="S20" s="631">
        <f>F20</f>
        <v>100</v>
      </c>
      <c r="T20" s="630" t="s">
        <v>25</v>
      </c>
      <c r="U20" s="631">
        <f>H20</f>
        <v>100</v>
      </c>
      <c r="V20" s="630" t="s">
        <v>25</v>
      </c>
      <c r="W20" s="631">
        <f>J20</f>
        <v>100</v>
      </c>
      <c r="X20" s="1303"/>
      <c r="Y20" s="3691"/>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1"/>
      <c r="M21" s="2992"/>
      <c r="N21" s="2992"/>
      <c r="O21" s="3000"/>
      <c r="P21" s="3691"/>
      <c r="Q21" s="1302"/>
      <c r="R21" s="630"/>
      <c r="S21" s="631"/>
      <c r="T21" s="630"/>
      <c r="U21" s="631"/>
      <c r="V21" s="630"/>
      <c r="W21" s="631"/>
      <c r="X21" s="1303"/>
      <c r="Y21" s="3691"/>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91"/>
      <c r="Q22" s="1302" t="str">
        <f>B22</f>
        <v>楼层</v>
      </c>
      <c r="R22" s="630" t="s">
        <v>25</v>
      </c>
      <c r="S22" s="631">
        <f>F22</f>
        <v>100</v>
      </c>
      <c r="T22" s="630" t="s">
        <v>25</v>
      </c>
      <c r="U22" s="631">
        <f>H22</f>
        <v>100</v>
      </c>
      <c r="V22" s="630" t="s">
        <v>25</v>
      </c>
      <c r="W22" s="631">
        <f>J22</f>
        <v>100</v>
      </c>
      <c r="X22" s="1303"/>
      <c r="Y22" s="3691"/>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1"/>
      <c r="M23" s="2992"/>
      <c r="N23" s="2992"/>
      <c r="O23" s="3000"/>
      <c r="P23" s="3691"/>
      <c r="Q23" s="1302">
        <f>B23</f>
        <v>111</v>
      </c>
      <c r="R23" s="630" t="s">
        <v>25</v>
      </c>
      <c r="S23" s="631">
        <f>F23</f>
        <v>100</v>
      </c>
      <c r="T23" s="630" t="s">
        <v>25</v>
      </c>
      <c r="U23" s="631">
        <f>H23</f>
        <v>100</v>
      </c>
      <c r="V23" s="630" t="s">
        <v>25</v>
      </c>
      <c r="W23" s="631">
        <f>J23</f>
        <v>100</v>
      </c>
      <c r="X23" s="1303"/>
      <c r="Y23" s="3691"/>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1"/>
      <c r="M24" s="2992"/>
      <c r="N24" s="2992"/>
      <c r="O24" s="3000"/>
      <c r="P24" s="3691"/>
      <c r="Q24" s="1302">
        <f t="shared" ref="Q24:Q36" si="11">B24</f>
        <v>111</v>
      </c>
      <c r="R24" s="630" t="s">
        <v>25</v>
      </c>
      <c r="S24" s="631">
        <f>F24</f>
        <v>100</v>
      </c>
      <c r="T24" s="630" t="s">
        <v>25</v>
      </c>
      <c r="U24" s="631">
        <f>H24</f>
        <v>100</v>
      </c>
      <c r="V24" s="630" t="s">
        <v>25</v>
      </c>
      <c r="W24" s="631">
        <f>J24</f>
        <v>100</v>
      </c>
      <c r="X24" s="1303"/>
      <c r="Y24" s="3691"/>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91"/>
      <c r="Q25" s="1295">
        <f t="shared" si="11"/>
        <v>111</v>
      </c>
      <c r="R25" s="626" t="s">
        <v>25</v>
      </c>
      <c r="S25" s="627">
        <f>F25</f>
        <v>100</v>
      </c>
      <c r="T25" s="626" t="s">
        <v>25</v>
      </c>
      <c r="U25" s="627">
        <f>H25</f>
        <v>100</v>
      </c>
      <c r="V25" s="626" t="s">
        <v>25</v>
      </c>
      <c r="W25" s="627">
        <f>J25</f>
        <v>100</v>
      </c>
      <c r="X25" s="628"/>
      <c r="Y25" s="3691"/>
      <c r="Z25" s="19">
        <f>Q25</f>
        <v>111</v>
      </c>
      <c r="AA25" s="1305">
        <f>D25/F25</f>
        <v>1</v>
      </c>
      <c r="AB25" s="1305">
        <f>D25/H25</f>
        <v>1</v>
      </c>
      <c r="AC25" s="1305">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78"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679"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79"/>
      <c r="Q27" s="632" t="str">
        <f t="shared" si="11"/>
        <v>项目停车位配比</v>
      </c>
      <c r="R27" s="633" t="s">
        <v>25</v>
      </c>
      <c r="S27" s="634">
        <f t="shared" si="12"/>
        <v>100</v>
      </c>
      <c r="T27" s="633" t="s">
        <v>25</v>
      </c>
      <c r="U27" s="634">
        <f t="shared" si="13"/>
        <v>100</v>
      </c>
      <c r="V27" s="633" t="s">
        <v>25</v>
      </c>
      <c r="W27" s="634">
        <f t="shared" si="14"/>
        <v>100</v>
      </c>
      <c r="X27" s="635"/>
      <c r="Y27" s="3679"/>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79"/>
      <c r="Q28" s="1302" t="str">
        <f t="shared" si="11"/>
        <v>公共部分装修</v>
      </c>
      <c r="R28" s="630" t="s">
        <v>25</v>
      </c>
      <c r="S28" s="631">
        <f t="shared" si="12"/>
        <v>100</v>
      </c>
      <c r="T28" s="630" t="s">
        <v>25</v>
      </c>
      <c r="U28" s="631">
        <f t="shared" si="13"/>
        <v>100</v>
      </c>
      <c r="V28" s="630" t="s">
        <v>25</v>
      </c>
      <c r="W28" s="631">
        <f t="shared" si="14"/>
        <v>100</v>
      </c>
      <c r="X28" s="1303"/>
      <c r="Y28" s="3679"/>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79"/>
      <c r="Q29" s="1302" t="str">
        <f t="shared" si="11"/>
        <v>成新率</v>
      </c>
      <c r="R29" s="630" t="s">
        <v>25</v>
      </c>
      <c r="S29" s="631" t="e">
        <f t="shared" si="12"/>
        <v>#N/A</v>
      </c>
      <c r="T29" s="630" t="s">
        <v>25</v>
      </c>
      <c r="U29" s="631" t="e">
        <f t="shared" si="13"/>
        <v>#N/A</v>
      </c>
      <c r="V29" s="630" t="s">
        <v>25</v>
      </c>
      <c r="W29" s="631" t="e">
        <f t="shared" si="14"/>
        <v>#N/A</v>
      </c>
      <c r="X29" s="1303"/>
      <c r="Y29" s="3679"/>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79"/>
      <c r="Q30" s="1302" t="str">
        <f t="shared" si="11"/>
        <v>物业等级</v>
      </c>
      <c r="R30" s="630" t="s">
        <v>25</v>
      </c>
      <c r="S30" s="631">
        <f t="shared" si="12"/>
        <v>100</v>
      </c>
      <c r="T30" s="630" t="s">
        <v>25</v>
      </c>
      <c r="U30" s="631">
        <f t="shared" si="13"/>
        <v>100</v>
      </c>
      <c r="V30" s="630" t="s">
        <v>25</v>
      </c>
      <c r="W30" s="631">
        <f t="shared" si="14"/>
        <v>100</v>
      </c>
      <c r="X30" s="1303"/>
      <c r="Y30" s="3679"/>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79"/>
      <c r="Q31" s="1295" t="str">
        <f t="shared" si="11"/>
        <v>停车位面积</v>
      </c>
      <c r="R31" s="626" t="s">
        <v>25</v>
      </c>
      <c r="S31" s="627" t="e">
        <f t="shared" si="12"/>
        <v>#N/A</v>
      </c>
      <c r="T31" s="626" t="s">
        <v>25</v>
      </c>
      <c r="U31" s="627" t="e">
        <f t="shared" si="13"/>
        <v>#N/A</v>
      </c>
      <c r="V31" s="626" t="s">
        <v>25</v>
      </c>
      <c r="W31" s="627" t="e">
        <f t="shared" si="14"/>
        <v>#N/A</v>
      </c>
      <c r="X31" s="628"/>
      <c r="Y31" s="3679"/>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79" t="s">
        <v>2217</v>
      </c>
      <c r="Q32" s="1302" t="str">
        <f t="shared" si="11"/>
        <v>车位类型</v>
      </c>
      <c r="R32" s="630" t="s">
        <v>25</v>
      </c>
      <c r="S32" s="631">
        <f t="shared" si="12"/>
        <v>100</v>
      </c>
      <c r="T32" s="630" t="s">
        <v>25</v>
      </c>
      <c r="U32" s="631">
        <f t="shared" si="13"/>
        <v>100</v>
      </c>
      <c r="V32" s="630" t="s">
        <v>25</v>
      </c>
      <c r="W32" s="631">
        <f t="shared" si="14"/>
        <v>100</v>
      </c>
      <c r="X32" s="1303"/>
      <c r="Y32" s="3679"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79"/>
      <c r="Q33" s="1302" t="str">
        <f t="shared" si="11"/>
        <v>是否直接入户</v>
      </c>
      <c r="R33" s="630" t="s">
        <v>25</v>
      </c>
      <c r="S33" s="631">
        <f t="shared" si="12"/>
        <v>100</v>
      </c>
      <c r="T33" s="630" t="s">
        <v>25</v>
      </c>
      <c r="U33" s="631">
        <f t="shared" si="13"/>
        <v>100</v>
      </c>
      <c r="V33" s="630" t="s">
        <v>25</v>
      </c>
      <c r="W33" s="631">
        <f t="shared" si="14"/>
        <v>100</v>
      </c>
      <c r="X33" s="1303"/>
      <c r="Y33" s="3679"/>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79"/>
      <c r="Q34" s="1302">
        <f t="shared" si="11"/>
        <v>111</v>
      </c>
      <c r="R34" s="630" t="s">
        <v>25</v>
      </c>
      <c r="S34" s="631">
        <f t="shared" si="12"/>
        <v>100</v>
      </c>
      <c r="T34" s="630" t="s">
        <v>25</v>
      </c>
      <c r="U34" s="631">
        <f t="shared" si="13"/>
        <v>100</v>
      </c>
      <c r="V34" s="630" t="s">
        <v>25</v>
      </c>
      <c r="W34" s="631">
        <f t="shared" si="14"/>
        <v>100</v>
      </c>
      <c r="X34" s="1303"/>
      <c r="Y34" s="3679"/>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79"/>
      <c r="Q35" s="632">
        <f t="shared" si="11"/>
        <v>111</v>
      </c>
      <c r="R35" s="633" t="s">
        <v>25</v>
      </c>
      <c r="S35" s="634">
        <f t="shared" si="12"/>
        <v>100</v>
      </c>
      <c r="T35" s="633" t="s">
        <v>25</v>
      </c>
      <c r="U35" s="634">
        <f t="shared" si="13"/>
        <v>100</v>
      </c>
      <c r="V35" s="633" t="s">
        <v>25</v>
      </c>
      <c r="W35" s="634">
        <f t="shared" si="14"/>
        <v>100</v>
      </c>
      <c r="X35" s="635"/>
      <c r="Y35" s="3679"/>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79"/>
      <c r="Q36" s="1302">
        <f t="shared" si="11"/>
        <v>111</v>
      </c>
      <c r="R36" s="630" t="s">
        <v>25</v>
      </c>
      <c r="S36" s="631">
        <f t="shared" si="12"/>
        <v>100</v>
      </c>
      <c r="T36" s="630" t="s">
        <v>25</v>
      </c>
      <c r="U36" s="631">
        <f t="shared" si="13"/>
        <v>100</v>
      </c>
      <c r="V36" s="630" t="s">
        <v>25</v>
      </c>
      <c r="W36" s="631">
        <f t="shared" si="14"/>
        <v>100</v>
      </c>
      <c r="X36" s="1303"/>
      <c r="Y36" s="3679"/>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3"/>
      <c r="N37" s="2992"/>
      <c r="P37" s="3673" t="str">
        <f>A37</f>
        <v>成交单价</v>
      </c>
      <c r="Q37" s="3673"/>
      <c r="R37" s="3674">
        <f>E37</f>
        <v>0</v>
      </c>
      <c r="S37" s="3674"/>
      <c r="T37" s="3674">
        <f>G37</f>
        <v>0</v>
      </c>
      <c r="U37" s="3674"/>
      <c r="V37" s="3674">
        <f>I37</f>
        <v>0</v>
      </c>
      <c r="W37" s="3674"/>
      <c r="X37" s="617"/>
      <c r="Y37" s="637"/>
      <c r="Z37" s="617"/>
      <c r="AA37" s="617"/>
      <c r="AB37" s="617"/>
      <c r="AC37" s="617"/>
    </row>
    <row r="38" spans="1:29" ht="15.75" thickBot="1">
      <c r="A38" s="374" t="s">
        <v>2361</v>
      </c>
      <c r="B38" s="375" t="str">
        <f>B37</f>
        <v>元/平方米</v>
      </c>
      <c r="C38" s="1128" t="e">
        <f>R39</f>
        <v>#DIV/0!</v>
      </c>
      <c r="D38" s="1764" t="s">
        <v>2684</v>
      </c>
      <c r="E38" s="1129" t="e">
        <f>R38</f>
        <v>#DIV/0!</v>
      </c>
      <c r="F38" s="1766"/>
      <c r="G38" s="1128" t="e">
        <f>T38</f>
        <v>#DIV/0!</v>
      </c>
      <c r="H38" s="1766"/>
      <c r="I38" s="1129" t="e">
        <f>V38</f>
        <v>#DIV/0!</v>
      </c>
      <c r="J38" s="1766"/>
      <c r="K38" s="2478">
        <f>F38+H38+J38</f>
        <v>0</v>
      </c>
      <c r="L38" s="3003"/>
      <c r="P38" s="3673" t="str">
        <f>A38</f>
        <v>比较价值</v>
      </c>
      <c r="Q38" s="3673"/>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3"/>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7"/>
      <c r="Y39" s="617"/>
      <c r="Z39" s="617"/>
      <c r="AA39" s="617"/>
      <c r="AB39" s="617"/>
      <c r="AC39" s="617"/>
    </row>
    <row r="40" spans="1:29">
      <c r="G40" s="3006"/>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8"/>
      <c r="Q44" s="618"/>
      <c r="R44" s="618"/>
      <c r="S44" s="618"/>
      <c r="T44" s="618"/>
      <c r="U44" s="618"/>
      <c r="V44" s="618"/>
      <c r="W44" s="618"/>
      <c r="X44" s="618"/>
      <c r="Y44" s="618"/>
      <c r="Z44" s="618"/>
      <c r="AA44" s="618"/>
      <c r="AB44" s="618"/>
      <c r="AC44" s="618"/>
    </row>
    <row r="45" spans="1:29" s="388" customFormat="1">
      <c r="B45" s="3005"/>
      <c r="C45" s="3008"/>
      <c r="K45" s="3007"/>
      <c r="L45" s="3004"/>
      <c r="P45" s="618"/>
      <c r="Q45" s="618"/>
      <c r="R45" s="618"/>
      <c r="S45" s="618"/>
      <c r="T45" s="618"/>
      <c r="U45" s="618"/>
      <c r="V45" s="618"/>
      <c r="W45" s="618"/>
      <c r="X45" s="618"/>
      <c r="Y45" s="618"/>
      <c r="Z45" s="618"/>
      <c r="AA45" s="618"/>
      <c r="AB45" s="618"/>
      <c r="AC45" s="618"/>
    </row>
    <row r="46" spans="1:29">
      <c r="B46" s="3005"/>
      <c r="C46" s="3008"/>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2022-8</v>
      </c>
      <c r="D48" s="1157">
        <f>EDATE(C48,-1)</f>
        <v>44743</v>
      </c>
      <c r="E48" s="1157">
        <f t="shared" ref="E48:O48" si="16">EDATE(D48,-1)</f>
        <v>44713</v>
      </c>
      <c r="F48" s="1157">
        <f t="shared" si="16"/>
        <v>44682</v>
      </c>
      <c r="G48" s="1157">
        <f t="shared" si="16"/>
        <v>44652</v>
      </c>
      <c r="H48" s="1157">
        <f t="shared" si="16"/>
        <v>44621</v>
      </c>
      <c r="I48" s="1157">
        <f t="shared" si="16"/>
        <v>44593</v>
      </c>
      <c r="J48" s="1157">
        <f t="shared" si="16"/>
        <v>44562</v>
      </c>
      <c r="K48" s="1157">
        <f t="shared" si="16"/>
        <v>44531</v>
      </c>
      <c r="L48" s="1157">
        <f t="shared" si="16"/>
        <v>44501</v>
      </c>
      <c r="M48" s="1157">
        <f t="shared" si="16"/>
        <v>44470</v>
      </c>
      <c r="N48" s="1157">
        <f t="shared" si="16"/>
        <v>44440</v>
      </c>
      <c r="O48" s="1157">
        <f t="shared" si="16"/>
        <v>44409</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200"/>
      <c r="E1" s="1526" t="s">
        <v>2685</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7"/>
      <c r="E2" s="1199"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70.739999999999995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1542"/>
      <c r="F7" s="304">
        <f>SUMIF(46:46,YEAR(E7)&amp;"-"&amp;MONTH(E7),47:47)</f>
        <v>0</v>
      </c>
      <c r="G7" s="305"/>
      <c r="H7" s="304">
        <f>SUMIF(46:46,YEAR(G7)&amp;"-"&amp;MONTH(G7),47:47)</f>
        <v>0</v>
      </c>
      <c r="I7" s="305"/>
      <c r="J7" s="304">
        <f>SUMIF(46:46,YEAR(I7)&amp;"-"&amp;MONTH(I7),47:47)</f>
        <v>0</v>
      </c>
      <c r="K7" s="497"/>
      <c r="L7" s="2993"/>
      <c r="M7" s="2994"/>
      <c r="N7" s="2994"/>
      <c r="O7" s="2994"/>
      <c r="P7" s="3681" t="s">
        <v>2200</v>
      </c>
      <c r="Q7" s="3689"/>
      <c r="R7" s="626" t="s">
        <v>25</v>
      </c>
      <c r="S7" s="627">
        <f t="shared" ref="S7:S14" si="0">F7</f>
        <v>0</v>
      </c>
      <c r="T7" s="626" t="s">
        <v>25</v>
      </c>
      <c r="U7" s="627">
        <f t="shared" ref="U7:U14" si="1">H7</f>
        <v>0</v>
      </c>
      <c r="V7" s="626" t="s">
        <v>25</v>
      </c>
      <c r="W7" s="627">
        <f t="shared" ref="W7:W14" si="2">J7</f>
        <v>0</v>
      </c>
      <c r="X7" s="628"/>
      <c r="Y7" s="3681" t="s">
        <v>2200</v>
      </c>
      <c r="Z7" s="3682"/>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73" t="s">
        <v>2206</v>
      </c>
      <c r="Q9" s="1295" t="str">
        <f t="shared" ref="Q9:Q14" si="6">B9</f>
        <v>用途</v>
      </c>
      <c r="R9" s="626" t="s">
        <v>25</v>
      </c>
      <c r="S9" s="627">
        <f t="shared" si="0"/>
        <v>100</v>
      </c>
      <c r="T9" s="626" t="s">
        <v>25</v>
      </c>
      <c r="U9" s="627">
        <f t="shared" si="1"/>
        <v>100</v>
      </c>
      <c r="V9" s="626" t="s">
        <v>25</v>
      </c>
      <c r="W9" s="627">
        <f t="shared" si="2"/>
        <v>100</v>
      </c>
      <c r="X9" s="628"/>
      <c r="Y9" s="3692"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73"/>
      <c r="Q11" s="1295">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329" t="s">
        <v>2210</v>
      </c>
      <c r="B14" s="22" t="s">
        <v>2348</v>
      </c>
      <c r="C14" s="154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90" t="s">
        <v>2211</v>
      </c>
      <c r="Q14" s="1302" t="str">
        <f t="shared" si="6"/>
        <v>交通便捷度</v>
      </c>
      <c r="R14" s="630" t="s">
        <v>25</v>
      </c>
      <c r="S14" s="631">
        <f t="shared" si="0"/>
        <v>100</v>
      </c>
      <c r="T14" s="630" t="s">
        <v>25</v>
      </c>
      <c r="U14" s="631">
        <f t="shared" si="1"/>
        <v>100</v>
      </c>
      <c r="V14" s="630" t="s">
        <v>25</v>
      </c>
      <c r="W14" s="631">
        <f t="shared" si="2"/>
        <v>100</v>
      </c>
      <c r="X14" s="1303"/>
      <c r="Y14" s="3690"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1"/>
      <c r="M15" s="2992"/>
      <c r="N15" s="2992"/>
      <c r="O15" s="3000"/>
      <c r="P15" s="3691"/>
      <c r="Q15" s="1302"/>
      <c r="R15" s="630"/>
      <c r="S15" s="631"/>
      <c r="T15" s="630"/>
      <c r="U15" s="631"/>
      <c r="V15" s="630"/>
      <c r="W15" s="631"/>
      <c r="X15" s="1303"/>
      <c r="Y15" s="3691"/>
      <c r="Z15" s="1304"/>
      <c r="AA15" s="1305">
        <v>1</v>
      </c>
      <c r="AB15" s="1305">
        <v>1</v>
      </c>
      <c r="AC15" s="1305">
        <v>1</v>
      </c>
    </row>
    <row r="16" spans="1:29" ht="42.75">
      <c r="A16" s="318"/>
      <c r="B16" s="513" t="s">
        <v>2326</v>
      </c>
      <c r="C16" s="153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91"/>
      <c r="Q16" s="1302" t="str">
        <f>B16</f>
        <v>公共配套设施</v>
      </c>
      <c r="R16" s="630" t="s">
        <v>25</v>
      </c>
      <c r="S16" s="631">
        <f>F16</f>
        <v>100</v>
      </c>
      <c r="T16" s="630" t="s">
        <v>25</v>
      </c>
      <c r="U16" s="631">
        <f>H16</f>
        <v>100</v>
      </c>
      <c r="V16" s="630" t="s">
        <v>25</v>
      </c>
      <c r="W16" s="631">
        <f>J16</f>
        <v>100</v>
      </c>
      <c r="X16" s="1303"/>
      <c r="Y16" s="3691"/>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1"/>
      <c r="M17" s="2992"/>
      <c r="N17" s="2992"/>
      <c r="O17" s="3000"/>
      <c r="P17" s="3691"/>
      <c r="Q17" s="1302"/>
      <c r="R17" s="630"/>
      <c r="S17" s="631"/>
      <c r="T17" s="630"/>
      <c r="U17" s="631"/>
      <c r="V17" s="630"/>
      <c r="W17" s="631"/>
      <c r="X17" s="1303"/>
      <c r="Y17" s="3691"/>
      <c r="Z17" s="1304"/>
      <c r="AA17" s="1305">
        <v>1</v>
      </c>
      <c r="AB17" s="1305">
        <v>1</v>
      </c>
      <c r="AC17" s="1305">
        <v>1</v>
      </c>
    </row>
    <row r="18" spans="1:29" ht="28.5">
      <c r="A18" s="318"/>
      <c r="B18" s="515" t="s">
        <v>2327</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91"/>
      <c r="Q18" s="1302" t="str">
        <f>B18</f>
        <v>基础设施水平</v>
      </c>
      <c r="R18" s="630" t="s">
        <v>25</v>
      </c>
      <c r="S18" s="631">
        <f>F18</f>
        <v>100</v>
      </c>
      <c r="T18" s="630" t="s">
        <v>25</v>
      </c>
      <c r="U18" s="631">
        <f>H18</f>
        <v>100</v>
      </c>
      <c r="V18" s="630" t="s">
        <v>25</v>
      </c>
      <c r="W18" s="631">
        <f>J18</f>
        <v>100</v>
      </c>
      <c r="X18" s="1303"/>
      <c r="Y18" s="3691"/>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1"/>
      <c r="M19" s="2992"/>
      <c r="N19" s="2992"/>
      <c r="O19" s="3000"/>
      <c r="P19" s="3691"/>
      <c r="Q19" s="1302"/>
      <c r="R19" s="630"/>
      <c r="S19" s="631"/>
      <c r="T19" s="630"/>
      <c r="U19" s="631"/>
      <c r="V19" s="630"/>
      <c r="W19" s="631"/>
      <c r="X19" s="1303"/>
      <c r="Y19" s="3691"/>
      <c r="Z19" s="1304"/>
      <c r="AA19" s="1305">
        <v>1</v>
      </c>
      <c r="AB19" s="1305">
        <v>1</v>
      </c>
      <c r="AC19" s="1305">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91"/>
      <c r="Q20" s="1302" t="str">
        <f>B20</f>
        <v>自然及人文环境</v>
      </c>
      <c r="R20" s="630" t="s">
        <v>25</v>
      </c>
      <c r="S20" s="631">
        <f>F20</f>
        <v>100</v>
      </c>
      <c r="T20" s="630" t="s">
        <v>25</v>
      </c>
      <c r="U20" s="631">
        <f>H20</f>
        <v>100</v>
      </c>
      <c r="V20" s="630" t="s">
        <v>25</v>
      </c>
      <c r="W20" s="631">
        <f>J20</f>
        <v>100</v>
      </c>
      <c r="X20" s="1303"/>
      <c r="Y20" s="3691"/>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1"/>
      <c r="M21" s="2992"/>
      <c r="N21" s="2992"/>
      <c r="O21" s="3000"/>
      <c r="P21" s="3691"/>
      <c r="Q21" s="1302"/>
      <c r="R21" s="630"/>
      <c r="S21" s="631"/>
      <c r="T21" s="630"/>
      <c r="U21" s="631"/>
      <c r="V21" s="630"/>
      <c r="W21" s="631"/>
      <c r="X21" s="1303"/>
      <c r="Y21" s="3691"/>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91"/>
      <c r="Q22" s="1302" t="str">
        <f>B22</f>
        <v>楼层</v>
      </c>
      <c r="R22" s="630" t="s">
        <v>25</v>
      </c>
      <c r="S22" s="631">
        <f>F22</f>
        <v>100</v>
      </c>
      <c r="T22" s="630" t="s">
        <v>25</v>
      </c>
      <c r="U22" s="631">
        <f>H22</f>
        <v>100</v>
      </c>
      <c r="V22" s="630" t="s">
        <v>25</v>
      </c>
      <c r="W22" s="631">
        <f>J22</f>
        <v>100</v>
      </c>
      <c r="X22" s="1303"/>
      <c r="Y22" s="3691"/>
      <c r="Z22" s="1304" t="str">
        <f>Q22</f>
        <v>楼层</v>
      </c>
      <c r="AA22" s="1305">
        <f t="shared" si="3"/>
        <v>1</v>
      </c>
      <c r="AB22" s="1305">
        <f t="shared" si="4"/>
        <v>1</v>
      </c>
      <c r="AC22" s="1305">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91"/>
      <c r="Q23" s="1302">
        <f>B23</f>
        <v>111</v>
      </c>
      <c r="R23" s="630" t="s">
        <v>25</v>
      </c>
      <c r="S23" s="631">
        <f>F23</f>
        <v>100</v>
      </c>
      <c r="T23" s="630" t="s">
        <v>25</v>
      </c>
      <c r="U23" s="631">
        <f>H23</f>
        <v>100</v>
      </c>
      <c r="V23" s="630" t="s">
        <v>25</v>
      </c>
      <c r="W23" s="631">
        <f>J23</f>
        <v>100</v>
      </c>
      <c r="X23" s="1303"/>
      <c r="Y23" s="3691"/>
      <c r="Z23" s="1304">
        <f>Q23</f>
        <v>111</v>
      </c>
      <c r="AA23" s="1305">
        <f t="shared" si="3"/>
        <v>1</v>
      </c>
      <c r="AB23" s="1305">
        <f t="shared" si="4"/>
        <v>1</v>
      </c>
      <c r="AC23" s="1305">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91"/>
      <c r="Q24" s="1302">
        <f t="shared" ref="Q24:Q34" si="11">B24</f>
        <v>111</v>
      </c>
      <c r="R24" s="630" t="s">
        <v>25</v>
      </c>
      <c r="S24" s="631">
        <f>F24</f>
        <v>100</v>
      </c>
      <c r="T24" s="630" t="s">
        <v>25</v>
      </c>
      <c r="U24" s="631">
        <f>H24</f>
        <v>100</v>
      </c>
      <c r="V24" s="630" t="s">
        <v>25</v>
      </c>
      <c r="W24" s="631">
        <f>J24</f>
        <v>100</v>
      </c>
      <c r="X24" s="1303"/>
      <c r="Y24" s="3691"/>
      <c r="Z24" s="1304">
        <f>Q24</f>
        <v>111</v>
      </c>
      <c r="AA24" s="1305">
        <f t="shared" si="3"/>
        <v>1</v>
      </c>
      <c r="AB24" s="1305">
        <f t="shared" si="4"/>
        <v>1</v>
      </c>
      <c r="AC24" s="1305">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3"/>
      <c r="M25" s="2994"/>
      <c r="N25" s="2994"/>
      <c r="O25" s="2995"/>
      <c r="P25" s="3691"/>
      <c r="Q25" s="1295">
        <f t="shared" si="11"/>
        <v>111</v>
      </c>
      <c r="R25" s="626" t="s">
        <v>25</v>
      </c>
      <c r="S25" s="627">
        <f>F25</f>
        <v>100</v>
      </c>
      <c r="T25" s="626" t="s">
        <v>25</v>
      </c>
      <c r="U25" s="627">
        <f>H25</f>
        <v>100</v>
      </c>
      <c r="V25" s="626" t="s">
        <v>25</v>
      </c>
      <c r="W25" s="627">
        <f>J25</f>
        <v>100</v>
      </c>
      <c r="X25" s="628"/>
      <c r="Y25" s="3691"/>
      <c r="Z25" s="19">
        <f>Q25</f>
        <v>111</v>
      </c>
      <c r="AA25" s="1305">
        <f>D25/F25</f>
        <v>1</v>
      </c>
      <c r="AB25" s="1305">
        <f>D25/H25</f>
        <v>1</v>
      </c>
      <c r="AC25" s="1305">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3001"/>
      <c r="M26" s="2992"/>
      <c r="N26" s="2992"/>
      <c r="O26" s="3000"/>
      <c r="P26" s="3678"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679"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79"/>
      <c r="Q27" s="632" t="str">
        <f t="shared" si="11"/>
        <v>成新率</v>
      </c>
      <c r="R27" s="633" t="s">
        <v>25</v>
      </c>
      <c r="S27" s="634" t="e">
        <f t="shared" si="12"/>
        <v>#N/A</v>
      </c>
      <c r="T27" s="633" t="s">
        <v>25</v>
      </c>
      <c r="U27" s="634" t="e">
        <f t="shared" si="13"/>
        <v>#N/A</v>
      </c>
      <c r="V27" s="633" t="s">
        <v>25</v>
      </c>
      <c r="W27" s="634" t="e">
        <f t="shared" si="14"/>
        <v>#N/A</v>
      </c>
      <c r="X27" s="635"/>
      <c r="Y27" s="3679"/>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79"/>
      <c r="Q28" s="1302" t="str">
        <f t="shared" si="11"/>
        <v>物业等级</v>
      </c>
      <c r="R28" s="630" t="s">
        <v>25</v>
      </c>
      <c r="S28" s="631">
        <f t="shared" si="12"/>
        <v>100</v>
      </c>
      <c r="T28" s="630" t="s">
        <v>25</v>
      </c>
      <c r="U28" s="631">
        <f t="shared" si="13"/>
        <v>100</v>
      </c>
      <c r="V28" s="630" t="s">
        <v>25</v>
      </c>
      <c r="W28" s="631">
        <f t="shared" si="14"/>
        <v>100</v>
      </c>
      <c r="X28" s="1303"/>
      <c r="Y28" s="3679"/>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79"/>
      <c r="Q29" s="1302" t="str">
        <f t="shared" si="11"/>
        <v>有无电梯</v>
      </c>
      <c r="R29" s="630" t="s">
        <v>25</v>
      </c>
      <c r="S29" s="631">
        <f t="shared" si="12"/>
        <v>100</v>
      </c>
      <c r="T29" s="630" t="s">
        <v>25</v>
      </c>
      <c r="U29" s="631">
        <f t="shared" si="13"/>
        <v>100</v>
      </c>
      <c r="V29" s="630" t="s">
        <v>25</v>
      </c>
      <c r="W29" s="631">
        <f t="shared" si="14"/>
        <v>100</v>
      </c>
      <c r="X29" s="1303"/>
      <c r="Y29" s="3679"/>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79"/>
      <c r="Q30" s="1302" t="str">
        <f t="shared" si="11"/>
        <v>建筑面积</v>
      </c>
      <c r="R30" s="630" t="s">
        <v>25</v>
      </c>
      <c r="S30" s="631" t="e">
        <f t="shared" si="12"/>
        <v>#N/A</v>
      </c>
      <c r="T30" s="630" t="s">
        <v>25</v>
      </c>
      <c r="U30" s="631" t="e">
        <f t="shared" si="13"/>
        <v>#N/A</v>
      </c>
      <c r="V30" s="630" t="s">
        <v>25</v>
      </c>
      <c r="W30" s="631" t="e">
        <f t="shared" si="14"/>
        <v>#N/A</v>
      </c>
      <c r="X30" s="1303"/>
      <c r="Y30" s="3679"/>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79"/>
      <c r="Q31" s="1295" t="str">
        <f t="shared" si="11"/>
        <v>是否封闭</v>
      </c>
      <c r="R31" s="626" t="s">
        <v>25</v>
      </c>
      <c r="S31" s="627">
        <f t="shared" si="12"/>
        <v>100</v>
      </c>
      <c r="T31" s="626" t="s">
        <v>25</v>
      </c>
      <c r="U31" s="627">
        <f t="shared" si="13"/>
        <v>100</v>
      </c>
      <c r="V31" s="626" t="s">
        <v>25</v>
      </c>
      <c r="W31" s="627">
        <f t="shared" si="14"/>
        <v>100</v>
      </c>
      <c r="X31" s="628"/>
      <c r="Y31" s="3679"/>
      <c r="Z31" s="19" t="str">
        <f t="shared" si="15"/>
        <v>是否封闭</v>
      </c>
      <c r="AA31" s="629">
        <f t="shared" si="3"/>
        <v>1</v>
      </c>
      <c r="AB31" s="629">
        <f t="shared" si="4"/>
        <v>1</v>
      </c>
      <c r="AC31" s="629">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79" t="s">
        <v>2217</v>
      </c>
      <c r="Q32" s="1302">
        <f t="shared" si="11"/>
        <v>111</v>
      </c>
      <c r="R32" s="630" t="s">
        <v>25</v>
      </c>
      <c r="S32" s="631">
        <f t="shared" si="12"/>
        <v>100</v>
      </c>
      <c r="T32" s="630" t="s">
        <v>25</v>
      </c>
      <c r="U32" s="631">
        <f t="shared" si="13"/>
        <v>100</v>
      </c>
      <c r="V32" s="630" t="s">
        <v>25</v>
      </c>
      <c r="W32" s="631">
        <f t="shared" si="14"/>
        <v>100</v>
      </c>
      <c r="X32" s="1303"/>
      <c r="Y32" s="3679" t="s">
        <v>2217</v>
      </c>
      <c r="Z32" s="1304">
        <f t="shared" si="15"/>
        <v>111</v>
      </c>
      <c r="AA32" s="1305">
        <f t="shared" si="3"/>
        <v>1</v>
      </c>
      <c r="AB32" s="1305">
        <f t="shared" si="4"/>
        <v>1</v>
      </c>
      <c r="AC32" s="1305">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79"/>
      <c r="Q33" s="1302">
        <f t="shared" si="11"/>
        <v>111</v>
      </c>
      <c r="R33" s="630" t="s">
        <v>25</v>
      </c>
      <c r="S33" s="631">
        <f t="shared" si="12"/>
        <v>100</v>
      </c>
      <c r="T33" s="630" t="s">
        <v>25</v>
      </c>
      <c r="U33" s="631">
        <f t="shared" si="13"/>
        <v>100</v>
      </c>
      <c r="V33" s="630" t="s">
        <v>25</v>
      </c>
      <c r="W33" s="631">
        <f t="shared" si="14"/>
        <v>100</v>
      </c>
      <c r="X33" s="1303"/>
      <c r="Y33" s="3679"/>
      <c r="Z33" s="1304">
        <f t="shared" si="15"/>
        <v>111</v>
      </c>
      <c r="AA33" s="1305">
        <f t="shared" si="3"/>
        <v>1</v>
      </c>
      <c r="AB33" s="1305">
        <f t="shared" si="4"/>
        <v>1</v>
      </c>
      <c r="AC33" s="1305">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1"/>
      <c r="M34" s="2992"/>
      <c r="N34" s="2992"/>
      <c r="O34" s="3000"/>
      <c r="P34" s="3679"/>
      <c r="Q34" s="1302">
        <f t="shared" si="11"/>
        <v>111</v>
      </c>
      <c r="R34" s="630" t="s">
        <v>25</v>
      </c>
      <c r="S34" s="631">
        <f t="shared" si="12"/>
        <v>100</v>
      </c>
      <c r="T34" s="630" t="s">
        <v>25</v>
      </c>
      <c r="U34" s="631">
        <f t="shared" si="13"/>
        <v>100</v>
      </c>
      <c r="V34" s="630" t="s">
        <v>25</v>
      </c>
      <c r="W34" s="631">
        <f t="shared" si="14"/>
        <v>100</v>
      </c>
      <c r="X34" s="1303"/>
      <c r="Y34" s="3679"/>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3"/>
      <c r="N35" s="2992"/>
      <c r="P35" s="3673" t="str">
        <f>A35</f>
        <v>成交单价（元/平方米）</v>
      </c>
      <c r="Q35" s="3673"/>
      <c r="R35" s="3674">
        <f>E35</f>
        <v>0</v>
      </c>
      <c r="S35" s="3674"/>
      <c r="T35" s="3674">
        <f>G35</f>
        <v>0</v>
      </c>
      <c r="U35" s="3674"/>
      <c r="V35" s="3674">
        <f>I35</f>
        <v>0</v>
      </c>
      <c r="W35" s="3674"/>
      <c r="X35" s="617"/>
      <c r="Y35" s="637"/>
      <c r="Z35" s="617"/>
      <c r="AA35" s="617"/>
      <c r="AB35" s="617"/>
      <c r="AC35" s="617"/>
    </row>
    <row r="36" spans="1:29" ht="15.75" thickBot="1">
      <c r="A36" s="374" t="s">
        <v>2312</v>
      </c>
      <c r="B36" s="375"/>
      <c r="C36" s="1128" t="e">
        <f>R37</f>
        <v>#DIV/0!</v>
      </c>
      <c r="D36" s="1764" t="s">
        <v>2684</v>
      </c>
      <c r="E36" s="1129" t="e">
        <f>R36</f>
        <v>#DIV/0!</v>
      </c>
      <c r="F36" s="1766"/>
      <c r="G36" s="1128" t="e">
        <f>T36</f>
        <v>#DIV/0!</v>
      </c>
      <c r="H36" s="1766"/>
      <c r="I36" s="1129" t="e">
        <f>V36</f>
        <v>#DIV/0!</v>
      </c>
      <c r="J36" s="1766"/>
      <c r="K36" s="2478">
        <f>F36+H36+J36</f>
        <v>0</v>
      </c>
      <c r="L36" s="3003"/>
      <c r="N36" s="2992"/>
      <c r="P36" s="3673" t="str">
        <f>A36</f>
        <v>比较价值（元/平方米）</v>
      </c>
      <c r="Q36" s="3673"/>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3"/>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7"/>
      <c r="Y37" s="617"/>
      <c r="Z37" s="617"/>
      <c r="AA37" s="617"/>
      <c r="AB37" s="617"/>
      <c r="AC37" s="617"/>
    </row>
    <row r="38" spans="1:29">
      <c r="G38" s="3006"/>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19" t="s">
        <v>2317</v>
      </c>
      <c r="B45" s="617"/>
      <c r="C45" s="620"/>
      <c r="D45" s="620"/>
      <c r="E45" s="620"/>
      <c r="F45" s="621"/>
      <c r="G45" s="621"/>
      <c r="H45" s="620"/>
      <c r="I45" s="620"/>
      <c r="J45" s="620"/>
      <c r="K45" s="622"/>
      <c r="L45" s="623"/>
      <c r="M45" s="620"/>
      <c r="N45" s="3009"/>
      <c r="O45" s="3009"/>
      <c r="P45" s="389"/>
      <c r="Q45" s="390"/>
    </row>
    <row r="46" spans="1:29" s="394" customFormat="1" ht="15">
      <c r="A46" s="391" t="s">
        <v>2199</v>
      </c>
      <c r="B46" s="392"/>
      <c r="C46" s="1156" t="str">
        <f>YEAR(C7)&amp;"-"&amp;MONTH(C7)</f>
        <v>2022-8</v>
      </c>
      <c r="D46" s="1157">
        <f>EDATE(C46,-1)</f>
        <v>44743</v>
      </c>
      <c r="E46" s="1157">
        <f t="shared" ref="E46:O46" si="16">EDATE(D46,-1)</f>
        <v>44713</v>
      </c>
      <c r="F46" s="1157">
        <f t="shared" si="16"/>
        <v>44682</v>
      </c>
      <c r="G46" s="1157">
        <f t="shared" si="16"/>
        <v>44652</v>
      </c>
      <c r="H46" s="1157">
        <f t="shared" si="16"/>
        <v>44621</v>
      </c>
      <c r="I46" s="1157">
        <f t="shared" si="16"/>
        <v>44593</v>
      </c>
      <c r="J46" s="1157">
        <f t="shared" si="16"/>
        <v>44562</v>
      </c>
      <c r="K46" s="1157">
        <f t="shared" si="16"/>
        <v>44531</v>
      </c>
      <c r="L46" s="1157">
        <f t="shared" si="16"/>
        <v>44501</v>
      </c>
      <c r="M46" s="1157">
        <f t="shared" si="16"/>
        <v>44470</v>
      </c>
      <c r="N46" s="1157">
        <f t="shared" si="16"/>
        <v>44440</v>
      </c>
      <c r="O46" s="1157">
        <f t="shared" si="16"/>
        <v>44409</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8"/>
      <c r="E2" s="2978"/>
      <c r="F2" s="2977"/>
      <c r="G2" s="2978"/>
      <c r="H2" s="2978"/>
      <c r="I2" s="2978"/>
      <c r="J2" s="2978"/>
      <c r="K2" s="2979"/>
      <c r="L2" s="2980"/>
      <c r="M2" s="2978"/>
      <c r="N2" s="2978"/>
      <c r="O2" s="2978"/>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8"/>
      <c r="E3" s="2978"/>
      <c r="F3" s="2977"/>
      <c r="G3" s="2978"/>
      <c r="H3" s="2978"/>
      <c r="I3" s="2978"/>
      <c r="J3" s="2978"/>
      <c r="K3" s="2979"/>
      <c r="L3" s="2980"/>
      <c r="M3" s="2978"/>
      <c r="N3" s="2978"/>
      <c r="O3" s="2978"/>
      <c r="P3" s="1924"/>
      <c r="Q3" s="1924"/>
      <c r="R3" s="1924"/>
      <c r="S3" s="1924"/>
      <c r="T3" s="1924"/>
      <c r="U3" s="1924"/>
      <c r="V3" s="1924"/>
      <c r="W3" s="1924"/>
      <c r="X3" s="1924"/>
      <c r="Y3" s="1924"/>
      <c r="Z3" s="1924"/>
      <c r="AA3" s="1924"/>
      <c r="AB3" s="1931"/>
      <c r="AC3" s="1932"/>
    </row>
    <row r="4" spans="1:30"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1633"/>
      <c r="Y4" s="3642" t="s">
        <v>2192</v>
      </c>
      <c r="Z4" s="3643"/>
      <c r="AA4" s="3650" t="s">
        <v>2188</v>
      </c>
      <c r="AB4" s="3651" t="s">
        <v>2189</v>
      </c>
      <c r="AC4" s="3650" t="s">
        <v>2190</v>
      </c>
    </row>
    <row r="5" spans="1:30" ht="15">
      <c r="A5" s="1635"/>
      <c r="B5" s="1636"/>
      <c r="C5" s="3638" t="s">
        <v>2193</v>
      </c>
      <c r="D5" s="3639"/>
      <c r="E5" s="3664" t="s">
        <v>2194</v>
      </c>
      <c r="F5" s="3665"/>
      <c r="G5" s="3638" t="s">
        <v>2195</v>
      </c>
      <c r="H5" s="3639"/>
      <c r="I5" s="3638" t="s">
        <v>2196</v>
      </c>
      <c r="J5" s="3639"/>
      <c r="K5" s="1933"/>
      <c r="L5" s="2963"/>
      <c r="M5" s="2964"/>
      <c r="N5" s="2964"/>
      <c r="O5" s="2964"/>
      <c r="P5" s="3659"/>
      <c r="Q5" s="3660"/>
      <c r="R5" s="3644"/>
      <c r="S5" s="3645"/>
      <c r="T5" s="3644"/>
      <c r="U5" s="3645"/>
      <c r="V5" s="3663"/>
      <c r="W5" s="3663"/>
      <c r="X5" s="1633"/>
      <c r="Y5" s="3644"/>
      <c r="Z5" s="3645"/>
      <c r="AA5" s="3651"/>
      <c r="AB5" s="3651"/>
      <c r="AC5" s="3651"/>
    </row>
    <row r="6" spans="1:30"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1633"/>
      <c r="Y6" s="3646"/>
      <c r="Z6" s="3647"/>
      <c r="AA6" s="3652"/>
      <c r="AB6" s="3652"/>
      <c r="AC6" s="3652"/>
    </row>
    <row r="7" spans="1:30" s="1652" customFormat="1" ht="15.75" thickBot="1">
      <c r="A7" s="1640" t="s">
        <v>2199</v>
      </c>
      <c r="B7" s="1641"/>
      <c r="C7" s="1642">
        <f>'数据-取费表'!B2</f>
        <v>44777</v>
      </c>
      <c r="D7" s="1643">
        <v>100</v>
      </c>
      <c r="E7" s="1644"/>
      <c r="F7" s="1645">
        <f>SUMIF(70:70,YEAR(E7)&amp;"-"&amp;INT((MONTH(E7)+2)/3),71:71)</f>
        <v>0</v>
      </c>
      <c r="G7" s="1934"/>
      <c r="H7" s="1643">
        <f>SUMIF(70:70,YEAR(G7)&amp;"-"&amp;INT((MONTH(G7)+2)/3),71:71)</f>
        <v>0</v>
      </c>
      <c r="I7" s="1934"/>
      <c r="J7" s="1643">
        <f>SUMIF(70:70,YEAR(I7)&amp;"-"&amp;INT((MONTH(I7)+2)/3),71:71)</f>
        <v>0</v>
      </c>
      <c r="K7" s="1935"/>
      <c r="L7" s="2963"/>
      <c r="M7" s="2936"/>
      <c r="N7" s="2936"/>
      <c r="O7" s="2936"/>
      <c r="P7" s="3640" t="s">
        <v>2200</v>
      </c>
      <c r="Q7" s="3648"/>
      <c r="R7" s="1648" t="s">
        <v>25</v>
      </c>
      <c r="S7" s="1649">
        <f t="shared" ref="S7:S15" si="0">F7</f>
        <v>0</v>
      </c>
      <c r="T7" s="1648" t="s">
        <v>25</v>
      </c>
      <c r="U7" s="1649">
        <f t="shared" ref="U7:U15" si="1">H7</f>
        <v>0</v>
      </c>
      <c r="V7" s="1648" t="s">
        <v>25</v>
      </c>
      <c r="W7" s="1649">
        <f t="shared" ref="W7:W15" si="2">J7</f>
        <v>0</v>
      </c>
      <c r="X7" s="1650"/>
      <c r="Y7" s="3640" t="s">
        <v>2200</v>
      </c>
      <c r="Z7" s="3641"/>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3"/>
      <c r="M8" s="2936"/>
      <c r="N8" s="2936"/>
      <c r="O8" s="2936"/>
      <c r="P8" s="3640" t="s">
        <v>2203</v>
      </c>
      <c r="Q8" s="3641"/>
      <c r="R8" s="1648" t="s">
        <v>25</v>
      </c>
      <c r="S8" s="1649">
        <f t="shared" si="0"/>
        <v>0</v>
      </c>
      <c r="T8" s="1648" t="s">
        <v>25</v>
      </c>
      <c r="U8" s="1649">
        <f t="shared" si="1"/>
        <v>0</v>
      </c>
      <c r="V8" s="1648" t="s">
        <v>25</v>
      </c>
      <c r="W8" s="1649">
        <f t="shared" si="2"/>
        <v>0</v>
      </c>
      <c r="X8" s="1650"/>
      <c r="Y8" s="3640" t="s">
        <v>2203</v>
      </c>
      <c r="Z8" s="3641"/>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3"/>
      <c r="M9" s="2936"/>
      <c r="N9" s="2936"/>
      <c r="O9" s="3010"/>
      <c r="P9" s="3626" t="s">
        <v>2206</v>
      </c>
      <c r="Q9" s="160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106</v>
      </c>
      <c r="G10" s="1725"/>
      <c r="H10" s="1665">
        <f>ROUND(100/'数据-取费表'!B14,0)</f>
        <v>106</v>
      </c>
      <c r="I10" s="1725"/>
      <c r="J10" s="1665">
        <f>ROUND(100/'数据-取费表'!B14,0)</f>
        <v>106</v>
      </c>
      <c r="K10" s="1937"/>
      <c r="L10" s="2965"/>
      <c r="M10" s="2966"/>
      <c r="N10" s="2966"/>
      <c r="O10" s="3011"/>
      <c r="P10" s="3626"/>
      <c r="Q10" s="1602" t="str">
        <f t="shared" si="6"/>
        <v>土地使用年限（年）</v>
      </c>
      <c r="R10" s="1648" t="s">
        <v>25</v>
      </c>
      <c r="S10" s="1649">
        <f t="shared" si="0"/>
        <v>106</v>
      </c>
      <c r="T10" s="1648" t="s">
        <v>25</v>
      </c>
      <c r="U10" s="1649">
        <f t="shared" si="1"/>
        <v>106</v>
      </c>
      <c r="V10" s="1648" t="s">
        <v>25</v>
      </c>
      <c r="W10" s="1649">
        <f t="shared" si="2"/>
        <v>106</v>
      </c>
      <c r="X10" s="1650"/>
      <c r="Y10" s="3534"/>
      <c r="Z10" s="1661" t="str">
        <f t="shared" si="7"/>
        <v>土地使用年限（年）</v>
      </c>
      <c r="AA10" s="1651">
        <f t="shared" si="3"/>
        <v>0.94339622641509435</v>
      </c>
      <c r="AB10" s="1651">
        <f t="shared" si="4"/>
        <v>0.94339622641509435</v>
      </c>
      <c r="AC10" s="1651">
        <f t="shared" si="5"/>
        <v>0.94339622641509435</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7"/>
      <c r="M11" s="2964"/>
      <c r="N11" s="2964"/>
      <c r="O11" s="3012"/>
      <c r="P11" s="3626"/>
      <c r="Q11" s="1602" t="str">
        <f t="shared" si="6"/>
        <v>容积率</v>
      </c>
      <c r="R11" s="1648" t="s">
        <v>25</v>
      </c>
      <c r="S11" s="1649" t="e">
        <f t="shared" si="0"/>
        <v>#N/A</v>
      </c>
      <c r="T11" s="1648" t="s">
        <v>25</v>
      </c>
      <c r="U11" s="1649" t="e">
        <f t="shared" si="1"/>
        <v>#N/A</v>
      </c>
      <c r="V11" s="1648" t="s">
        <v>25</v>
      </c>
      <c r="W11" s="1649" t="e">
        <f t="shared" si="2"/>
        <v>#N/A</v>
      </c>
      <c r="X11" s="1650"/>
      <c r="Y11" s="3534"/>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3"/>
      <c r="M12" s="2936"/>
      <c r="N12" s="2936"/>
      <c r="O12" s="3010"/>
      <c r="P12" s="3626"/>
      <c r="Q12" s="1602" t="str">
        <f t="shared" si="6"/>
        <v>配建</v>
      </c>
      <c r="R12" s="1648" t="s">
        <v>25</v>
      </c>
      <c r="S12" s="1649">
        <f t="shared" si="0"/>
        <v>100</v>
      </c>
      <c r="T12" s="1648" t="s">
        <v>25</v>
      </c>
      <c r="U12" s="1649">
        <f t="shared" si="1"/>
        <v>100</v>
      </c>
      <c r="V12" s="1648" t="s">
        <v>25</v>
      </c>
      <c r="W12" s="1649">
        <f t="shared" si="2"/>
        <v>100</v>
      </c>
      <c r="X12" s="1650"/>
      <c r="Y12" s="3534"/>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8"/>
      <c r="M13" s="2964"/>
      <c r="N13" s="2964"/>
      <c r="O13" s="3012"/>
      <c r="P13" s="3626"/>
      <c r="Q13" s="1602">
        <f t="shared" si="6"/>
        <v>111</v>
      </c>
      <c r="R13" s="1648" t="s">
        <v>25</v>
      </c>
      <c r="S13" s="1649">
        <f t="shared" si="0"/>
        <v>100</v>
      </c>
      <c r="T13" s="1648" t="s">
        <v>25</v>
      </c>
      <c r="U13" s="1649">
        <f t="shared" si="1"/>
        <v>100</v>
      </c>
      <c r="V13" s="1648" t="s">
        <v>25</v>
      </c>
      <c r="W13" s="1649">
        <f t="shared" si="2"/>
        <v>100</v>
      </c>
      <c r="X13" s="1650"/>
      <c r="Y13" s="3534"/>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8"/>
      <c r="M14" s="2964"/>
      <c r="N14" s="2964"/>
      <c r="O14" s="3012"/>
      <c r="P14" s="3626"/>
      <c r="Q14" s="1602">
        <f t="shared" si="6"/>
        <v>111</v>
      </c>
      <c r="R14" s="1648" t="s">
        <v>25</v>
      </c>
      <c r="S14" s="1649">
        <f t="shared" si="0"/>
        <v>100</v>
      </c>
      <c r="T14" s="1648" t="s">
        <v>25</v>
      </c>
      <c r="U14" s="1649">
        <f t="shared" si="1"/>
        <v>100</v>
      </c>
      <c r="V14" s="1648" t="s">
        <v>25</v>
      </c>
      <c r="W14" s="1649">
        <f t="shared" si="2"/>
        <v>100</v>
      </c>
      <c r="X14" s="1650"/>
      <c r="Y14" s="3534"/>
      <c r="Z14" s="1661">
        <f t="shared" si="7"/>
        <v>111</v>
      </c>
      <c r="AA14" s="1651">
        <f>D14/F14</f>
        <v>1</v>
      </c>
      <c r="AB14" s="1651">
        <f>D14/H14</f>
        <v>1</v>
      </c>
      <c r="AC14" s="1651">
        <f>D14/J14</f>
        <v>1</v>
      </c>
    </row>
    <row r="15" spans="1:30" ht="99.75">
      <c r="A15" s="1630" t="s">
        <v>2210</v>
      </c>
      <c r="B15" s="1940" t="s">
        <v>1646</v>
      </c>
      <c r="C15" s="1941" t="str">
        <f>估价对象房地状况!C15</f>
        <v>估价对象周边居住用地比例、居住小区规模和社区发展完善程度，综合评价居住社区成熟度一般</v>
      </c>
      <c r="D15" s="1688">
        <v>100</v>
      </c>
      <c r="E15" s="1689"/>
      <c r="F15" s="1688">
        <f>SUMIF(88:88,E16,89:89)-SUMIF(88:88,C16,89:89)+100</f>
        <v>100</v>
      </c>
      <c r="G15" s="1689"/>
      <c r="H15" s="1688">
        <f>SUMIF(88:88,G16,89:89)-SUMIF(88:88,C16,89:89)+100</f>
        <v>100</v>
      </c>
      <c r="I15" s="1691"/>
      <c r="J15" s="1688">
        <f>SUMIF(88:88,I16,89:89)-SUMIF(88:88,C16,89:89)+100</f>
        <v>100</v>
      </c>
      <c r="K15" s="1938"/>
      <c r="L15" s="2968"/>
      <c r="M15" s="2964"/>
      <c r="N15" s="2964"/>
      <c r="O15" s="3012"/>
      <c r="P15" s="3629" t="s">
        <v>2211</v>
      </c>
      <c r="Q15" s="1583" t="str">
        <f t="shared" si="6"/>
        <v>居住社区成熟度</v>
      </c>
      <c r="R15" s="1693" t="s">
        <v>25</v>
      </c>
      <c r="S15" s="1694">
        <f t="shared" si="0"/>
        <v>100</v>
      </c>
      <c r="T15" s="1693" t="s">
        <v>25</v>
      </c>
      <c r="U15" s="1694">
        <f t="shared" si="1"/>
        <v>100</v>
      </c>
      <c r="V15" s="1693" t="s">
        <v>25</v>
      </c>
      <c r="W15" s="1694">
        <f t="shared" si="2"/>
        <v>100</v>
      </c>
      <c r="X15" s="1633"/>
      <c r="Y15" s="3629"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8"/>
      <c r="M16" s="2964"/>
      <c r="N16" s="2964"/>
      <c r="O16" s="3012"/>
      <c r="P16" s="3630"/>
      <c r="Q16" s="1583"/>
      <c r="R16" s="1693"/>
      <c r="S16" s="1694"/>
      <c r="T16" s="1693"/>
      <c r="U16" s="1694"/>
      <c r="V16" s="1693"/>
      <c r="W16" s="1694"/>
      <c r="X16" s="1633"/>
      <c r="Y16" s="3630"/>
      <c r="Z16" s="1695"/>
      <c r="AA16" s="1696">
        <v>1</v>
      </c>
      <c r="AB16" s="1696">
        <v>1</v>
      </c>
      <c r="AC16" s="1696">
        <v>1</v>
      </c>
    </row>
    <row r="17" spans="1:29" ht="71.25">
      <c r="A17" s="1635"/>
      <c r="B17" s="1944" t="s">
        <v>2296</v>
      </c>
      <c r="C17" s="1945" t="str">
        <f>估价对象房地状况!C16</f>
        <v>估价对象位于XX商圈，周边商业氛围成熟，人流量大，商业繁华度好</v>
      </c>
      <c r="D17" s="1703">
        <v>100</v>
      </c>
      <c r="E17" s="1707"/>
      <c r="F17" s="1703">
        <f>SUMIF(90:90,E18,91:91)-SUMIF(90:90,C18,91:91)+100</f>
        <v>100</v>
      </c>
      <c r="G17" s="1707"/>
      <c r="H17" s="1710">
        <f>SUMIF(90:90,G18,91:91)-SUMIF(90:90,C18,91:91)+100</f>
        <v>100</v>
      </c>
      <c r="I17" s="1709"/>
      <c r="J17" s="1710">
        <f>SUMIF(90:90,I18,91:91)-SUMIF(90:90,C18,91:91)+100</f>
        <v>100</v>
      </c>
      <c r="K17" s="1938"/>
      <c r="L17" s="2968"/>
      <c r="M17" s="2964"/>
      <c r="N17" s="2964"/>
      <c r="O17" s="3012"/>
      <c r="P17" s="3630"/>
      <c r="Q17" s="1583" t="str">
        <f>B17</f>
        <v>商业繁华度</v>
      </c>
      <c r="R17" s="1693" t="s">
        <v>25</v>
      </c>
      <c r="S17" s="1694">
        <f>F17</f>
        <v>100</v>
      </c>
      <c r="T17" s="1693" t="s">
        <v>25</v>
      </c>
      <c r="U17" s="1694">
        <f>H17</f>
        <v>100</v>
      </c>
      <c r="V17" s="1693" t="s">
        <v>25</v>
      </c>
      <c r="W17" s="1694">
        <f>J17</f>
        <v>100</v>
      </c>
      <c r="X17" s="1633"/>
      <c r="Y17" s="3630"/>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8"/>
      <c r="M18" s="2964"/>
      <c r="N18" s="2964"/>
      <c r="O18" s="3012"/>
      <c r="P18" s="3630"/>
      <c r="Q18" s="1583"/>
      <c r="R18" s="1693"/>
      <c r="S18" s="1694"/>
      <c r="T18" s="1693"/>
      <c r="U18" s="1694"/>
      <c r="V18" s="1693"/>
      <c r="W18" s="1694"/>
      <c r="X18" s="1633"/>
      <c r="Y18" s="3630"/>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8"/>
      <c r="M19" s="2964"/>
      <c r="N19" s="2964"/>
      <c r="O19" s="3012"/>
      <c r="P19" s="3630"/>
      <c r="Q19" s="1583" t="str">
        <f>B19</f>
        <v>办公集聚程度</v>
      </c>
      <c r="R19" s="1693" t="s">
        <v>25</v>
      </c>
      <c r="S19" s="1694">
        <f>F19</f>
        <v>100</v>
      </c>
      <c r="T19" s="1693" t="s">
        <v>25</v>
      </c>
      <c r="U19" s="1694">
        <f>H19</f>
        <v>100</v>
      </c>
      <c r="V19" s="1693" t="s">
        <v>25</v>
      </c>
      <c r="W19" s="1694">
        <f>J19</f>
        <v>100</v>
      </c>
      <c r="X19" s="1633"/>
      <c r="Y19" s="3630"/>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8"/>
      <c r="M20" s="2964"/>
      <c r="N20" s="2964"/>
      <c r="O20" s="3012"/>
      <c r="P20" s="3630"/>
      <c r="Q20" s="1583"/>
      <c r="R20" s="1693"/>
      <c r="S20" s="1694"/>
      <c r="T20" s="1693"/>
      <c r="U20" s="1694"/>
      <c r="V20" s="1693"/>
      <c r="W20" s="1694"/>
      <c r="X20" s="1633"/>
      <c r="Y20" s="3630"/>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估价对象周边道路状况、公共交通通达情况、停车便捷程度，综合评价交通便捷度较好</v>
      </c>
      <c r="D21" s="1703">
        <v>100</v>
      </c>
      <c r="E21" s="1707"/>
      <c r="F21" s="1710">
        <f>SUMIF(94:94,E22,95:95)-SUMIF(94:94,C22,95:95)+100</f>
        <v>100</v>
      </c>
      <c r="G21" s="1707"/>
      <c r="H21" s="1703">
        <f>SUMIF(94:94,G22,95:95)-SUMIF(94:94,C22,95:95)+100</f>
        <v>100</v>
      </c>
      <c r="I21" s="1709"/>
      <c r="J21" s="1703">
        <f>SUMIF(94:94,I22,95:95)-SUMIF(94:94,C22,95:95)+100</f>
        <v>100</v>
      </c>
      <c r="K21" s="1938"/>
      <c r="L21" s="2968"/>
      <c r="M21" s="2964"/>
      <c r="N21" s="2964"/>
      <c r="O21" s="3012"/>
      <c r="P21" s="3630"/>
      <c r="Q21" s="1583" t="str">
        <f>B21</f>
        <v>交通便捷度</v>
      </c>
      <c r="R21" s="1693" t="s">
        <v>25</v>
      </c>
      <c r="S21" s="1694">
        <f>F21</f>
        <v>100</v>
      </c>
      <c r="T21" s="1693" t="s">
        <v>25</v>
      </c>
      <c r="U21" s="1694">
        <f>H21</f>
        <v>100</v>
      </c>
      <c r="V21" s="1693" t="s">
        <v>25</v>
      </c>
      <c r="W21" s="1694">
        <f>J21</f>
        <v>100</v>
      </c>
      <c r="X21" s="1633"/>
      <c r="Y21" s="3630"/>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8"/>
      <c r="M22" s="2964"/>
      <c r="N22" s="2964"/>
      <c r="O22" s="3012"/>
      <c r="P22" s="3630"/>
      <c r="Q22" s="1583"/>
      <c r="R22" s="1693"/>
      <c r="S22" s="1694"/>
      <c r="T22" s="1693"/>
      <c r="U22" s="1694"/>
      <c r="V22" s="1693"/>
      <c r="W22" s="1694"/>
      <c r="X22" s="1633"/>
      <c r="Y22" s="3630"/>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8"/>
      <c r="M23" s="2964"/>
      <c r="N23" s="2964"/>
      <c r="O23" s="3012"/>
      <c r="P23" s="3630"/>
      <c r="Q23" s="1583" t="str">
        <f t="shared" ref="Q23:Q37" si="8">B23</f>
        <v>区域土地利用方向</v>
      </c>
      <c r="R23" s="1693" t="s">
        <v>25</v>
      </c>
      <c r="S23" s="1694">
        <f>F23</f>
        <v>100</v>
      </c>
      <c r="T23" s="1693" t="s">
        <v>25</v>
      </c>
      <c r="U23" s="1694">
        <f>H23</f>
        <v>100</v>
      </c>
      <c r="V23" s="1693" t="s">
        <v>25</v>
      </c>
      <c r="W23" s="1694">
        <f>J23</f>
        <v>100</v>
      </c>
      <c r="X23" s="1633"/>
      <c r="Y23" s="3630"/>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8"/>
      <c r="M24" s="2964"/>
      <c r="N24" s="2964"/>
      <c r="O24" s="3012"/>
      <c r="P24" s="3630"/>
      <c r="Q24" s="1583"/>
      <c r="R24" s="1693"/>
      <c r="S24" s="1694"/>
      <c r="T24" s="1693"/>
      <c r="U24" s="1694"/>
      <c r="V24" s="1693"/>
      <c r="W24" s="1694"/>
      <c r="X24" s="1633"/>
      <c r="Y24" s="3630"/>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8"/>
      <c r="M25" s="2964"/>
      <c r="N25" s="2964"/>
      <c r="O25" s="3012"/>
      <c r="P25" s="3630"/>
      <c r="Q25" s="1583" t="str">
        <f t="shared" si="8"/>
        <v>自然及人文环境状况</v>
      </c>
      <c r="R25" s="1693" t="s">
        <v>25</v>
      </c>
      <c r="S25" s="1694">
        <f>F25</f>
        <v>100</v>
      </c>
      <c r="T25" s="1693" t="s">
        <v>25</v>
      </c>
      <c r="U25" s="1694">
        <f>H25</f>
        <v>100</v>
      </c>
      <c r="V25" s="1693" t="s">
        <v>25</v>
      </c>
      <c r="W25" s="1694">
        <f>J25</f>
        <v>100</v>
      </c>
      <c r="X25" s="1633"/>
      <c r="Y25" s="3630"/>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8"/>
      <c r="M26" s="2964"/>
      <c r="N26" s="2964"/>
      <c r="O26" s="3012"/>
      <c r="P26" s="3630"/>
      <c r="Q26" s="1583"/>
      <c r="R26" s="1693"/>
      <c r="S26" s="1694"/>
      <c r="T26" s="1693"/>
      <c r="U26" s="1694"/>
      <c r="V26" s="1693"/>
      <c r="W26" s="1694"/>
      <c r="X26" s="1633"/>
      <c r="Y26" s="3630"/>
      <c r="Z26" s="1695"/>
      <c r="AA26" s="1696">
        <v>1</v>
      </c>
      <c r="AB26" s="1696">
        <v>1</v>
      </c>
      <c r="AC26" s="1696">
        <v>1</v>
      </c>
    </row>
    <row r="27" spans="1:29" ht="42.75">
      <c r="A27" s="1635"/>
      <c r="B27" s="1949" t="s">
        <v>2297</v>
      </c>
      <c r="C27" s="1948" t="str">
        <f>估价对象房地状况!C21</f>
        <v>估价对象所在区域公共配套设施齐备情况</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8"/>
      <c r="M27" s="2964"/>
      <c r="N27" s="2964"/>
      <c r="O27" s="3012"/>
      <c r="P27" s="3630"/>
      <c r="Q27" s="1602" t="str">
        <f t="shared" ref="Q27" si="9">B27</f>
        <v>公共配套设施</v>
      </c>
      <c r="R27" s="1648" t="s">
        <v>25</v>
      </c>
      <c r="S27" s="1649">
        <f>F27</f>
        <v>100</v>
      </c>
      <c r="T27" s="1648" t="s">
        <v>25</v>
      </c>
      <c r="U27" s="1649">
        <f>H27</f>
        <v>100</v>
      </c>
      <c r="V27" s="1648" t="s">
        <v>25</v>
      </c>
      <c r="W27" s="1649">
        <f>J27</f>
        <v>100</v>
      </c>
      <c r="X27" s="1633"/>
      <c r="Y27" s="3630"/>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8"/>
      <c r="M28" s="2964"/>
      <c r="N28" s="2964"/>
      <c r="O28" s="3012"/>
      <c r="P28" s="3630"/>
      <c r="Q28" s="1583"/>
      <c r="R28" s="1693"/>
      <c r="S28" s="1694"/>
      <c r="T28" s="1693"/>
      <c r="U28" s="1694"/>
      <c r="V28" s="1693"/>
      <c r="W28" s="1694"/>
      <c r="X28" s="1633"/>
      <c r="Y28" s="3630"/>
      <c r="Z28" s="1661"/>
      <c r="AA28" s="1696">
        <v>1</v>
      </c>
      <c r="AB28" s="1696">
        <v>1</v>
      </c>
      <c r="AC28" s="1696">
        <v>1</v>
      </c>
    </row>
    <row r="29" spans="1:29" s="1652" customFormat="1" ht="28.5">
      <c r="A29" s="1955"/>
      <c r="B29" s="1949" t="s">
        <v>2298</v>
      </c>
      <c r="C29" s="1956" t="str">
        <f>估价对象房地状况!C22</f>
        <v>估价对象所在区域基础设施水平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3"/>
      <c r="M29" s="2936"/>
      <c r="N29" s="2936"/>
      <c r="O29" s="3010"/>
      <c r="P29" s="3630"/>
      <c r="Q29" s="1602" t="str">
        <f t="shared" si="8"/>
        <v>基础设施水平</v>
      </c>
      <c r="R29" s="1648" t="s">
        <v>25</v>
      </c>
      <c r="S29" s="1649">
        <f>F29</f>
        <v>100</v>
      </c>
      <c r="T29" s="1648" t="s">
        <v>25</v>
      </c>
      <c r="U29" s="1649">
        <f>H29</f>
        <v>100</v>
      </c>
      <c r="V29" s="1648" t="s">
        <v>25</v>
      </c>
      <c r="W29" s="1649">
        <f>J29</f>
        <v>100</v>
      </c>
      <c r="X29" s="1650"/>
      <c r="Y29" s="3630"/>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3"/>
      <c r="M30" s="2936"/>
      <c r="N30" s="2936"/>
      <c r="O30" s="3010"/>
      <c r="P30" s="3630"/>
      <c r="Q30" s="1602"/>
      <c r="R30" s="1648"/>
      <c r="S30" s="1649"/>
      <c r="T30" s="1648"/>
      <c r="U30" s="1649"/>
      <c r="V30" s="1648"/>
      <c r="W30" s="1649"/>
      <c r="X30" s="1650"/>
      <c r="Y30" s="3630"/>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8"/>
      <c r="M31" s="2964"/>
      <c r="N31" s="2964"/>
      <c r="O31" s="3012"/>
      <c r="P31" s="3630"/>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30"/>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8"/>
      <c r="M32" s="2964"/>
      <c r="N32" s="2964"/>
      <c r="O32" s="3012"/>
      <c r="P32" s="3630"/>
      <c r="Q32" s="1583" t="str">
        <f t="shared" si="8"/>
        <v>毗邻道路的类型与等级</v>
      </c>
      <c r="R32" s="1693" t="s">
        <v>25</v>
      </c>
      <c r="S32" s="1694">
        <f t="shared" si="10"/>
        <v>100</v>
      </c>
      <c r="T32" s="1693" t="s">
        <v>25</v>
      </c>
      <c r="U32" s="1694">
        <f t="shared" si="11"/>
        <v>100</v>
      </c>
      <c r="V32" s="1693" t="s">
        <v>25</v>
      </c>
      <c r="W32" s="1694">
        <f t="shared" si="12"/>
        <v>100</v>
      </c>
      <c r="X32" s="1633"/>
      <c r="Y32" s="3630"/>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8"/>
      <c r="M33" s="2964"/>
      <c r="N33" s="2964"/>
      <c r="O33" s="3012"/>
      <c r="P33" s="3630"/>
      <c r="Q33" s="1583"/>
      <c r="R33" s="1693"/>
      <c r="S33" s="1694"/>
      <c r="T33" s="1693"/>
      <c r="U33" s="1694"/>
      <c r="V33" s="1693"/>
      <c r="W33" s="1694"/>
      <c r="X33" s="1633"/>
      <c r="Y33" s="3630"/>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8"/>
      <c r="M34" s="2964"/>
      <c r="N34" s="2964"/>
      <c r="O34" s="3012"/>
      <c r="P34" s="3630"/>
      <c r="Q34" s="1583" t="str">
        <f t="shared" si="8"/>
        <v>土地级别</v>
      </c>
      <c r="R34" s="1693" t="s">
        <v>25</v>
      </c>
      <c r="S34" s="1694">
        <f t="shared" si="10"/>
        <v>100</v>
      </c>
      <c r="T34" s="1693" t="s">
        <v>25</v>
      </c>
      <c r="U34" s="1694">
        <f t="shared" si="11"/>
        <v>100</v>
      </c>
      <c r="V34" s="1693" t="s">
        <v>25</v>
      </c>
      <c r="W34" s="1694">
        <f t="shared" si="12"/>
        <v>100</v>
      </c>
      <c r="X34" s="1633"/>
      <c r="Y34" s="3630"/>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8"/>
      <c r="M35" s="2964"/>
      <c r="N35" s="2964"/>
      <c r="O35" s="3012"/>
      <c r="P35" s="3630"/>
      <c r="Q35" s="1583">
        <f t="shared" si="8"/>
        <v>111</v>
      </c>
      <c r="R35" s="1693" t="s">
        <v>25</v>
      </c>
      <c r="S35" s="1694">
        <f t="shared" si="10"/>
        <v>100</v>
      </c>
      <c r="T35" s="1693" t="s">
        <v>25</v>
      </c>
      <c r="U35" s="1694">
        <f t="shared" si="11"/>
        <v>100</v>
      </c>
      <c r="V35" s="1693" t="s">
        <v>25</v>
      </c>
      <c r="W35" s="1694">
        <f t="shared" si="12"/>
        <v>100</v>
      </c>
      <c r="X35" s="1633"/>
      <c r="Y35" s="3630"/>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8"/>
      <c r="M36" s="2964"/>
      <c r="N36" s="2964"/>
      <c r="O36" s="3012"/>
      <c r="P36" s="3670" t="s">
        <v>2217</v>
      </c>
      <c r="Q36" s="1583">
        <f t="shared" si="8"/>
        <v>111</v>
      </c>
      <c r="R36" s="1693" t="s">
        <v>25</v>
      </c>
      <c r="S36" s="1694">
        <f t="shared" si="10"/>
        <v>100</v>
      </c>
      <c r="T36" s="1693" t="s">
        <v>25</v>
      </c>
      <c r="U36" s="1694">
        <f t="shared" si="11"/>
        <v>100</v>
      </c>
      <c r="V36" s="1693" t="s">
        <v>25</v>
      </c>
      <c r="W36" s="1694">
        <f t="shared" si="12"/>
        <v>100</v>
      </c>
      <c r="X36" s="1633"/>
      <c r="Y36" s="3634"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7"/>
      <c r="M37" s="2027"/>
      <c r="N37" s="2027"/>
      <c r="O37" s="3013"/>
      <c r="P37" s="3634"/>
      <c r="Q37" s="1583">
        <f t="shared" si="8"/>
        <v>111</v>
      </c>
      <c r="R37" s="1735" t="s">
        <v>25</v>
      </c>
      <c r="S37" s="1736">
        <f t="shared" si="10"/>
        <v>100</v>
      </c>
      <c r="T37" s="1735" t="s">
        <v>25</v>
      </c>
      <c r="U37" s="1736">
        <f t="shared" si="11"/>
        <v>100</v>
      </c>
      <c r="V37" s="1735" t="s">
        <v>25</v>
      </c>
      <c r="W37" s="1736">
        <f t="shared" si="12"/>
        <v>100</v>
      </c>
      <c r="X37" s="1737"/>
      <c r="Y37" s="3634"/>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8"/>
      <c r="M38" s="2964"/>
      <c r="N38" s="2964"/>
      <c r="O38" s="3012"/>
      <c r="P38" s="3634"/>
      <c r="Q38" s="1583" t="str">
        <f>B38</f>
        <v>宗地面积</v>
      </c>
      <c r="R38" s="1693" t="s">
        <v>25</v>
      </c>
      <c r="S38" s="1694" t="e">
        <f t="shared" si="10"/>
        <v>#N/A</v>
      </c>
      <c r="T38" s="1693" t="s">
        <v>25</v>
      </c>
      <c r="U38" s="1694" t="e">
        <f t="shared" si="11"/>
        <v>#N/A</v>
      </c>
      <c r="V38" s="1693" t="s">
        <v>25</v>
      </c>
      <c r="W38" s="1694" t="e">
        <f t="shared" si="12"/>
        <v>#N/A</v>
      </c>
      <c r="X38" s="1633"/>
      <c r="Y38" s="3634"/>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8"/>
      <c r="M39" s="2964"/>
      <c r="N39" s="2964"/>
      <c r="O39" s="3012"/>
      <c r="P39" s="3634"/>
      <c r="Q39" s="1583" t="str">
        <f t="shared" ref="Q39:Q45" si="14">B39</f>
        <v>宗地形状</v>
      </c>
      <c r="R39" s="1693" t="s">
        <v>25</v>
      </c>
      <c r="S39" s="1694">
        <f t="shared" si="10"/>
        <v>100</v>
      </c>
      <c r="T39" s="1693" t="s">
        <v>25</v>
      </c>
      <c r="U39" s="1694">
        <f t="shared" si="11"/>
        <v>100</v>
      </c>
      <c r="V39" s="1693" t="s">
        <v>25</v>
      </c>
      <c r="W39" s="1694">
        <f t="shared" si="12"/>
        <v>100</v>
      </c>
      <c r="X39" s="1633"/>
      <c r="Y39" s="3634"/>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8"/>
      <c r="M40" s="2964"/>
      <c r="N40" s="2964"/>
      <c r="O40" s="3012"/>
      <c r="P40" s="3634"/>
      <c r="Q40" s="1583" t="str">
        <f t="shared" si="14"/>
        <v>临街宽度及深度</v>
      </c>
      <c r="R40" s="1693" t="s">
        <v>25</v>
      </c>
      <c r="S40" s="1694">
        <f t="shared" si="10"/>
        <v>100</v>
      </c>
      <c r="T40" s="1693" t="s">
        <v>25</v>
      </c>
      <c r="U40" s="1694">
        <f t="shared" si="11"/>
        <v>100</v>
      </c>
      <c r="V40" s="1693" t="s">
        <v>25</v>
      </c>
      <c r="W40" s="1694">
        <f t="shared" si="12"/>
        <v>100</v>
      </c>
      <c r="X40" s="1633"/>
      <c r="Y40" s="3634"/>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3"/>
      <c r="M41" s="2936"/>
      <c r="N41" s="2936"/>
      <c r="O41" s="3010"/>
      <c r="P41" s="3634"/>
      <c r="Q41" s="1583" t="str">
        <f t="shared" si="14"/>
        <v>宗地开发程度</v>
      </c>
      <c r="R41" s="1648" t="s">
        <v>25</v>
      </c>
      <c r="S41" s="1649">
        <f t="shared" si="10"/>
        <v>100</v>
      </c>
      <c r="T41" s="1648" t="s">
        <v>25</v>
      </c>
      <c r="U41" s="1649">
        <f t="shared" si="11"/>
        <v>100</v>
      </c>
      <c r="V41" s="1648" t="s">
        <v>25</v>
      </c>
      <c r="W41" s="1649">
        <f t="shared" si="12"/>
        <v>100</v>
      </c>
      <c r="X41" s="1650"/>
      <c r="Y41" s="3634"/>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8"/>
      <c r="M42" s="2964"/>
      <c r="N42" s="2964"/>
      <c r="O42" s="3012"/>
      <c r="P42" s="3634" t="s">
        <v>2217</v>
      </c>
      <c r="Q42" s="1583" t="str">
        <f t="shared" si="14"/>
        <v>工程地质条件</v>
      </c>
      <c r="R42" s="1693" t="s">
        <v>25</v>
      </c>
      <c r="S42" s="1694">
        <f t="shared" si="10"/>
        <v>100</v>
      </c>
      <c r="T42" s="1693" t="s">
        <v>25</v>
      </c>
      <c r="U42" s="1694">
        <f t="shared" si="11"/>
        <v>100</v>
      </c>
      <c r="V42" s="1693" t="s">
        <v>25</v>
      </c>
      <c r="W42" s="1694">
        <f t="shared" si="12"/>
        <v>100</v>
      </c>
      <c r="X42" s="1633"/>
      <c r="Y42" s="3634"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8"/>
      <c r="M43" s="2964"/>
      <c r="N43" s="2964"/>
      <c r="O43" s="3012"/>
      <c r="P43" s="3634"/>
      <c r="Q43" s="1583">
        <f t="shared" si="14"/>
        <v>111</v>
      </c>
      <c r="R43" s="1693" t="s">
        <v>25</v>
      </c>
      <c r="S43" s="1694">
        <f t="shared" si="10"/>
        <v>100</v>
      </c>
      <c r="T43" s="1693" t="s">
        <v>25</v>
      </c>
      <c r="U43" s="1694">
        <f t="shared" si="11"/>
        <v>100</v>
      </c>
      <c r="V43" s="1693" t="s">
        <v>25</v>
      </c>
      <c r="W43" s="1694">
        <f t="shared" si="12"/>
        <v>100</v>
      </c>
      <c r="X43" s="1633"/>
      <c r="Y43" s="3634"/>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8"/>
      <c r="M44" s="2964"/>
      <c r="N44" s="2964"/>
      <c r="O44" s="3012"/>
      <c r="P44" s="3634"/>
      <c r="Q44" s="1583">
        <f t="shared" si="14"/>
        <v>111</v>
      </c>
      <c r="R44" s="1693" t="s">
        <v>25</v>
      </c>
      <c r="S44" s="1694">
        <f t="shared" si="10"/>
        <v>100</v>
      </c>
      <c r="T44" s="1693" t="s">
        <v>25</v>
      </c>
      <c r="U44" s="1694">
        <f t="shared" si="11"/>
        <v>100</v>
      </c>
      <c r="V44" s="1693" t="s">
        <v>25</v>
      </c>
      <c r="W44" s="1694">
        <f t="shared" si="12"/>
        <v>100</v>
      </c>
      <c r="X44" s="1633"/>
      <c r="Y44" s="3634"/>
      <c r="Z44" s="1695">
        <f t="shared" si="13"/>
        <v>111</v>
      </c>
      <c r="AA44" s="1696">
        <f t="shared" si="3"/>
        <v>1</v>
      </c>
      <c r="AB44" s="1696">
        <f t="shared" si="4"/>
        <v>1</v>
      </c>
      <c r="AC44" s="1696">
        <f t="shared" si="5"/>
        <v>1</v>
      </c>
    </row>
    <row r="45" spans="1:29" s="1739" customFormat="1" ht="15.75" thickBot="1">
      <c r="A45" s="1732"/>
      <c r="B45" s="1971">
        <v>111</v>
      </c>
      <c r="C45" s="1972"/>
      <c r="D45" s="3114">
        <v>100</v>
      </c>
      <c r="E45" s="1939"/>
      <c r="F45" s="1683">
        <f>SUMIF(131:131,E45,132:132)-SUMIF(131:131,C45,132:132)+100</f>
        <v>100</v>
      </c>
      <c r="G45" s="1939"/>
      <c r="H45" s="1683">
        <f>SUMIF(131:131,G45,132:132)-SUMIF(131:131,C45,132:132)+100</f>
        <v>100</v>
      </c>
      <c r="I45" s="1939"/>
      <c r="J45" s="1683">
        <f>SUMIF(131:131,I45,132:132)-SUMIF(131:131,C45,132:132)+100</f>
        <v>100</v>
      </c>
      <c r="K45" s="1973"/>
      <c r="L45" s="2967"/>
      <c r="M45" s="2027"/>
      <c r="N45" s="2027"/>
      <c r="O45" s="3013"/>
      <c r="P45" s="3634"/>
      <c r="Q45" s="1583">
        <f t="shared" si="14"/>
        <v>111</v>
      </c>
      <c r="R45" s="1735" t="s">
        <v>25</v>
      </c>
      <c r="S45" s="1736">
        <f t="shared" si="10"/>
        <v>100</v>
      </c>
      <c r="T45" s="1735" t="s">
        <v>25</v>
      </c>
      <c r="U45" s="1736">
        <f t="shared" si="11"/>
        <v>100</v>
      </c>
      <c r="V45" s="1735" t="s">
        <v>25</v>
      </c>
      <c r="W45" s="1736">
        <f t="shared" si="12"/>
        <v>100</v>
      </c>
      <c r="X45" s="1737"/>
      <c r="Y45" s="3634"/>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9"/>
      <c r="N46" s="2964"/>
      <c r="P46" s="3626" t="str">
        <f>A46</f>
        <v>成交单价</v>
      </c>
      <c r="Q46" s="3626"/>
      <c r="R46" s="3663">
        <f>E46</f>
        <v>0</v>
      </c>
      <c r="S46" s="3663"/>
      <c r="T46" s="3663">
        <f>G46</f>
        <v>0</v>
      </c>
      <c r="U46" s="3663"/>
      <c r="V46" s="3663">
        <f>I46</f>
        <v>0</v>
      </c>
      <c r="W46" s="3663"/>
      <c r="X46" s="1759"/>
      <c r="Y46" s="1760"/>
      <c r="Z46" s="1759"/>
      <c r="AA46" s="1759"/>
      <c r="AB46" s="1759"/>
      <c r="AC46" s="1759"/>
    </row>
    <row r="47" spans="1:29" ht="15.75" thickBot="1">
      <c r="A47" s="1761" t="s">
        <v>2312</v>
      </c>
      <c r="B47" s="1982"/>
      <c r="C47" s="1983" t="e">
        <f>R48</f>
        <v>#DIV/0!</v>
      </c>
      <c r="D47" s="1764" t="s">
        <v>2684</v>
      </c>
      <c r="E47" s="1983" t="e">
        <f>R47</f>
        <v>#DIV/0!</v>
      </c>
      <c r="F47" s="1766"/>
      <c r="G47" s="1984" t="e">
        <f>T47</f>
        <v>#DIV/0!</v>
      </c>
      <c r="H47" s="1766"/>
      <c r="I47" s="1983" t="e">
        <f>V47</f>
        <v>#DIV/0!</v>
      </c>
      <c r="J47" s="1766"/>
      <c r="K47" s="2478">
        <f>F47+H47+J47</f>
        <v>0</v>
      </c>
      <c r="L47" s="2969"/>
      <c r="P47" s="3626" t="str">
        <f>A47</f>
        <v>比较价值（元/平方米）</v>
      </c>
      <c r="Q47" s="3626"/>
      <c r="R47" s="3715" t="e">
        <f>ROUND(PRODUCT(R46,AA7:AA45),0)</f>
        <v>#DIV/0!</v>
      </c>
      <c r="S47" s="3715"/>
      <c r="T47" s="3715" t="e">
        <f>ROUND(PRODUCT(T46,AB7:AB45),0)</f>
        <v>#DIV/0!</v>
      </c>
      <c r="U47" s="3715"/>
      <c r="V47" s="3715" t="e">
        <f>ROUND(PRODUCT(V46,AC7:AC45),0)</f>
        <v>#DIV/0!</v>
      </c>
      <c r="W47" s="3715"/>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9"/>
      <c r="P48" s="3623" t="str">
        <f>A48</f>
        <v>估价对象XX用房的比较价值（楼面单价，元/平方米）</v>
      </c>
      <c r="Q48" s="3624"/>
      <c r="R48" s="3716" t="e">
        <f>ROUND(IF(D47="简单平均",AVERAGE(R47:W47),R47*F47+T47*H47+V47*J47),0)</f>
        <v>#DIV/0!</v>
      </c>
      <c r="S48" s="3716"/>
      <c r="T48" s="3716"/>
      <c r="U48" s="3716"/>
      <c r="V48" s="3716"/>
      <c r="W48" s="3716"/>
      <c r="X48" s="1759"/>
      <c r="Y48" s="1759"/>
      <c r="Z48" s="1759"/>
      <c r="AA48" s="1759"/>
      <c r="AB48" s="1759"/>
      <c r="AC48" s="1759"/>
    </row>
    <row r="49" spans="1:14">
      <c r="G49" s="2973"/>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6"/>
      <c r="L53" s="2970"/>
    </row>
    <row r="54" spans="1:14" s="1781" customFormat="1" ht="15" thickBot="1">
      <c r="B54" s="2974"/>
      <c r="C54" s="2975"/>
      <c r="K54" s="2976"/>
      <c r="L54" s="2970"/>
    </row>
    <row r="55" spans="1:14" ht="27">
      <c r="A55" s="564" t="s">
        <v>2397</v>
      </c>
      <c r="B55" s="1987" t="s">
        <v>2398</v>
      </c>
      <c r="C55" s="1988" t="s">
        <v>2399</v>
      </c>
      <c r="D55" s="1989" t="s">
        <v>2400</v>
      </c>
      <c r="E55" s="1990" t="s">
        <v>2401</v>
      </c>
      <c r="F55" s="1991" t="s">
        <v>2402</v>
      </c>
      <c r="G55" s="1886" t="s">
        <v>2403</v>
      </c>
      <c r="H55" s="1886">
        <f>项目基本情况!G8</f>
        <v>0</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6"/>
      <c r="L56" s="2970"/>
      <c r="M56" s="1781"/>
      <c r="N56" s="1781"/>
    </row>
    <row r="57" spans="1:14" s="1999" customFormat="1">
      <c r="A57" s="2000" t="s">
        <v>2406</v>
      </c>
      <c r="B57" s="2001" t="e">
        <f>ROUND($C$48*C57*D57,0)</f>
        <v>#DIV/0!</v>
      </c>
      <c r="C57" s="50">
        <f>IF($C$55="北京市系数",G57,H57)</f>
        <v>0</v>
      </c>
      <c r="D57" s="2002">
        <v>0.25</v>
      </c>
      <c r="E57" s="1996">
        <v>0</v>
      </c>
      <c r="F57" s="1997" t="e">
        <f t="shared" si="15"/>
        <v>#DIV/0!</v>
      </c>
      <c r="G57" s="1998">
        <f>SUMIF(修正!$A$45:$A$56,项目基本情况!$F$9,修正!B45:B56)</f>
        <v>0</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v>
      </c>
      <c r="D58" s="2002">
        <v>0.25</v>
      </c>
      <c r="E58" s="1996">
        <v>0</v>
      </c>
      <c r="F58" s="1997" t="e">
        <f t="shared" si="15"/>
        <v>#DIV/0!</v>
      </c>
      <c r="G58" s="1998">
        <f>SUMIF(修正!$A$45:$A$56,项目基本情况!$F$9,修正!C45:C56)</f>
        <v>0</v>
      </c>
      <c r="H58" s="2003"/>
      <c r="I58" s="1781"/>
      <c r="J58" s="1781"/>
      <c r="K58" s="2976"/>
      <c r="L58" s="2970"/>
      <c r="M58" s="1781"/>
      <c r="N58" s="1781"/>
    </row>
    <row r="59" spans="1:14" s="1999" customFormat="1">
      <c r="A59" s="2000" t="s">
        <v>2408</v>
      </c>
      <c r="B59" s="2001" t="e">
        <f t="shared" si="16"/>
        <v>#DIV/0!</v>
      </c>
      <c r="C59" s="50">
        <f t="shared" si="17"/>
        <v>0</v>
      </c>
      <c r="D59" s="2002">
        <v>0.25</v>
      </c>
      <c r="E59" s="1996">
        <v>0</v>
      </c>
      <c r="F59" s="1997" t="e">
        <f t="shared" si="15"/>
        <v>#DIV/0!</v>
      </c>
      <c r="G59" s="1998">
        <f>SUMIF(修正!$A$45:$A$56,项目基本情况!$F$9,修正!D45:D56)</f>
        <v>0</v>
      </c>
      <c r="H59" s="2003"/>
      <c r="I59" s="1634"/>
      <c r="J59" s="1877"/>
      <c r="K59" s="1878"/>
      <c r="L59" s="1878"/>
      <c r="M59" s="1634"/>
      <c r="N59" s="1634"/>
    </row>
    <row r="60" spans="1:14" s="1999" customFormat="1">
      <c r="A60" s="2000" t="s">
        <v>2409</v>
      </c>
      <c r="B60" s="2001" t="e">
        <f t="shared" si="16"/>
        <v>#DIV/0!</v>
      </c>
      <c r="C60" s="50">
        <f t="shared" si="17"/>
        <v>0</v>
      </c>
      <c r="D60" s="2002">
        <v>0.25</v>
      </c>
      <c r="E60" s="1996">
        <v>0</v>
      </c>
      <c r="F60" s="1997" t="e">
        <f t="shared" si="15"/>
        <v>#DIV/0!</v>
      </c>
      <c r="G60" s="1998">
        <f>SUMIF(修正!$A$45:$A$56,项目基本情况!$F$9,修正!E45:E56)</f>
        <v>0</v>
      </c>
      <c r="H60" s="2003"/>
      <c r="I60" s="1781"/>
      <c r="J60" s="1781"/>
      <c r="K60" s="2976"/>
      <c r="L60" s="2970"/>
      <c r="M60" s="1781"/>
      <c r="N60" s="1781"/>
    </row>
    <row r="61" spans="1:14" s="1999" customFormat="1">
      <c r="A61" s="2000" t="s">
        <v>2410</v>
      </c>
      <c r="B61" s="2001" t="e">
        <f t="shared" si="16"/>
        <v>#DIV/0!</v>
      </c>
      <c r="C61" s="50">
        <f t="shared" si="17"/>
        <v>0</v>
      </c>
      <c r="D61" s="2002">
        <v>0.25</v>
      </c>
      <c r="E61" s="1996">
        <v>0</v>
      </c>
      <c r="F61" s="1997" t="e">
        <f t="shared" si="15"/>
        <v>#DIV/0!</v>
      </c>
      <c r="G61" s="1998">
        <f>SUMIF(修正!A45:A56,项目基本情况!F9,修正!F45:F56)</f>
        <v>0</v>
      </c>
      <c r="H61" s="2003"/>
      <c r="I61" s="1634"/>
      <c r="J61" s="1877"/>
      <c r="K61" s="1878"/>
      <c r="L61" s="1878"/>
      <c r="M61" s="1634"/>
      <c r="N61" s="1634"/>
    </row>
    <row r="62" spans="1:14" s="1999" customFormat="1">
      <c r="A62" s="2000" t="s">
        <v>2411</v>
      </c>
      <c r="B62" s="2001" t="e">
        <f t="shared" si="16"/>
        <v>#DIV/0!</v>
      </c>
      <c r="C62" s="50">
        <f t="shared" si="17"/>
        <v>0</v>
      </c>
      <c r="D62" s="2002">
        <v>0.25</v>
      </c>
      <c r="E62" s="1996">
        <v>0</v>
      </c>
      <c r="F62" s="1997" t="e">
        <f t="shared" si="15"/>
        <v>#DIV/0!</v>
      </c>
      <c r="G62" s="1998">
        <f>SUMIF(修正!A45:A56,项目基本情况!F9,修正!G45:G56)</f>
        <v>0</v>
      </c>
      <c r="H62" s="2003"/>
      <c r="I62" s="1781"/>
      <c r="J62" s="1781"/>
      <c r="K62" s="2976"/>
      <c r="L62" s="2970"/>
      <c r="M62" s="1781"/>
      <c r="N62" s="1781"/>
    </row>
    <row r="63" spans="1:14" s="1999" customFormat="1">
      <c r="A63" s="2000" t="s">
        <v>2412</v>
      </c>
      <c r="B63" s="2001" t="e">
        <f t="shared" si="16"/>
        <v>#DIV/0!</v>
      </c>
      <c r="C63" s="50">
        <f>IF($C$55="北京市系数",G63,H63)</f>
        <v>0</v>
      </c>
      <c r="D63" s="2002">
        <v>0.25</v>
      </c>
      <c r="E63" s="1996">
        <v>0</v>
      </c>
      <c r="F63" s="1997" t="e">
        <f t="shared" si="15"/>
        <v>#DIV/0!</v>
      </c>
      <c r="G63" s="1998">
        <f>SUMIF(修正!A45:A56,项目基本情况!F9,修正!H45:H56)</f>
        <v>0</v>
      </c>
      <c r="H63" s="2003"/>
      <c r="I63" s="1634"/>
      <c r="J63" s="1877"/>
      <c r="K63" s="1878"/>
      <c r="L63" s="1878"/>
      <c r="M63" s="1634"/>
      <c r="N63" s="1634"/>
    </row>
    <row r="64" spans="1:14" s="1999" customFormat="1">
      <c r="A64" s="2000" t="s">
        <v>2413</v>
      </c>
      <c r="B64" s="2001" t="e">
        <f t="shared" si="16"/>
        <v>#DIV/0!</v>
      </c>
      <c r="C64" s="50">
        <f t="shared" si="17"/>
        <v>0</v>
      </c>
      <c r="D64" s="2002">
        <v>0.25</v>
      </c>
      <c r="E64" s="1996">
        <v>0</v>
      </c>
      <c r="F64" s="1997" t="e">
        <f t="shared" si="15"/>
        <v>#DIV/0!</v>
      </c>
      <c r="G64" s="1998">
        <f>G63</f>
        <v>0</v>
      </c>
      <c r="H64" s="2003"/>
      <c r="I64" s="1781"/>
      <c r="J64" s="1781"/>
      <c r="K64" s="2976"/>
      <c r="L64" s="2970"/>
      <c r="M64" s="1781"/>
      <c r="N64" s="1781"/>
    </row>
    <row r="65" spans="1:17" s="1999" customFormat="1">
      <c r="A65" s="2000" t="s">
        <v>2414</v>
      </c>
      <c r="B65" s="2001" t="e">
        <f t="shared" si="16"/>
        <v>#DIV/0!</v>
      </c>
      <c r="C65" s="50">
        <f t="shared" si="17"/>
        <v>0</v>
      </c>
      <c r="D65" s="2002">
        <v>0.25</v>
      </c>
      <c r="E65" s="1996">
        <v>0</v>
      </c>
      <c r="F65" s="1997" t="e">
        <f t="shared" si="15"/>
        <v>#DIV/0!</v>
      </c>
      <c r="G65" s="1998">
        <f>G63</f>
        <v>0</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4"/>
      <c r="J66" s="3014"/>
      <c r="K66" s="3014"/>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2022-8-1</v>
      </c>
      <c r="D68" s="2008">
        <f>EDATE(C68,-3)</f>
        <v>44682</v>
      </c>
      <c r="E68" s="2008">
        <f t="shared" ref="E68:O68" si="18">EDATE(D68,-3)</f>
        <v>44593</v>
      </c>
      <c r="F68" s="2008">
        <f t="shared" si="18"/>
        <v>44501</v>
      </c>
      <c r="G68" s="2008">
        <f t="shared" si="18"/>
        <v>44409</v>
      </c>
      <c r="H68" s="2008">
        <f t="shared" si="18"/>
        <v>44317</v>
      </c>
      <c r="I68" s="2008">
        <f t="shared" si="18"/>
        <v>44228</v>
      </c>
      <c r="J68" s="2008">
        <f t="shared" si="18"/>
        <v>44136</v>
      </c>
      <c r="K68" s="2008">
        <f t="shared" si="18"/>
        <v>44044</v>
      </c>
      <c r="L68" s="2008">
        <f t="shared" si="18"/>
        <v>43952</v>
      </c>
      <c r="M68" s="2008">
        <f t="shared" si="18"/>
        <v>43862</v>
      </c>
      <c r="N68" s="2008">
        <f t="shared" si="18"/>
        <v>43770</v>
      </c>
      <c r="O68" s="2008">
        <f t="shared" si="18"/>
        <v>43678</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2022-3</v>
      </c>
      <c r="D70" s="2016" t="str">
        <f>YEAR(D68)&amp;"-"&amp;ROUNDUP(MONTH(D68)/3,0)</f>
        <v>2022-2</v>
      </c>
      <c r="E70" s="2016" t="str">
        <f t="shared" ref="E70:O70" si="19">YEAR(E68)&amp;"-"&amp;ROUNDUP(MONTH(E68)/3,0)</f>
        <v>2022-1</v>
      </c>
      <c r="F70" s="2016" t="str">
        <f t="shared" si="19"/>
        <v>2021-4</v>
      </c>
      <c r="G70" s="2016" t="str">
        <f t="shared" si="19"/>
        <v>2021-3</v>
      </c>
      <c r="H70" s="2016" t="str">
        <f t="shared" si="19"/>
        <v>2021-2</v>
      </c>
      <c r="I70" s="2016" t="str">
        <f t="shared" si="19"/>
        <v>2021-1</v>
      </c>
      <c r="J70" s="2016" t="str">
        <f t="shared" si="19"/>
        <v>2020-4</v>
      </c>
      <c r="K70" s="2016" t="str">
        <f t="shared" si="19"/>
        <v>2020-3</v>
      </c>
      <c r="L70" s="2016" t="str">
        <f t="shared" si="19"/>
        <v>2020-2</v>
      </c>
      <c r="M70" s="2016" t="str">
        <f t="shared" si="19"/>
        <v>2020-1</v>
      </c>
      <c r="N70" s="2016" t="str">
        <f t="shared" si="19"/>
        <v>2019-4</v>
      </c>
      <c r="O70" s="2016" t="str">
        <f t="shared" si="19"/>
        <v>2019-3</v>
      </c>
      <c r="P70" s="2017"/>
    </row>
    <row r="71" spans="1:17" s="1652" customFormat="1" ht="29.25" customHeight="1">
      <c r="A71" s="2019" t="s">
        <v>2417</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81"/>
      <c r="O73" s="2981"/>
      <c r="P73" s="2024"/>
      <c r="Q73" s="1789"/>
    </row>
    <row r="74" spans="1:17" s="1652" customFormat="1" ht="15.75" thickBot="1">
      <c r="A74" s="1807"/>
      <c r="B74" s="1797"/>
      <c r="C74" s="1798">
        <v>100</v>
      </c>
      <c r="D74" s="1799"/>
      <c r="E74" s="1799"/>
      <c r="F74" s="1799"/>
      <c r="G74" s="1799"/>
      <c r="H74" s="1799"/>
      <c r="I74" s="1799"/>
      <c r="J74" s="1799"/>
      <c r="K74" s="1799"/>
      <c r="L74" s="1799"/>
      <c r="M74" s="1813"/>
      <c r="N74" s="2981"/>
      <c r="O74" s="2981"/>
      <c r="P74" s="1789"/>
      <c r="Q74" s="1789"/>
    </row>
    <row r="75" spans="1:17">
      <c r="A75" s="1814" t="s">
        <v>2240</v>
      </c>
      <c r="B75" s="1815" t="s">
        <v>2205</v>
      </c>
      <c r="C75" s="1817"/>
      <c r="D75" s="1817"/>
      <c r="E75" s="1817"/>
      <c r="F75" s="1817"/>
      <c r="G75" s="1817"/>
      <c r="H75" s="1817"/>
      <c r="I75" s="1817"/>
      <c r="J75" s="1817"/>
      <c r="K75" s="417"/>
      <c r="L75" s="417"/>
      <c r="M75" s="1818"/>
      <c r="N75" s="2982"/>
      <c r="O75" s="2982"/>
      <c r="P75" s="2025"/>
      <c r="Q75" s="1789"/>
    </row>
    <row r="76" spans="1:17" ht="15.75" thickBot="1">
      <c r="A76" s="1821"/>
      <c r="B76" s="1822"/>
      <c r="C76" s="1823"/>
      <c r="D76" s="1823"/>
      <c r="E76" s="1823"/>
      <c r="F76" s="1823"/>
      <c r="G76" s="1823"/>
      <c r="H76" s="1823"/>
      <c r="I76" s="1823"/>
      <c r="J76" s="1823"/>
      <c r="K76" s="1823"/>
      <c r="L76" s="1823"/>
      <c r="M76" s="1824"/>
      <c r="N76" s="2983"/>
      <c r="O76" s="2983"/>
      <c r="P76" s="2025"/>
      <c r="Q76" s="1789"/>
    </row>
    <row r="77" spans="1:17" ht="27.75" thickTop="1">
      <c r="A77" s="1821"/>
      <c r="B77" s="1826" t="s">
        <v>2208</v>
      </c>
      <c r="C77" s="1827"/>
      <c r="D77" s="1827"/>
      <c r="E77" s="1827"/>
      <c r="F77" s="1827"/>
      <c r="G77" s="1827"/>
      <c r="H77" s="1827"/>
      <c r="I77" s="1827"/>
      <c r="J77" s="1827"/>
      <c r="K77" s="428"/>
      <c r="L77" s="428"/>
      <c r="M77" s="1828"/>
      <c r="N77" s="2982"/>
      <c r="O77" s="2982"/>
      <c r="P77" s="2025"/>
      <c r="Q77" s="1789"/>
    </row>
    <row r="78" spans="1:17" ht="15.75" thickBot="1">
      <c r="A78" s="1821"/>
      <c r="B78" s="1829"/>
      <c r="C78" s="1830"/>
      <c r="D78" s="1830"/>
      <c r="E78" s="1830"/>
      <c r="F78" s="1830"/>
      <c r="G78" s="1830"/>
      <c r="H78" s="1830"/>
      <c r="I78" s="1830"/>
      <c r="J78" s="1830"/>
      <c r="K78" s="1830"/>
      <c r="L78" s="1830"/>
      <c r="M78" s="1831"/>
      <c r="N78" s="2983"/>
      <c r="O78" s="2983"/>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3"/>
      <c r="O79" s="2983"/>
      <c r="P79" s="2025"/>
      <c r="Q79" s="1789"/>
    </row>
    <row r="80" spans="1:17" ht="15">
      <c r="A80" s="1821"/>
      <c r="B80" s="1834"/>
      <c r="C80" s="1835"/>
      <c r="D80" s="1835"/>
      <c r="E80" s="1835"/>
      <c r="F80" s="1835"/>
      <c r="G80" s="1835"/>
      <c r="H80" s="1835"/>
      <c r="I80" s="1835"/>
      <c r="J80" s="1835"/>
      <c r="K80" s="438"/>
      <c r="L80" s="438"/>
      <c r="M80" s="1836"/>
      <c r="N80" s="2982"/>
      <c r="O80" s="2982"/>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3"/>
      <c r="O81" s="2983"/>
      <c r="P81" s="2025"/>
      <c r="Q81" s="1789"/>
    </row>
    <row r="82" spans="1:17" s="1739" customFormat="1" ht="15.75" thickTop="1">
      <c r="A82" s="1837"/>
      <c r="B82" s="1826" t="str">
        <f>B12</f>
        <v>配建</v>
      </c>
      <c r="C82" s="468"/>
      <c r="D82" s="468"/>
      <c r="E82" s="468"/>
      <c r="F82" s="468"/>
      <c r="G82" s="468"/>
      <c r="H82" s="443"/>
      <c r="I82" s="443"/>
      <c r="J82" s="443"/>
      <c r="K82" s="443"/>
      <c r="L82" s="443"/>
      <c r="M82" s="1838"/>
      <c r="N82" s="2984"/>
      <c r="O82" s="2984"/>
      <c r="P82" s="2026"/>
      <c r="Q82" s="1841"/>
    </row>
    <row r="83" spans="1:17" s="1739" customFormat="1" ht="15.75" thickBot="1">
      <c r="A83" s="1837"/>
      <c r="B83" s="1829"/>
      <c r="C83" s="1842"/>
      <c r="D83" s="1823"/>
      <c r="E83" s="1823"/>
      <c r="F83" s="1823"/>
      <c r="G83" s="1823"/>
      <c r="H83" s="1823"/>
      <c r="I83" s="1823"/>
      <c r="J83" s="1823"/>
      <c r="K83" s="1823"/>
      <c r="L83" s="1823"/>
      <c r="M83" s="1824"/>
      <c r="N83" s="2983"/>
      <c r="O83" s="2983"/>
      <c r="P83" s="2026"/>
      <c r="Q83" s="1841"/>
    </row>
    <row r="84" spans="1:17" s="1739" customFormat="1" ht="15.75" thickTop="1">
      <c r="A84" s="1837"/>
      <c r="B84" s="1826">
        <f>B13</f>
        <v>111</v>
      </c>
      <c r="C84" s="468"/>
      <c r="D84" s="468"/>
      <c r="E84" s="468"/>
      <c r="F84" s="468"/>
      <c r="G84" s="468"/>
      <c r="H84" s="443"/>
      <c r="I84" s="443"/>
      <c r="J84" s="443"/>
      <c r="K84" s="443"/>
      <c r="L84" s="443"/>
      <c r="M84" s="1838"/>
      <c r="N84" s="2984"/>
      <c r="O84" s="2984"/>
      <c r="P84" s="2027"/>
      <c r="Q84" s="1844"/>
    </row>
    <row r="85" spans="1:17" s="1739" customFormat="1" ht="15.75" thickBot="1">
      <c r="A85" s="1837"/>
      <c r="B85" s="1829"/>
      <c r="C85" s="1842"/>
      <c r="D85" s="1842"/>
      <c r="E85" s="1842"/>
      <c r="F85" s="1842"/>
      <c r="G85" s="1842"/>
      <c r="H85" s="1845"/>
      <c r="I85" s="1845"/>
      <c r="J85" s="1845"/>
      <c r="K85" s="1845"/>
      <c r="L85" s="1845"/>
      <c r="M85" s="1846"/>
      <c r="N85" s="2984"/>
      <c r="O85" s="2984"/>
      <c r="P85" s="2026"/>
      <c r="Q85" s="1841"/>
    </row>
    <row r="86" spans="1:17" s="1739" customFormat="1" ht="15.75" thickTop="1">
      <c r="A86" s="1837"/>
      <c r="B86" s="1832">
        <f>B14</f>
        <v>111</v>
      </c>
      <c r="C86" s="409"/>
      <c r="D86" s="409"/>
      <c r="E86" s="409"/>
      <c r="F86" s="409"/>
      <c r="G86" s="409"/>
      <c r="H86" s="453"/>
      <c r="I86" s="453"/>
      <c r="J86" s="453"/>
      <c r="K86" s="453"/>
      <c r="L86" s="453"/>
      <c r="M86" s="1847"/>
      <c r="N86" s="2984"/>
      <c r="O86" s="2984"/>
      <c r="P86" s="2026"/>
      <c r="Q86" s="1841"/>
    </row>
    <row r="87" spans="1:17" s="1739" customFormat="1" ht="15.75" thickBot="1">
      <c r="A87" s="1848"/>
      <c r="B87" s="1849"/>
      <c r="C87" s="1850"/>
      <c r="D87" s="1850"/>
      <c r="E87" s="1850"/>
      <c r="F87" s="1850"/>
      <c r="G87" s="1850"/>
      <c r="H87" s="1851"/>
      <c r="I87" s="1851"/>
      <c r="J87" s="1851"/>
      <c r="K87" s="1851"/>
      <c r="L87" s="1851"/>
      <c r="M87" s="1852"/>
      <c r="N87" s="2984"/>
      <c r="O87" s="2984"/>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2"/>
      <c r="O88" s="2982"/>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3"/>
      <c r="O89" s="2983"/>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2"/>
      <c r="O90" s="2982"/>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3"/>
      <c r="O91" s="2983"/>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2"/>
      <c r="O92" s="2982"/>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3"/>
      <c r="O93" s="2983"/>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2"/>
      <c r="O94" s="2982"/>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3"/>
      <c r="O95" s="2983"/>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81"/>
      <c r="O96" s="2981"/>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3"/>
      <c r="O97" s="2983"/>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81"/>
      <c r="O98" s="2981"/>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3"/>
      <c r="O99" s="2983"/>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3"/>
      <c r="O100" s="2983"/>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3"/>
      <c r="O101" s="2983"/>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4"/>
      <c r="O102" s="2984"/>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4"/>
      <c r="O103" s="2984"/>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2"/>
      <c r="O104" s="2982"/>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3"/>
      <c r="O105" s="2983"/>
      <c r="P105" s="2025"/>
      <c r="Q105" s="1789"/>
    </row>
    <row r="106" spans="1:17" ht="27.75" thickTop="1">
      <c r="A106" s="1821"/>
      <c r="B106" s="1826" t="s">
        <v>2329</v>
      </c>
      <c r="C106" s="468"/>
      <c r="D106" s="468"/>
      <c r="E106" s="468"/>
      <c r="F106" s="468"/>
      <c r="G106" s="468"/>
      <c r="H106" s="1545"/>
      <c r="I106" s="1545"/>
      <c r="J106" s="1545"/>
      <c r="K106" s="473"/>
      <c r="L106" s="473"/>
      <c r="M106" s="1861"/>
      <c r="N106" s="2982"/>
      <c r="O106" s="2982"/>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3"/>
      <c r="O107" s="2983"/>
      <c r="P107" s="2025"/>
      <c r="Q107" s="1789"/>
    </row>
    <row r="108" spans="1:17" ht="15.75" thickTop="1">
      <c r="A108" s="1821"/>
      <c r="B108" s="1826" t="s">
        <v>2390</v>
      </c>
      <c r="C108" s="1545"/>
      <c r="D108" s="1545"/>
      <c r="E108" s="1545"/>
      <c r="F108" s="1545"/>
      <c r="G108" s="1545"/>
      <c r="H108" s="1545"/>
      <c r="I108" s="1545"/>
      <c r="J108" s="1545"/>
      <c r="K108" s="473"/>
      <c r="L108" s="473"/>
      <c r="M108" s="1861"/>
      <c r="N108" s="2982"/>
      <c r="O108" s="2982"/>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3"/>
      <c r="O109" s="2983"/>
      <c r="P109" s="2025"/>
      <c r="Q109" s="1789"/>
    </row>
    <row r="110" spans="1:17" ht="15.75" thickTop="1">
      <c r="A110" s="1821"/>
      <c r="B110" s="1832">
        <f>B35</f>
        <v>111</v>
      </c>
      <c r="C110" s="468"/>
      <c r="D110" s="468"/>
      <c r="E110" s="468"/>
      <c r="F110" s="468"/>
      <c r="G110" s="1862"/>
      <c r="H110" s="1862"/>
      <c r="I110" s="1862"/>
      <c r="J110" s="1862"/>
      <c r="K110" s="477"/>
      <c r="L110" s="477"/>
      <c r="M110" s="1863"/>
      <c r="N110" s="2982"/>
      <c r="O110" s="2982"/>
      <c r="P110" s="2025"/>
      <c r="Q110" s="1789"/>
    </row>
    <row r="111" spans="1:17" ht="15.75" thickBot="1">
      <c r="A111" s="1821"/>
      <c r="B111" s="1849"/>
      <c r="C111" s="1842"/>
      <c r="D111" s="1842"/>
      <c r="E111" s="1842"/>
      <c r="F111" s="1842"/>
      <c r="G111" s="1865"/>
      <c r="H111" s="1865"/>
      <c r="I111" s="1865"/>
      <c r="J111" s="1865"/>
      <c r="K111" s="1865"/>
      <c r="L111" s="1865"/>
      <c r="M111" s="1866"/>
      <c r="N111" s="2983"/>
      <c r="O111" s="2983"/>
      <c r="P111" s="2025"/>
      <c r="Q111" s="1789"/>
    </row>
    <row r="112" spans="1:17" ht="15" thickTop="1">
      <c r="A112" s="1962"/>
      <c r="B112" s="1826">
        <f>B36</f>
        <v>111</v>
      </c>
      <c r="C112" s="409"/>
      <c r="D112" s="409"/>
      <c r="E112" s="409"/>
      <c r="F112" s="409"/>
      <c r="G112" s="1545"/>
      <c r="H112" s="1545"/>
      <c r="I112" s="1545"/>
      <c r="J112" s="1545"/>
      <c r="K112" s="473"/>
      <c r="L112" s="473"/>
      <c r="M112" s="1861"/>
      <c r="N112" s="2982"/>
      <c r="O112" s="2982"/>
      <c r="P112" s="2025"/>
      <c r="Q112" s="1789"/>
    </row>
    <row r="113" spans="1:17" ht="15.75" thickBot="1">
      <c r="A113" s="1821"/>
      <c r="B113" s="1829"/>
      <c r="C113" s="1850"/>
      <c r="D113" s="1850"/>
      <c r="E113" s="1850"/>
      <c r="F113" s="1850"/>
      <c r="G113" s="1823"/>
      <c r="H113" s="1823"/>
      <c r="I113" s="1823"/>
      <c r="J113" s="1823"/>
      <c r="K113" s="1823"/>
      <c r="L113" s="1823"/>
      <c r="M113" s="1824"/>
      <c r="N113" s="2983"/>
      <c r="O113" s="2983"/>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4"/>
      <c r="O114" s="2984"/>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3"/>
      <c r="O115" s="2983"/>
      <c r="P115" s="2026"/>
      <c r="Q115" s="1841"/>
    </row>
    <row r="116" spans="1:17">
      <c r="A116" s="1814" t="s">
        <v>2215</v>
      </c>
      <c r="B116" s="1815"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1" t="str">
        <f>M117&amp;"(含)"&amp;"-"&amp;P117</f>
        <v>(含)-</v>
      </c>
      <c r="N116" s="2982"/>
      <c r="O116" s="2982"/>
      <c r="P116" s="2025"/>
      <c r="Q116" s="1789"/>
    </row>
    <row r="117" spans="1:17" ht="15">
      <c r="A117" s="1821"/>
      <c r="B117" s="1832"/>
      <c r="C117" s="1869"/>
      <c r="D117" s="1869"/>
      <c r="E117" s="1869"/>
      <c r="F117" s="1869"/>
      <c r="G117" s="1869"/>
      <c r="H117" s="1869"/>
      <c r="I117" s="1869"/>
      <c r="J117" s="485"/>
      <c r="K117" s="485"/>
      <c r="L117" s="485"/>
      <c r="M117" s="1870"/>
      <c r="N117" s="2982"/>
      <c r="O117" s="2982"/>
      <c r="P117" s="2025"/>
      <c r="Q117" s="1789"/>
    </row>
    <row r="118" spans="1:17" ht="15.75" thickBot="1">
      <c r="A118" s="1821"/>
      <c r="B118" s="1829"/>
      <c r="C118" s="1850"/>
      <c r="D118" s="1865"/>
      <c r="E118" s="1865"/>
      <c r="F118" s="1865"/>
      <c r="G118" s="1865"/>
      <c r="H118" s="1865"/>
      <c r="I118" s="1865"/>
      <c r="J118" s="1865"/>
      <c r="K118" s="1865"/>
      <c r="L118" s="1865"/>
      <c r="M118" s="1866"/>
      <c r="N118" s="2983"/>
      <c r="O118" s="2983"/>
      <c r="P118" s="2025"/>
      <c r="Q118" s="1789"/>
    </row>
    <row r="119" spans="1:17" ht="15" thickTop="1">
      <c r="A119" s="1871"/>
      <c r="B119" s="1826" t="s">
        <v>2426</v>
      </c>
      <c r="C119" s="1545"/>
      <c r="D119" s="1545"/>
      <c r="E119" s="1545"/>
      <c r="F119" s="1545"/>
      <c r="G119" s="1545"/>
      <c r="H119" s="1545"/>
      <c r="I119" s="1545"/>
      <c r="J119" s="1545"/>
      <c r="K119" s="473"/>
      <c r="L119" s="473"/>
      <c r="M119" s="1861"/>
      <c r="N119" s="2982"/>
      <c r="O119" s="2982"/>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3"/>
      <c r="O120" s="2983"/>
      <c r="P120" s="2025"/>
      <c r="Q120" s="1789"/>
    </row>
    <row r="121" spans="1:17" ht="15" thickTop="1">
      <c r="A121" s="1871"/>
      <c r="B121" s="1826" t="s">
        <v>2427</v>
      </c>
      <c r="C121" s="468"/>
      <c r="D121" s="468"/>
      <c r="E121" s="468"/>
      <c r="F121" s="1545"/>
      <c r="G121" s="1545"/>
      <c r="H121" s="1545"/>
      <c r="I121" s="1545"/>
      <c r="J121" s="1545"/>
      <c r="K121" s="473"/>
      <c r="L121" s="473"/>
      <c r="M121" s="1861"/>
      <c r="N121" s="2982"/>
      <c r="O121" s="2982"/>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3"/>
      <c r="O122" s="2983"/>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4"/>
      <c r="O123" s="2984"/>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4"/>
      <c r="O124" s="2984"/>
      <c r="P124" s="2026"/>
      <c r="Q124" s="1841"/>
    </row>
    <row r="125" spans="1:17" ht="15" thickTop="1">
      <c r="A125" s="1871"/>
      <c r="B125" s="1826" t="s">
        <v>2429</v>
      </c>
      <c r="C125" s="468"/>
      <c r="D125" s="468"/>
      <c r="E125" s="1545"/>
      <c r="F125" s="1545"/>
      <c r="G125" s="1545"/>
      <c r="H125" s="1545"/>
      <c r="I125" s="1545"/>
      <c r="J125" s="1545"/>
      <c r="K125" s="473"/>
      <c r="L125" s="473"/>
      <c r="M125" s="1861"/>
      <c r="N125" s="2982"/>
      <c r="O125" s="2982"/>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3"/>
      <c r="O126" s="2983"/>
      <c r="P126" s="2025"/>
      <c r="Q126" s="1789"/>
    </row>
    <row r="127" spans="1:17" ht="15" thickTop="1">
      <c r="A127" s="1871"/>
      <c r="B127" s="1826">
        <f>B43</f>
        <v>111</v>
      </c>
      <c r="C127" s="468"/>
      <c r="D127" s="468"/>
      <c r="E127" s="468"/>
      <c r="F127" s="468"/>
      <c r="G127" s="468"/>
      <c r="H127" s="1545"/>
      <c r="I127" s="1545"/>
      <c r="J127" s="1545"/>
      <c r="K127" s="473"/>
      <c r="L127" s="473"/>
      <c r="M127" s="1861"/>
      <c r="N127" s="2982"/>
      <c r="O127" s="2982"/>
      <c r="P127" s="2025"/>
      <c r="Q127" s="1789"/>
    </row>
    <row r="128" spans="1:17" ht="15.75" thickBot="1">
      <c r="A128" s="1821"/>
      <c r="B128" s="1829"/>
      <c r="C128" s="1842"/>
      <c r="D128" s="1842"/>
      <c r="E128" s="1842"/>
      <c r="F128" s="1842"/>
      <c r="G128" s="1823"/>
      <c r="H128" s="1823"/>
      <c r="I128" s="1823"/>
      <c r="J128" s="1823"/>
      <c r="K128" s="1823"/>
      <c r="L128" s="1823"/>
      <c r="M128" s="1824"/>
      <c r="N128" s="2983"/>
      <c r="O128" s="2983"/>
      <c r="P128" s="2025"/>
      <c r="Q128" s="1789"/>
    </row>
    <row r="129" spans="1:17" ht="15" thickTop="1">
      <c r="A129" s="1871"/>
      <c r="B129" s="1826">
        <f>B44</f>
        <v>111</v>
      </c>
      <c r="C129" s="409"/>
      <c r="D129" s="409"/>
      <c r="E129" s="409"/>
      <c r="F129" s="409"/>
      <c r="G129" s="1545"/>
      <c r="H129" s="1545"/>
      <c r="I129" s="1545"/>
      <c r="J129" s="1545"/>
      <c r="K129" s="473"/>
      <c r="L129" s="473"/>
      <c r="M129" s="1861"/>
      <c r="N129" s="2982"/>
      <c r="O129" s="2982"/>
      <c r="P129" s="2025"/>
      <c r="Q129" s="1789"/>
    </row>
    <row r="130" spans="1:17" ht="15.75" thickBot="1">
      <c r="A130" s="1821"/>
      <c r="B130" s="1829"/>
      <c r="C130" s="1850"/>
      <c r="D130" s="1850"/>
      <c r="E130" s="1850"/>
      <c r="F130" s="1850"/>
      <c r="G130" s="1823"/>
      <c r="H130" s="1823"/>
      <c r="I130" s="1823"/>
      <c r="J130" s="1823"/>
      <c r="K130" s="1823"/>
      <c r="L130" s="1823"/>
      <c r="M130" s="1824"/>
      <c r="N130" s="2983"/>
      <c r="O130" s="2983"/>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4"/>
      <c r="O131" s="2984"/>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4"/>
      <c r="O132" s="2984"/>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6"/>
      <c r="E2" s="2986"/>
      <c r="F2" s="2989"/>
      <c r="G2" s="2986"/>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6"/>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SUMIF(65:65,YEAR(E7)&amp;"-"&amp;INT((MONTH(E7)+2)/3),66:66)</f>
        <v>0</v>
      </c>
      <c r="G7" s="1542"/>
      <c r="H7" s="304">
        <f>SUMIF(65:65,YEAR(G7)&amp;"-"&amp;INT((MONTH(G7)+2)/3),66:66)</f>
        <v>0</v>
      </c>
      <c r="I7" s="1542"/>
      <c r="J7" s="304">
        <f>SUMIF(65:65,YEAR(I7)&amp;"-"&amp;INT((MONTH(I7)+2)/3),66:66)</f>
        <v>0</v>
      </c>
      <c r="K7" s="497"/>
      <c r="L7" s="2993"/>
      <c r="M7" s="2994"/>
      <c r="N7" s="2994"/>
      <c r="O7" s="2994"/>
      <c r="P7" s="3681" t="s">
        <v>2200</v>
      </c>
      <c r="Q7" s="3689"/>
      <c r="R7" s="626" t="s">
        <v>25</v>
      </c>
      <c r="S7" s="627">
        <f t="shared" ref="S7:S15" si="0">F7</f>
        <v>0</v>
      </c>
      <c r="T7" s="626" t="s">
        <v>25</v>
      </c>
      <c r="U7" s="627">
        <f t="shared" ref="U7:U15" si="1">H7</f>
        <v>0</v>
      </c>
      <c r="V7" s="626" t="s">
        <v>25</v>
      </c>
      <c r="W7" s="627">
        <f t="shared" ref="W7:W15" si="2">J7</f>
        <v>0</v>
      </c>
      <c r="X7" s="628"/>
      <c r="Y7" s="3681" t="s">
        <v>2200</v>
      </c>
      <c r="Z7" s="3682"/>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40" si="3">D8/F8</f>
        <v>#DIV/0!</v>
      </c>
      <c r="AB8" s="629" t="e">
        <f t="shared" ref="AB8:AB40" si="4">D8/H8</f>
        <v>#DIV/0!</v>
      </c>
      <c r="AC8" s="629"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3"/>
      <c r="M9" s="2994"/>
      <c r="N9" s="2994"/>
      <c r="O9" s="2995"/>
      <c r="P9" s="3673" t="s">
        <v>2206</v>
      </c>
      <c r="Q9" s="1295" t="str">
        <f t="shared" ref="Q9:Q15" si="6">B9</f>
        <v>用途</v>
      </c>
      <c r="R9" s="626" t="s">
        <v>25</v>
      </c>
      <c r="S9" s="627">
        <f t="shared" si="0"/>
        <v>100</v>
      </c>
      <c r="T9" s="626" t="s">
        <v>25</v>
      </c>
      <c r="U9" s="627">
        <f t="shared" si="1"/>
        <v>100</v>
      </c>
      <c r="V9" s="626" t="s">
        <v>25</v>
      </c>
      <c r="W9" s="627">
        <f t="shared" si="2"/>
        <v>100</v>
      </c>
      <c r="X9" s="628"/>
      <c r="Y9" s="3692"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6"/>
      <c r="M10" s="2997"/>
      <c r="N10" s="2997"/>
      <c r="O10" s="2998"/>
      <c r="P10" s="3673"/>
      <c r="Q10" s="1295" t="str">
        <f t="shared" si="6"/>
        <v>土地使用年限（年）</v>
      </c>
      <c r="R10" s="626" t="s">
        <v>25</v>
      </c>
      <c r="S10" s="627">
        <f t="shared" si="0"/>
        <v>106</v>
      </c>
      <c r="T10" s="626" t="s">
        <v>25</v>
      </c>
      <c r="U10" s="627">
        <f t="shared" si="1"/>
        <v>106</v>
      </c>
      <c r="V10" s="626" t="s">
        <v>25</v>
      </c>
      <c r="W10" s="627">
        <f t="shared" si="2"/>
        <v>106</v>
      </c>
      <c r="X10" s="628"/>
      <c r="Y10" s="3692"/>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73"/>
      <c r="Q11" s="1295"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73"/>
      <c r="Q14" s="1295">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90" t="s">
        <v>2211</v>
      </c>
      <c r="Q15" s="1302" t="str">
        <f t="shared" si="6"/>
        <v>产业集聚程度</v>
      </c>
      <c r="R15" s="630" t="s">
        <v>25</v>
      </c>
      <c r="S15" s="631">
        <f t="shared" si="0"/>
        <v>100</v>
      </c>
      <c r="T15" s="630" t="s">
        <v>25</v>
      </c>
      <c r="U15" s="631">
        <f t="shared" si="1"/>
        <v>100</v>
      </c>
      <c r="V15" s="630" t="s">
        <v>25</v>
      </c>
      <c r="W15" s="631">
        <f t="shared" si="2"/>
        <v>100</v>
      </c>
      <c r="X15" s="1303"/>
      <c r="Y15" s="3690"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1"/>
      <c r="M16" s="2992"/>
      <c r="N16" s="2992"/>
      <c r="O16" s="3000"/>
      <c r="P16" s="3691"/>
      <c r="Q16" s="1302"/>
      <c r="R16" s="630"/>
      <c r="S16" s="631"/>
      <c r="T16" s="630"/>
      <c r="U16" s="631"/>
      <c r="V16" s="630"/>
      <c r="W16" s="631"/>
      <c r="X16" s="1303"/>
      <c r="Y16" s="3691"/>
      <c r="Z16" s="1304"/>
      <c r="AA16" s="1305">
        <v>1</v>
      </c>
      <c r="AB16" s="1305">
        <v>1</v>
      </c>
      <c r="AC16" s="1305">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91"/>
      <c r="Q17" s="1302" t="str">
        <f>B17</f>
        <v>交通便捷度</v>
      </c>
      <c r="R17" s="630" t="s">
        <v>25</v>
      </c>
      <c r="S17" s="631">
        <f>F17</f>
        <v>100</v>
      </c>
      <c r="T17" s="630" t="s">
        <v>25</v>
      </c>
      <c r="U17" s="631">
        <f>H17</f>
        <v>100</v>
      </c>
      <c r="V17" s="630" t="s">
        <v>25</v>
      </c>
      <c r="W17" s="631">
        <f>J17</f>
        <v>100</v>
      </c>
      <c r="X17" s="1303"/>
      <c r="Y17" s="3691"/>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3"/>
      <c r="J18" s="336"/>
      <c r="K18" s="553"/>
      <c r="L18" s="3001"/>
      <c r="M18" s="2992"/>
      <c r="N18" s="2992"/>
      <c r="O18" s="3000"/>
      <c r="P18" s="3691"/>
      <c r="Q18" s="1302"/>
      <c r="R18" s="630"/>
      <c r="S18" s="631"/>
      <c r="T18" s="630"/>
      <c r="U18" s="631"/>
      <c r="V18" s="630"/>
      <c r="W18" s="631"/>
      <c r="X18" s="1303"/>
      <c r="Y18" s="3691"/>
      <c r="Z18" s="1304"/>
      <c r="AA18" s="1305">
        <v>1</v>
      </c>
      <c r="AB18" s="1305">
        <v>1</v>
      </c>
      <c r="AC18" s="1305">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91"/>
      <c r="Q19" s="1302" t="str">
        <f t="shared" ref="Q19:Q33" si="8">B19</f>
        <v>区域土地利用方向</v>
      </c>
      <c r="R19" s="630" t="s">
        <v>25</v>
      </c>
      <c r="S19" s="631">
        <f>F19</f>
        <v>100</v>
      </c>
      <c r="T19" s="630" t="s">
        <v>25</v>
      </c>
      <c r="U19" s="631">
        <f>H19</f>
        <v>100</v>
      </c>
      <c r="V19" s="630" t="s">
        <v>25</v>
      </c>
      <c r="W19" s="631">
        <f>J19</f>
        <v>100</v>
      </c>
      <c r="X19" s="1303"/>
      <c r="Y19" s="3691"/>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1"/>
      <c r="M20" s="2992"/>
      <c r="N20" s="2992"/>
      <c r="O20" s="3000"/>
      <c r="P20" s="3691"/>
      <c r="Q20" s="1302"/>
      <c r="R20" s="630"/>
      <c r="S20" s="631"/>
      <c r="T20" s="630"/>
      <c r="U20" s="631"/>
      <c r="V20" s="630"/>
      <c r="W20" s="631"/>
      <c r="X20" s="1303"/>
      <c r="Y20" s="3691"/>
      <c r="Z20" s="1304"/>
      <c r="AA20" s="1305"/>
      <c r="AB20" s="1305"/>
      <c r="AC20" s="1305"/>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91"/>
      <c r="Q21" s="1302" t="str">
        <f t="shared" si="8"/>
        <v>环境状况</v>
      </c>
      <c r="R21" s="630" t="s">
        <v>25</v>
      </c>
      <c r="S21" s="631">
        <f>F21</f>
        <v>100</v>
      </c>
      <c r="T21" s="630" t="s">
        <v>25</v>
      </c>
      <c r="U21" s="631">
        <f>H21</f>
        <v>100</v>
      </c>
      <c r="V21" s="630" t="s">
        <v>25</v>
      </c>
      <c r="W21" s="631">
        <f>J21</f>
        <v>100</v>
      </c>
      <c r="X21" s="1303"/>
      <c r="Y21" s="3691"/>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1"/>
      <c r="M22" s="2992"/>
      <c r="N22" s="2992"/>
      <c r="O22" s="3000"/>
      <c r="P22" s="3691"/>
      <c r="Q22" s="1302"/>
      <c r="R22" s="630"/>
      <c r="S22" s="631"/>
      <c r="T22" s="630"/>
      <c r="U22" s="631"/>
      <c r="V22" s="630"/>
      <c r="W22" s="631"/>
      <c r="X22" s="1303"/>
      <c r="Y22" s="3691"/>
      <c r="Z22" s="1304"/>
      <c r="AA22" s="1305">
        <v>1</v>
      </c>
      <c r="AB22" s="1305">
        <v>1</v>
      </c>
      <c r="AC22" s="1305">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91"/>
      <c r="Q23" s="1295" t="str">
        <f t="shared" si="8"/>
        <v>公共配套设施</v>
      </c>
      <c r="R23" s="626" t="s">
        <v>25</v>
      </c>
      <c r="S23" s="627">
        <f>F23</f>
        <v>100</v>
      </c>
      <c r="T23" s="626" t="s">
        <v>25</v>
      </c>
      <c r="U23" s="627">
        <f>H23</f>
        <v>100</v>
      </c>
      <c r="V23" s="626" t="s">
        <v>25</v>
      </c>
      <c r="W23" s="627">
        <f>J23</f>
        <v>100</v>
      </c>
      <c r="X23" s="628"/>
      <c r="Y23" s="3691"/>
      <c r="Z23" s="19" t="str">
        <f>Q23</f>
        <v>公共配套设施</v>
      </c>
      <c r="AA23" s="1305">
        <f>D23/F23</f>
        <v>1</v>
      </c>
      <c r="AB23" s="1305">
        <f>D23/H23</f>
        <v>1</v>
      </c>
      <c r="AC23" s="1305">
        <f>D23/J23</f>
        <v>1</v>
      </c>
    </row>
    <row r="24" spans="1:29" s="25" customFormat="1" ht="15">
      <c r="A24" s="531"/>
      <c r="B24" s="514"/>
      <c r="C24" s="1563"/>
      <c r="D24" s="336"/>
      <c r="E24" s="1104"/>
      <c r="F24" s="336"/>
      <c r="G24" s="1104"/>
      <c r="H24" s="336"/>
      <c r="I24" s="335"/>
      <c r="J24" s="336"/>
      <c r="K24" s="553"/>
      <c r="L24" s="2993"/>
      <c r="M24" s="2994"/>
      <c r="N24" s="2994"/>
      <c r="O24" s="2995"/>
      <c r="P24" s="3691"/>
      <c r="Q24" s="1295"/>
      <c r="R24" s="626"/>
      <c r="S24" s="627"/>
      <c r="T24" s="626"/>
      <c r="U24" s="627"/>
      <c r="V24" s="626"/>
      <c r="W24" s="627"/>
      <c r="X24" s="628"/>
      <c r="Y24" s="3691"/>
      <c r="Z24" s="19"/>
      <c r="AA24" s="629">
        <v>1</v>
      </c>
      <c r="AB24" s="629">
        <v>1</v>
      </c>
      <c r="AC24" s="629">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91"/>
      <c r="Q25" s="1295" t="str">
        <f t="shared" ref="Q25" si="9">B25</f>
        <v>基础设施水平</v>
      </c>
      <c r="R25" s="626" t="s">
        <v>25</v>
      </c>
      <c r="S25" s="627">
        <f>F25</f>
        <v>100</v>
      </c>
      <c r="T25" s="626" t="s">
        <v>25</v>
      </c>
      <c r="U25" s="627">
        <f>H25</f>
        <v>100</v>
      </c>
      <c r="V25" s="626" t="s">
        <v>25</v>
      </c>
      <c r="W25" s="627">
        <f>J25</f>
        <v>100</v>
      </c>
      <c r="X25" s="628"/>
      <c r="Y25" s="3691"/>
      <c r="Z25" s="19" t="str">
        <f>Q25</f>
        <v>基础设施水平</v>
      </c>
      <c r="AA25" s="1305">
        <f>D25/F25</f>
        <v>1</v>
      </c>
      <c r="AB25" s="1305">
        <f>D25/H25</f>
        <v>1</v>
      </c>
      <c r="AC25" s="1305">
        <f>D25/J25</f>
        <v>1</v>
      </c>
    </row>
    <row r="26" spans="1:29" s="25" customFormat="1" ht="15">
      <c r="A26" s="531"/>
      <c r="B26" s="514"/>
      <c r="C26" s="1563"/>
      <c r="D26" s="336"/>
      <c r="E26" s="1554"/>
      <c r="F26" s="336"/>
      <c r="G26" s="1554"/>
      <c r="H26" s="336"/>
      <c r="I26" s="1554"/>
      <c r="J26" s="336"/>
      <c r="K26" s="553"/>
      <c r="L26" s="2993"/>
      <c r="M26" s="2994"/>
      <c r="N26" s="2994"/>
      <c r="O26" s="2995"/>
      <c r="P26" s="3691"/>
      <c r="Q26" s="1295"/>
      <c r="R26" s="626"/>
      <c r="S26" s="627"/>
      <c r="T26" s="626"/>
      <c r="U26" s="627"/>
      <c r="V26" s="626"/>
      <c r="W26" s="627"/>
      <c r="X26" s="628"/>
      <c r="Y26" s="3691"/>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91"/>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691"/>
      <c r="Z27" s="1304" t="str">
        <f t="shared" ref="Z27:Z40" si="13">Q27</f>
        <v>临街状况</v>
      </c>
      <c r="AA27" s="1305">
        <f t="shared" si="3"/>
        <v>1</v>
      </c>
      <c r="AB27" s="1305">
        <f t="shared" si="4"/>
        <v>1</v>
      </c>
      <c r="AC27" s="1305">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91"/>
      <c r="Q28" s="1302" t="str">
        <f t="shared" si="8"/>
        <v>毗邻道路的类型与等级</v>
      </c>
      <c r="R28" s="630" t="s">
        <v>25</v>
      </c>
      <c r="S28" s="631">
        <f t="shared" si="10"/>
        <v>100</v>
      </c>
      <c r="T28" s="630" t="s">
        <v>25</v>
      </c>
      <c r="U28" s="631">
        <f t="shared" si="11"/>
        <v>100</v>
      </c>
      <c r="V28" s="630" t="s">
        <v>25</v>
      </c>
      <c r="W28" s="631">
        <f t="shared" si="12"/>
        <v>100</v>
      </c>
      <c r="X28" s="1303"/>
      <c r="Y28" s="3691"/>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1"/>
      <c r="M29" s="2992"/>
      <c r="N29" s="2992"/>
      <c r="O29" s="3000"/>
      <c r="P29" s="3691"/>
      <c r="Q29" s="1302"/>
      <c r="R29" s="630"/>
      <c r="S29" s="631"/>
      <c r="T29" s="630"/>
      <c r="U29" s="631"/>
      <c r="V29" s="630"/>
      <c r="W29" s="631"/>
      <c r="X29" s="1303"/>
      <c r="Y29" s="3691"/>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91"/>
      <c r="Q30" s="1302" t="str">
        <f t="shared" si="8"/>
        <v>土地级别</v>
      </c>
      <c r="R30" s="630" t="s">
        <v>25</v>
      </c>
      <c r="S30" s="631">
        <f t="shared" si="10"/>
        <v>100</v>
      </c>
      <c r="T30" s="630" t="s">
        <v>25</v>
      </c>
      <c r="U30" s="631">
        <f t="shared" si="11"/>
        <v>100</v>
      </c>
      <c r="V30" s="630" t="s">
        <v>25</v>
      </c>
      <c r="W30" s="631">
        <f t="shared" si="12"/>
        <v>100</v>
      </c>
      <c r="X30" s="1303"/>
      <c r="Y30" s="3691"/>
      <c r="Z30" s="1304" t="str">
        <f t="shared" si="13"/>
        <v>土地级别</v>
      </c>
      <c r="AA30" s="1305">
        <f t="shared" si="3"/>
        <v>1</v>
      </c>
      <c r="AB30" s="1305">
        <f t="shared" si="4"/>
        <v>1</v>
      </c>
      <c r="AC30" s="1305">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91"/>
      <c r="Q31" s="1302">
        <f t="shared" si="8"/>
        <v>111</v>
      </c>
      <c r="R31" s="630" t="s">
        <v>25</v>
      </c>
      <c r="S31" s="631">
        <f t="shared" si="10"/>
        <v>100</v>
      </c>
      <c r="T31" s="630" t="s">
        <v>25</v>
      </c>
      <c r="U31" s="631">
        <f t="shared" si="11"/>
        <v>100</v>
      </c>
      <c r="V31" s="630" t="s">
        <v>25</v>
      </c>
      <c r="W31" s="631">
        <f t="shared" si="12"/>
        <v>100</v>
      </c>
      <c r="X31" s="1303"/>
      <c r="Y31" s="3691"/>
      <c r="Z31" s="1304">
        <f t="shared" si="13"/>
        <v>111</v>
      </c>
      <c r="AA31" s="1305">
        <f t="shared" si="3"/>
        <v>1</v>
      </c>
      <c r="AB31" s="1305">
        <f t="shared" si="4"/>
        <v>1</v>
      </c>
      <c r="AC31" s="1305">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78" t="s">
        <v>2217</v>
      </c>
      <c r="Q32" s="1302">
        <f t="shared" si="8"/>
        <v>111</v>
      </c>
      <c r="R32" s="630" t="s">
        <v>25</v>
      </c>
      <c r="S32" s="631">
        <f t="shared" si="10"/>
        <v>100</v>
      </c>
      <c r="T32" s="630" t="s">
        <v>25</v>
      </c>
      <c r="U32" s="631">
        <f t="shared" si="11"/>
        <v>100</v>
      </c>
      <c r="V32" s="630" t="s">
        <v>25</v>
      </c>
      <c r="W32" s="631">
        <f t="shared" si="12"/>
        <v>100</v>
      </c>
      <c r="X32" s="1303"/>
      <c r="Y32" s="3679" t="s">
        <v>2217</v>
      </c>
      <c r="Z32" s="1304">
        <f t="shared" si="13"/>
        <v>111</v>
      </c>
      <c r="AA32" s="1305">
        <f t="shared" si="3"/>
        <v>1</v>
      </c>
      <c r="AB32" s="1305">
        <f t="shared" si="4"/>
        <v>1</v>
      </c>
      <c r="AC32" s="1305">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79"/>
      <c r="Q33" s="1302">
        <f t="shared" si="8"/>
        <v>111</v>
      </c>
      <c r="R33" s="633" t="s">
        <v>25</v>
      </c>
      <c r="S33" s="634">
        <f t="shared" si="10"/>
        <v>100</v>
      </c>
      <c r="T33" s="633" t="s">
        <v>25</v>
      </c>
      <c r="U33" s="634">
        <f t="shared" si="11"/>
        <v>100</v>
      </c>
      <c r="V33" s="633" t="s">
        <v>25</v>
      </c>
      <c r="W33" s="634">
        <f t="shared" si="12"/>
        <v>100</v>
      </c>
      <c r="X33" s="635"/>
      <c r="Y33" s="3679"/>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79"/>
      <c r="Q34" s="1302" t="str">
        <f>B34</f>
        <v>宗地面积</v>
      </c>
      <c r="R34" s="630" t="s">
        <v>25</v>
      </c>
      <c r="S34" s="631" t="e">
        <f t="shared" si="10"/>
        <v>#N/A</v>
      </c>
      <c r="T34" s="630" t="s">
        <v>25</v>
      </c>
      <c r="U34" s="631" t="e">
        <f t="shared" si="11"/>
        <v>#N/A</v>
      </c>
      <c r="V34" s="630" t="s">
        <v>25</v>
      </c>
      <c r="W34" s="631" t="e">
        <f t="shared" si="12"/>
        <v>#N/A</v>
      </c>
      <c r="X34" s="1303"/>
      <c r="Y34" s="3679"/>
      <c r="Z34" s="1304" t="str">
        <f t="shared" si="13"/>
        <v>宗地面积</v>
      </c>
      <c r="AA34" s="1305" t="e">
        <f t="shared" si="3"/>
        <v>#N/A</v>
      </c>
      <c r="AB34" s="1305" t="e">
        <f t="shared" si="4"/>
        <v>#N/A</v>
      </c>
      <c r="AC34" s="1305"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1"/>
      <c r="M35" s="2992"/>
      <c r="N35" s="2992"/>
      <c r="O35" s="3000"/>
      <c r="P35" s="3679"/>
      <c r="Q35" s="1302" t="str">
        <f t="shared" ref="Q35:Q40" si="14">B35</f>
        <v>宗地形状</v>
      </c>
      <c r="R35" s="630" t="s">
        <v>25</v>
      </c>
      <c r="S35" s="631">
        <f t="shared" si="10"/>
        <v>100</v>
      </c>
      <c r="T35" s="630" t="s">
        <v>25</v>
      </c>
      <c r="U35" s="631">
        <f t="shared" si="11"/>
        <v>100</v>
      </c>
      <c r="V35" s="630" t="s">
        <v>25</v>
      </c>
      <c r="W35" s="631">
        <f t="shared" si="12"/>
        <v>100</v>
      </c>
      <c r="X35" s="1303"/>
      <c r="Y35" s="3679"/>
      <c r="Z35" s="1304" t="str">
        <f t="shared" si="13"/>
        <v>宗地形状</v>
      </c>
      <c r="AA35" s="1305">
        <f t="shared" si="3"/>
        <v>1</v>
      </c>
      <c r="AB35" s="1305">
        <f t="shared" si="4"/>
        <v>1</v>
      </c>
      <c r="AC35" s="1305">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3"/>
      <c r="M36" s="2994"/>
      <c r="N36" s="2994"/>
      <c r="O36" s="2995"/>
      <c r="P36" s="3679"/>
      <c r="Q36" s="1302" t="str">
        <f t="shared" si="14"/>
        <v>宗地开发程度</v>
      </c>
      <c r="R36" s="626" t="s">
        <v>25</v>
      </c>
      <c r="S36" s="627">
        <f t="shared" si="10"/>
        <v>100</v>
      </c>
      <c r="T36" s="626" t="s">
        <v>25</v>
      </c>
      <c r="U36" s="627">
        <f t="shared" si="11"/>
        <v>100</v>
      </c>
      <c r="V36" s="626" t="s">
        <v>25</v>
      </c>
      <c r="W36" s="627">
        <f t="shared" si="12"/>
        <v>100</v>
      </c>
      <c r="X36" s="628"/>
      <c r="Y36" s="3679"/>
      <c r="Z36" s="19" t="str">
        <f t="shared" si="13"/>
        <v>宗地开发程度</v>
      </c>
      <c r="AA36" s="629">
        <f t="shared" si="3"/>
        <v>1</v>
      </c>
      <c r="AB36" s="629">
        <f t="shared" si="4"/>
        <v>1</v>
      </c>
      <c r="AC36" s="629">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1"/>
      <c r="M37" s="2992"/>
      <c r="N37" s="2992"/>
      <c r="O37" s="3000"/>
      <c r="P37" s="3679" t="s">
        <v>2217</v>
      </c>
      <c r="Q37" s="1302" t="str">
        <f t="shared" si="14"/>
        <v>工程地质条件</v>
      </c>
      <c r="R37" s="630" t="s">
        <v>25</v>
      </c>
      <c r="S37" s="631">
        <f t="shared" si="10"/>
        <v>100</v>
      </c>
      <c r="T37" s="630" t="s">
        <v>25</v>
      </c>
      <c r="U37" s="631">
        <f t="shared" si="11"/>
        <v>100</v>
      </c>
      <c r="V37" s="630" t="s">
        <v>25</v>
      </c>
      <c r="W37" s="631">
        <f t="shared" si="12"/>
        <v>100</v>
      </c>
      <c r="X37" s="1303"/>
      <c r="Y37" s="3679" t="s">
        <v>2217</v>
      </c>
      <c r="Z37" s="1304" t="str">
        <f t="shared" si="13"/>
        <v>工程地质条件</v>
      </c>
      <c r="AA37" s="1305">
        <f t="shared" si="3"/>
        <v>1</v>
      </c>
      <c r="AB37" s="1305">
        <f t="shared" si="4"/>
        <v>1</v>
      </c>
      <c r="AC37" s="1305">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79"/>
      <c r="Q38" s="1302">
        <f t="shared" si="14"/>
        <v>111</v>
      </c>
      <c r="R38" s="630" t="s">
        <v>25</v>
      </c>
      <c r="S38" s="631">
        <f t="shared" si="10"/>
        <v>100</v>
      </c>
      <c r="T38" s="630" t="s">
        <v>25</v>
      </c>
      <c r="U38" s="631">
        <f t="shared" si="11"/>
        <v>100</v>
      </c>
      <c r="V38" s="630" t="s">
        <v>25</v>
      </c>
      <c r="W38" s="631">
        <f t="shared" si="12"/>
        <v>100</v>
      </c>
      <c r="X38" s="1303"/>
      <c r="Y38" s="3679"/>
      <c r="Z38" s="1304">
        <f t="shared" si="13"/>
        <v>111</v>
      </c>
      <c r="AA38" s="1305">
        <f t="shared" si="3"/>
        <v>1</v>
      </c>
      <c r="AB38" s="1305">
        <f t="shared" si="4"/>
        <v>1</v>
      </c>
      <c r="AC38" s="1305">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79"/>
      <c r="Q39" s="1302">
        <f t="shared" si="14"/>
        <v>111</v>
      </c>
      <c r="R39" s="630" t="s">
        <v>25</v>
      </c>
      <c r="S39" s="631">
        <f t="shared" si="10"/>
        <v>100</v>
      </c>
      <c r="T39" s="630" t="s">
        <v>25</v>
      </c>
      <c r="U39" s="631">
        <f t="shared" si="11"/>
        <v>100</v>
      </c>
      <c r="V39" s="630" t="s">
        <v>25</v>
      </c>
      <c r="W39" s="631">
        <f t="shared" si="12"/>
        <v>100</v>
      </c>
      <c r="X39" s="1303"/>
      <c r="Y39" s="3679"/>
      <c r="Z39" s="1304">
        <f t="shared" si="13"/>
        <v>111</v>
      </c>
      <c r="AA39" s="1305">
        <f t="shared" si="3"/>
        <v>1</v>
      </c>
      <c r="AB39" s="1305">
        <f t="shared" si="4"/>
        <v>1</v>
      </c>
      <c r="AC39" s="1305">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79"/>
      <c r="Q40" s="1302">
        <f t="shared" si="14"/>
        <v>111</v>
      </c>
      <c r="R40" s="633" t="s">
        <v>25</v>
      </c>
      <c r="S40" s="634">
        <f t="shared" si="10"/>
        <v>100</v>
      </c>
      <c r="T40" s="633" t="s">
        <v>25</v>
      </c>
      <c r="U40" s="634">
        <f t="shared" si="11"/>
        <v>100</v>
      </c>
      <c r="V40" s="633" t="s">
        <v>25</v>
      </c>
      <c r="W40" s="634">
        <f t="shared" si="12"/>
        <v>100</v>
      </c>
      <c r="X40" s="635"/>
      <c r="Y40" s="3679"/>
      <c r="Z40" s="636">
        <f t="shared" si="13"/>
        <v>111</v>
      </c>
      <c r="AA40" s="1305">
        <f t="shared" si="3"/>
        <v>1</v>
      </c>
      <c r="AB40" s="1305">
        <f t="shared" si="4"/>
        <v>1</v>
      </c>
      <c r="AC40" s="1305">
        <f t="shared" si="5"/>
        <v>1</v>
      </c>
    </row>
    <row r="41" spans="1:29" ht="15">
      <c r="A41" s="367" t="s">
        <v>2359</v>
      </c>
      <c r="B41" s="1558" t="s">
        <v>2434</v>
      </c>
      <c r="C41" s="562" t="s">
        <v>1</v>
      </c>
      <c r="D41" s="369"/>
      <c r="E41" s="370"/>
      <c r="F41" s="371"/>
      <c r="G41" s="372"/>
      <c r="H41" s="373"/>
      <c r="I41" s="370"/>
      <c r="J41" s="373"/>
      <c r="K41" s="639"/>
      <c r="L41" s="3003"/>
      <c r="M41" s="2992"/>
      <c r="N41" s="2992"/>
      <c r="P41" s="3673" t="str">
        <f>A41</f>
        <v>成交单价</v>
      </c>
      <c r="Q41" s="3673"/>
      <c r="R41" s="3706">
        <f>E41</f>
        <v>0</v>
      </c>
      <c r="S41" s="3706"/>
      <c r="T41" s="3706">
        <f>G41</f>
        <v>0</v>
      </c>
      <c r="U41" s="3706"/>
      <c r="V41" s="3706">
        <f>I41</f>
        <v>0</v>
      </c>
      <c r="W41" s="3706"/>
      <c r="X41" s="617"/>
      <c r="Y41" s="637"/>
      <c r="Z41" s="617"/>
      <c r="AA41" s="617"/>
      <c r="AB41" s="617"/>
      <c r="AC41" s="617"/>
    </row>
    <row r="42" spans="1:29" ht="15.75" thickBot="1">
      <c r="A42" s="374" t="s">
        <v>2312</v>
      </c>
      <c r="B42" s="563"/>
      <c r="C42" s="377" t="e">
        <f>R43</f>
        <v>#DIV/0!</v>
      </c>
      <c r="D42" s="1764" t="s">
        <v>2684</v>
      </c>
      <c r="E42" s="377" t="e">
        <f>R42</f>
        <v>#DIV/0!</v>
      </c>
      <c r="F42" s="1766"/>
      <c r="G42" s="376" t="e">
        <f>T42</f>
        <v>#DIV/0!</v>
      </c>
      <c r="H42" s="1766"/>
      <c r="I42" s="377" t="e">
        <f>V42</f>
        <v>#DIV/0!</v>
      </c>
      <c r="J42" s="1766"/>
      <c r="K42" s="2478">
        <f>F42+H42+J42</f>
        <v>0</v>
      </c>
      <c r="L42" s="3003"/>
      <c r="M42" s="2992"/>
      <c r="N42" s="2992"/>
      <c r="P42" s="3673" t="str">
        <f>A42</f>
        <v>比较价值（元/平方米）</v>
      </c>
      <c r="Q42" s="3673"/>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3"/>
      <c r="M43" s="2992"/>
      <c r="N43" s="2992"/>
      <c r="P43" s="3675" t="str">
        <f>A43</f>
        <v>估价对象XX用房的比较价值（楼面单价，元/平方米）</v>
      </c>
      <c r="Q43" s="3676"/>
      <c r="R43" s="3717" t="e">
        <f>ROUND(IF(D42="简单平均",AVERAGE(R42:W42),R42*F42+T42*H42+V42*J42),0)</f>
        <v>#DIV/0!</v>
      </c>
      <c r="S43" s="3717"/>
      <c r="T43" s="3717"/>
      <c r="U43" s="3717"/>
      <c r="V43" s="3717"/>
      <c r="W43" s="3717"/>
      <c r="X43" s="617"/>
      <c r="Y43" s="617"/>
      <c r="Z43" s="617"/>
      <c r="AA43" s="617"/>
      <c r="AB43" s="617"/>
      <c r="AC43" s="617"/>
    </row>
    <row r="44" spans="1:29">
      <c r="G44" s="3006"/>
      <c r="M44" s="2992"/>
      <c r="N44" s="2992"/>
    </row>
    <row r="45" spans="1:29">
      <c r="M45" s="2992"/>
      <c r="N45" s="2992"/>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2397</v>
      </c>
      <c r="B50" s="565" t="s">
        <v>2398</v>
      </c>
      <c r="C50" s="1559" t="s">
        <v>2399</v>
      </c>
      <c r="D50" s="1560" t="s">
        <v>2400</v>
      </c>
      <c r="E50" s="566" t="s">
        <v>2401</v>
      </c>
      <c r="F50" s="567" t="s">
        <v>2402</v>
      </c>
      <c r="G50" s="1304" t="s">
        <v>2435</v>
      </c>
      <c r="H50" s="1304">
        <f>项目基本情况!G8</f>
        <v>0</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5"/>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2022-8-1</v>
      </c>
      <c r="D63" s="1151">
        <f>EDATE(C63,-3)</f>
        <v>44682</v>
      </c>
      <c r="E63" s="1151">
        <f t="shared" ref="E63:O63" si="18">EDATE(D63,-3)</f>
        <v>44593</v>
      </c>
      <c r="F63" s="1151">
        <f t="shared" si="18"/>
        <v>44501</v>
      </c>
      <c r="G63" s="1151">
        <f t="shared" si="18"/>
        <v>44409</v>
      </c>
      <c r="H63" s="1151">
        <f t="shared" si="18"/>
        <v>44317</v>
      </c>
      <c r="I63" s="1151">
        <f t="shared" si="18"/>
        <v>44228</v>
      </c>
      <c r="J63" s="1151">
        <f t="shared" si="18"/>
        <v>44136</v>
      </c>
      <c r="K63" s="1151">
        <f t="shared" si="18"/>
        <v>44044</v>
      </c>
      <c r="L63" s="1151">
        <f t="shared" si="18"/>
        <v>43952</v>
      </c>
      <c r="M63" s="1151">
        <f t="shared" si="18"/>
        <v>43862</v>
      </c>
      <c r="N63" s="1151">
        <f t="shared" si="18"/>
        <v>43770</v>
      </c>
      <c r="O63" s="1151">
        <f t="shared" si="18"/>
        <v>43678</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2" t="s">
        <v>2416</v>
      </c>
      <c r="B65" s="1095"/>
      <c r="C65" s="1152" t="str">
        <f>YEAR(C63)&amp;"-"&amp;ROUNDUP(MONTH(C63)/3,0)</f>
        <v>2022-3</v>
      </c>
      <c r="D65" s="1152" t="str">
        <f t="shared" ref="D65:O65" si="19">YEAR(D63)&amp;"-"&amp;ROUNDUP(MONTH(D63)/3,0)</f>
        <v>2022-2</v>
      </c>
      <c r="E65" s="1152" t="str">
        <f t="shared" si="19"/>
        <v>2022-1</v>
      </c>
      <c r="F65" s="1152" t="str">
        <f t="shared" si="19"/>
        <v>2021-4</v>
      </c>
      <c r="G65" s="1152" t="str">
        <f t="shared" si="19"/>
        <v>2021-3</v>
      </c>
      <c r="H65" s="1152" t="str">
        <f t="shared" si="19"/>
        <v>2021-2</v>
      </c>
      <c r="I65" s="1152" t="str">
        <f t="shared" si="19"/>
        <v>2021-1</v>
      </c>
      <c r="J65" s="1152" t="str">
        <f t="shared" si="19"/>
        <v>2020-4</v>
      </c>
      <c r="K65" s="1152" t="str">
        <f t="shared" si="19"/>
        <v>2020-3</v>
      </c>
      <c r="L65" s="1152" t="str">
        <f t="shared" si="19"/>
        <v>2020-2</v>
      </c>
      <c r="M65" s="1152" t="str">
        <f t="shared" si="19"/>
        <v>2020-1</v>
      </c>
      <c r="N65" s="1152" t="str">
        <f t="shared" si="19"/>
        <v>2019-4</v>
      </c>
      <c r="O65" s="1152" t="str">
        <f t="shared" si="19"/>
        <v>2019-3</v>
      </c>
      <c r="P65" s="393"/>
    </row>
    <row r="66" spans="1:17" s="25" customFormat="1" ht="33.75" customHeight="1">
      <c r="A66" s="1567"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估价对象为北京市房地产，为所有。根据《》[]，估价对象建筑面积为70.74平方米。根据《》[]，估价对象（分摊）出让国有建设用地使用权面积为平方米。估价对象用途为。</v>
      </c>
      <c r="B6" s="1317"/>
      <c r="C6" s="1317"/>
      <c r="D6" s="1317"/>
      <c r="E6" s="1317"/>
      <c r="F6" s="1317"/>
      <c r="G6" s="1317"/>
    </row>
    <row r="7" spans="1:7" ht="18.75">
      <c r="A7" s="1318" t="s">
        <v>1198</v>
      </c>
    </row>
    <row r="8" spans="1:7" ht="36">
      <c r="A8" s="1320" t="str">
        <f>IF(项目基本情况!D4="抵押",IF(项目基本情况!B4=项目基本情况!B5,定义!C51,定义!B51),定义!D51)</f>
        <v>为估价委托人在向中国银行办理贷款手续过程中，确定房地产抵押贷款额度提供参考依据而评估房地产抵押价值。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2022年8月4日（评估专业人员实地查勘之日）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3021</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1230</v>
      </c>
      <c r="B2" s="1617">
        <f>IF(D2="——",IF(C2="元",ROUND(C50*D3,0),ROUND(C50*D3/10000,0)),IF(C2="元",ROUND(C50*D3,0),ROUND(C50*D3/10000,0))-E2)</f>
        <v>68</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1231</v>
      </c>
      <c r="B3" s="1930">
        <f>ROUND(IF(D2="——",C50,IF(C2="万元",B2*10000/D3,B2/D3)),0)</f>
        <v>9606</v>
      </c>
      <c r="C3" s="1627" t="s">
        <v>2185</v>
      </c>
      <c r="D3" s="1627">
        <f>IF(C1="仅计算典型户型",'数据-取费表'!E5,'数据-取费表'!B5)</f>
        <v>70.739999999999995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3319"/>
      <c r="Y4" s="3642" t="s">
        <v>2192</v>
      </c>
      <c r="Z4" s="3643"/>
      <c r="AA4" s="3650" t="s">
        <v>2188</v>
      </c>
      <c r="AB4" s="3650" t="s">
        <v>2189</v>
      </c>
      <c r="AC4" s="3650" t="s">
        <v>2190</v>
      </c>
    </row>
    <row r="5" spans="1:29" ht="15">
      <c r="A5" s="1635"/>
      <c r="B5" s="1636"/>
      <c r="C5" s="3638" t="s">
        <v>2193</v>
      </c>
      <c r="D5" s="3639"/>
      <c r="E5" s="3668" t="s">
        <v>3004</v>
      </c>
      <c r="F5" s="3665"/>
      <c r="G5" s="3669" t="s">
        <v>3046</v>
      </c>
      <c r="H5" s="3639"/>
      <c r="I5" s="3669" t="s">
        <v>3005</v>
      </c>
      <c r="J5" s="3639"/>
      <c r="K5" s="1933"/>
      <c r="L5" s="2963"/>
      <c r="M5" s="2964"/>
      <c r="N5" s="2964"/>
      <c r="O5" s="2964"/>
      <c r="P5" s="3659"/>
      <c r="Q5" s="3660"/>
      <c r="R5" s="3644"/>
      <c r="S5" s="3645"/>
      <c r="T5" s="3644"/>
      <c r="U5" s="3645"/>
      <c r="V5" s="3663"/>
      <c r="W5" s="3663"/>
      <c r="X5" s="3319"/>
      <c r="Y5" s="3644"/>
      <c r="Z5" s="3645"/>
      <c r="AA5" s="3651"/>
      <c r="AB5" s="3651"/>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3319"/>
      <c r="Y6" s="3646"/>
      <c r="Z6" s="3647"/>
      <c r="AA6" s="3652"/>
      <c r="AB6" s="3652"/>
      <c r="AC6" s="3652"/>
    </row>
    <row r="7" spans="1:29" s="1652" customFormat="1" ht="15.75" thickBot="1">
      <c r="A7" s="1640" t="s">
        <v>2199</v>
      </c>
      <c r="B7" s="1641"/>
      <c r="C7" s="1642">
        <f>'数据-取费表'!B2</f>
        <v>44777</v>
      </c>
      <c r="D7" s="1643">
        <v>100</v>
      </c>
      <c r="E7" s="1644">
        <f>C7</f>
        <v>44777</v>
      </c>
      <c r="F7" s="1645">
        <f>SUMIF(59:59,YEAR(E7)&amp;"-"&amp;MONTH(E7),60:60)</f>
        <v>100</v>
      </c>
      <c r="G7" s="1934">
        <f>E7</f>
        <v>44777</v>
      </c>
      <c r="H7" s="1643">
        <f>SUMIF(59:59,YEAR(G7)&amp;"-"&amp;MONTH(G7),60:60)</f>
        <v>100</v>
      </c>
      <c r="I7" s="1934">
        <f>G7</f>
        <v>44777</v>
      </c>
      <c r="J7" s="1643">
        <f>SUMIF(59:59,YEAR(I7)&amp;"-"&amp;MONTH(I7),60:60)</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7" si="3">D8/F8</f>
        <v>1</v>
      </c>
      <c r="AB8" s="1651">
        <f t="shared" ref="AB8:AB47" si="4">D8/H8</f>
        <v>1</v>
      </c>
      <c r="AC8" s="1651">
        <f t="shared" ref="AC8:AC47" si="5">D8/J8</f>
        <v>1</v>
      </c>
    </row>
    <row r="9" spans="1:29" s="1652" customFormat="1">
      <c r="A9" s="3313" t="s">
        <v>2204</v>
      </c>
      <c r="B9" s="1655" t="s">
        <v>2205</v>
      </c>
      <c r="C9" s="3321" t="s">
        <v>2996</v>
      </c>
      <c r="D9" s="1657">
        <v>100</v>
      </c>
      <c r="E9" s="3322" t="s">
        <v>2996</v>
      </c>
      <c r="F9" s="1657">
        <f>SUMIF(64:64,E9,65:65)-SUMIF(64:64,C9,65:65)+100</f>
        <v>100</v>
      </c>
      <c r="G9" s="3323" t="s">
        <v>2996</v>
      </c>
      <c r="H9" s="1657">
        <f>SUMIF(64:64,G9,65:65)-SUMIF(64:64,C9,65:65)+100</f>
        <v>100</v>
      </c>
      <c r="I9" s="3323" t="s">
        <v>2996</v>
      </c>
      <c r="J9" s="1657">
        <f>SUMIF(64:64,I9,65:65)-SUMIF(64:64,C9,65:65)+100</f>
        <v>100</v>
      </c>
      <c r="K9" s="1935"/>
      <c r="L9" s="2963"/>
      <c r="M9" s="2936"/>
      <c r="N9" s="2936"/>
      <c r="O9" s="2936"/>
      <c r="P9" s="3626" t="s">
        <v>2206</v>
      </c>
      <c r="Q9" s="331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
      <c r="A10" s="1662"/>
      <c r="B10" s="1663" t="s">
        <v>2208</v>
      </c>
      <c r="C10" s="1664" t="s">
        <v>3006</v>
      </c>
      <c r="D10" s="1665">
        <v>100</v>
      </c>
      <c r="E10" s="1664" t="s">
        <v>3006</v>
      </c>
      <c r="F10" s="1665">
        <f>SUMIF(66:66,E10,67:67)-SUMIF(66:66,C10,67:67)+100</f>
        <v>100</v>
      </c>
      <c r="G10" s="1664" t="s">
        <v>3006</v>
      </c>
      <c r="H10" s="1665">
        <f>SUMIF(66:66,G10,67:67)-SUMIF(66:66,C10,67:67)+100</f>
        <v>100</v>
      </c>
      <c r="I10" s="1664" t="s">
        <v>2997</v>
      </c>
      <c r="J10" s="1665">
        <f>SUMIF(66:66,I10,67:67)-SUMIF(66:66,C10,67:67)+100</f>
        <v>102</v>
      </c>
      <c r="K10" s="1960">
        <v>2</v>
      </c>
      <c r="L10" s="2965"/>
      <c r="M10" s="2966"/>
      <c r="N10" s="2966"/>
      <c r="O10" s="2966"/>
      <c r="P10" s="3626"/>
      <c r="Q10" s="3312" t="str">
        <f t="shared" si="6"/>
        <v>土地使用年限（年）</v>
      </c>
      <c r="R10" s="1648" t="s">
        <v>25</v>
      </c>
      <c r="S10" s="1649">
        <f t="shared" si="0"/>
        <v>100</v>
      </c>
      <c r="T10" s="1648" t="s">
        <v>25</v>
      </c>
      <c r="U10" s="1649">
        <f t="shared" si="1"/>
        <v>100</v>
      </c>
      <c r="V10" s="1648" t="s">
        <v>25</v>
      </c>
      <c r="W10" s="1649">
        <f t="shared" si="2"/>
        <v>102</v>
      </c>
      <c r="X10" s="1650"/>
      <c r="Y10" s="3534"/>
      <c r="Z10" s="1661" t="str">
        <f t="shared" si="7"/>
        <v>土地使用年限（年）</v>
      </c>
      <c r="AA10" s="1651">
        <f t="shared" si="3"/>
        <v>1</v>
      </c>
      <c r="AB10" s="1651">
        <f t="shared" si="4"/>
        <v>1</v>
      </c>
      <c r="AC10" s="1651">
        <f t="shared" si="5"/>
        <v>0.98039215686274506</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26"/>
      <c r="Q11" s="3312"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75" hidden="1" thickBot="1">
      <c r="A12" s="3314"/>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26"/>
      <c r="Q12" s="3312">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75" hidden="1" thickBot="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26"/>
      <c r="Q13" s="3312">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26"/>
      <c r="Q14" s="3312">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5</v>
      </c>
      <c r="L15" s="2968"/>
      <c r="M15" s="2964"/>
      <c r="N15" s="2964"/>
      <c r="O15" s="2964"/>
      <c r="P15" s="3629" t="s">
        <v>2211</v>
      </c>
      <c r="Q15" s="3317" t="str">
        <f t="shared" si="6"/>
        <v>办公集聚程度</v>
      </c>
      <c r="R15" s="1693" t="s">
        <v>25</v>
      </c>
      <c r="S15" s="1694">
        <f t="shared" si="0"/>
        <v>100</v>
      </c>
      <c r="T15" s="1693" t="s">
        <v>25</v>
      </c>
      <c r="U15" s="1694">
        <f t="shared" si="1"/>
        <v>100</v>
      </c>
      <c r="V15" s="1693" t="s">
        <v>25</v>
      </c>
      <c r="W15" s="1694">
        <f t="shared" si="2"/>
        <v>100</v>
      </c>
      <c r="X15" s="3319"/>
      <c r="Y15" s="3629" t="s">
        <v>2211</v>
      </c>
      <c r="Z15" s="3320" t="str">
        <f t="shared" si="7"/>
        <v>办公集聚程度</v>
      </c>
      <c r="AA15" s="3315">
        <f t="shared" si="3"/>
        <v>1</v>
      </c>
      <c r="AB15" s="3315">
        <f t="shared" si="4"/>
        <v>1</v>
      </c>
      <c r="AC15" s="3315">
        <f t="shared" si="5"/>
        <v>1</v>
      </c>
    </row>
    <row r="16" spans="1:29" ht="15">
      <c r="A16" s="1670"/>
      <c r="B16" s="2461"/>
      <c r="C16" s="1943" t="s">
        <v>31</v>
      </c>
      <c r="D16" s="1699"/>
      <c r="E16" s="1943" t="s">
        <v>31</v>
      </c>
      <c r="F16" s="1699"/>
      <c r="G16" s="1943" t="s">
        <v>31</v>
      </c>
      <c r="H16" s="1703"/>
      <c r="I16" s="1943" t="s">
        <v>31</v>
      </c>
      <c r="J16" s="1699"/>
      <c r="K16" s="2441"/>
      <c r="L16" s="2968"/>
      <c r="M16" s="2964"/>
      <c r="N16" s="2964"/>
      <c r="O16" s="2964"/>
      <c r="P16" s="3630"/>
      <c r="Q16" s="3317"/>
      <c r="R16" s="1693"/>
      <c r="S16" s="1694"/>
      <c r="T16" s="1693"/>
      <c r="U16" s="1694"/>
      <c r="V16" s="1693"/>
      <c r="W16" s="1694"/>
      <c r="X16" s="3319"/>
      <c r="Y16" s="3630"/>
      <c r="Z16" s="3320"/>
      <c r="AA16" s="3315">
        <v>1</v>
      </c>
      <c r="AB16" s="3315">
        <v>1</v>
      </c>
      <c r="AC16" s="3315">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95</v>
      </c>
      <c r="G17" s="1707"/>
      <c r="H17" s="1710">
        <f>SUMIF(79:79,G18,80:80)-SUMIF(79:79,C18,80:80)+100</f>
        <v>95</v>
      </c>
      <c r="I17" s="1707"/>
      <c r="J17" s="1710">
        <f>SUMIF(79:79,I18,80:80)-SUMIF(79:79,C18,80:80)+100</f>
        <v>100</v>
      </c>
      <c r="K17" s="2440">
        <v>5</v>
      </c>
      <c r="L17" s="2968"/>
      <c r="M17" s="2964"/>
      <c r="N17" s="2964"/>
      <c r="O17" s="2964"/>
      <c r="P17" s="3630"/>
      <c r="Q17" s="3317" t="str">
        <f>B17</f>
        <v>交通便捷度</v>
      </c>
      <c r="R17" s="1693" t="s">
        <v>25</v>
      </c>
      <c r="S17" s="1694">
        <f>F17</f>
        <v>95</v>
      </c>
      <c r="T17" s="1693" t="s">
        <v>25</v>
      </c>
      <c r="U17" s="1694">
        <f>H17</f>
        <v>95</v>
      </c>
      <c r="V17" s="1693" t="s">
        <v>25</v>
      </c>
      <c r="W17" s="1694">
        <f>J17</f>
        <v>100</v>
      </c>
      <c r="X17" s="3319"/>
      <c r="Y17" s="3630"/>
      <c r="Z17" s="3320" t="str">
        <f>Q17</f>
        <v>交通便捷度</v>
      </c>
      <c r="AA17" s="3315">
        <f t="shared" si="3"/>
        <v>1.0526315789473684</v>
      </c>
      <c r="AB17" s="3315">
        <f t="shared" si="4"/>
        <v>1.0526315789473684</v>
      </c>
      <c r="AC17" s="3315">
        <f t="shared" si="5"/>
        <v>1</v>
      </c>
    </row>
    <row r="18" spans="1:29" ht="15">
      <c r="A18" s="1670"/>
      <c r="B18" s="2463"/>
      <c r="C18" s="1947" t="s">
        <v>30</v>
      </c>
      <c r="D18" s="1703"/>
      <c r="E18" s="1714" t="s">
        <v>31</v>
      </c>
      <c r="F18" s="1703"/>
      <c r="G18" s="1713" t="s">
        <v>31</v>
      </c>
      <c r="H18" s="1699"/>
      <c r="I18" s="1713" t="s">
        <v>30</v>
      </c>
      <c r="J18" s="1699"/>
      <c r="K18" s="2441"/>
      <c r="L18" s="2968"/>
      <c r="M18" s="2964"/>
      <c r="N18" s="2964"/>
      <c r="O18" s="2964"/>
      <c r="P18" s="3630"/>
      <c r="Q18" s="3317"/>
      <c r="R18" s="1693"/>
      <c r="S18" s="1694"/>
      <c r="T18" s="1693"/>
      <c r="U18" s="1694"/>
      <c r="V18" s="1693"/>
      <c r="W18" s="1694"/>
      <c r="X18" s="3319"/>
      <c r="Y18" s="3630"/>
      <c r="Z18" s="3320"/>
      <c r="AA18" s="3315">
        <v>1</v>
      </c>
      <c r="AB18" s="3315">
        <v>1</v>
      </c>
      <c r="AC18" s="3315">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8"/>
      <c r="M19" s="2964"/>
      <c r="N19" s="2964"/>
      <c r="O19" s="2964"/>
      <c r="P19" s="3630"/>
      <c r="Q19" s="3317" t="str">
        <f>B19</f>
        <v>公共配套设施</v>
      </c>
      <c r="R19" s="1693" t="s">
        <v>25</v>
      </c>
      <c r="S19" s="1694">
        <f>F19</f>
        <v>100</v>
      </c>
      <c r="T19" s="1693" t="s">
        <v>25</v>
      </c>
      <c r="U19" s="1694">
        <f>H19</f>
        <v>100</v>
      </c>
      <c r="V19" s="1693" t="s">
        <v>25</v>
      </c>
      <c r="W19" s="1694">
        <f>J19</f>
        <v>100</v>
      </c>
      <c r="X19" s="3319"/>
      <c r="Y19" s="3630"/>
      <c r="Z19" s="3320" t="str">
        <f>Q19</f>
        <v>公共配套设施</v>
      </c>
      <c r="AA19" s="3315">
        <f t="shared" si="3"/>
        <v>1</v>
      </c>
      <c r="AB19" s="3315">
        <f t="shared" si="4"/>
        <v>1</v>
      </c>
      <c r="AC19" s="3315">
        <f t="shared" si="5"/>
        <v>1</v>
      </c>
    </row>
    <row r="20" spans="1:29" ht="15">
      <c r="A20" s="1670"/>
      <c r="B20" s="2463"/>
      <c r="C20" s="1943" t="s">
        <v>31</v>
      </c>
      <c r="D20" s="1699"/>
      <c r="E20" s="1943" t="s">
        <v>31</v>
      </c>
      <c r="F20" s="1699"/>
      <c r="G20" s="1943" t="s">
        <v>31</v>
      </c>
      <c r="H20" s="1699"/>
      <c r="I20" s="1943" t="s">
        <v>31</v>
      </c>
      <c r="J20" s="1699"/>
      <c r="K20" s="2441"/>
      <c r="L20" s="2968"/>
      <c r="M20" s="2964"/>
      <c r="N20" s="2964"/>
      <c r="O20" s="2964"/>
      <c r="P20" s="3630"/>
      <c r="Q20" s="3317"/>
      <c r="R20" s="1693"/>
      <c r="S20" s="1694"/>
      <c r="T20" s="1693"/>
      <c r="U20" s="1694"/>
      <c r="V20" s="1693"/>
      <c r="W20" s="1694"/>
      <c r="X20" s="3319"/>
      <c r="Y20" s="3630"/>
      <c r="Z20" s="3320"/>
      <c r="AA20" s="3315">
        <v>1</v>
      </c>
      <c r="AB20" s="3315">
        <v>1</v>
      </c>
      <c r="AC20" s="3315">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2</v>
      </c>
      <c r="L21" s="2968"/>
      <c r="M21" s="2964"/>
      <c r="N21" s="2964"/>
      <c r="O21" s="2964"/>
      <c r="P21" s="3630"/>
      <c r="Q21" s="3317" t="str">
        <f>B21</f>
        <v>基础设施水平</v>
      </c>
      <c r="R21" s="1693" t="s">
        <v>25</v>
      </c>
      <c r="S21" s="1694">
        <f>F21</f>
        <v>100</v>
      </c>
      <c r="T21" s="1693" t="s">
        <v>25</v>
      </c>
      <c r="U21" s="1694">
        <f>H21</f>
        <v>100</v>
      </c>
      <c r="V21" s="1693" t="s">
        <v>25</v>
      </c>
      <c r="W21" s="1694">
        <f>J21</f>
        <v>100</v>
      </c>
      <c r="X21" s="3319"/>
      <c r="Y21" s="3630"/>
      <c r="Z21" s="3320" t="str">
        <f>Q21</f>
        <v>基础设施水平</v>
      </c>
      <c r="AA21" s="3315">
        <f t="shared" ref="AA21" si="8">D21/F21</f>
        <v>1</v>
      </c>
      <c r="AB21" s="3315">
        <f t="shared" ref="AB21" si="9">D21/H21</f>
        <v>1</v>
      </c>
      <c r="AC21" s="3315">
        <f t="shared" ref="AC21" si="10">D21/J21</f>
        <v>1</v>
      </c>
    </row>
    <row r="22" spans="1:29" ht="15">
      <c r="A22" s="1670"/>
      <c r="B22" s="2464"/>
      <c r="C22" s="1947" t="s">
        <v>3007</v>
      </c>
      <c r="D22" s="1699"/>
      <c r="E22" s="1947" t="s">
        <v>3007</v>
      </c>
      <c r="F22" s="1699"/>
      <c r="G22" s="1947" t="s">
        <v>3007</v>
      </c>
      <c r="H22" s="1699"/>
      <c r="I22" s="1947" t="s">
        <v>3007</v>
      </c>
      <c r="J22" s="1699"/>
      <c r="K22" s="2442"/>
      <c r="L22" s="2968"/>
      <c r="M22" s="2964"/>
      <c r="N22" s="2964"/>
      <c r="O22" s="2964"/>
      <c r="P22" s="3630"/>
      <c r="Q22" s="3317"/>
      <c r="R22" s="1693"/>
      <c r="S22" s="1694"/>
      <c r="T22" s="1693"/>
      <c r="U22" s="1694"/>
      <c r="V22" s="1693"/>
      <c r="W22" s="1694"/>
      <c r="X22" s="3319"/>
      <c r="Y22" s="3630"/>
      <c r="Z22" s="3320"/>
      <c r="AA22" s="3315">
        <v>1</v>
      </c>
      <c r="AB22" s="3315">
        <v>1</v>
      </c>
      <c r="AC22" s="3315">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8"/>
      <c r="M23" s="2964"/>
      <c r="N23" s="2964"/>
      <c r="O23" s="2964"/>
      <c r="P23" s="3630"/>
      <c r="Q23" s="3317" t="str">
        <f>B23</f>
        <v>环境质量</v>
      </c>
      <c r="R23" s="1693" t="s">
        <v>25</v>
      </c>
      <c r="S23" s="1694">
        <f>F23</f>
        <v>100</v>
      </c>
      <c r="T23" s="1693" t="s">
        <v>25</v>
      </c>
      <c r="U23" s="1694">
        <f>H23</f>
        <v>100</v>
      </c>
      <c r="V23" s="1693" t="s">
        <v>25</v>
      </c>
      <c r="W23" s="1694">
        <f>J23</f>
        <v>100</v>
      </c>
      <c r="X23" s="3319"/>
      <c r="Y23" s="3630"/>
      <c r="Z23" s="3320" t="str">
        <f>Q23</f>
        <v>环境质量</v>
      </c>
      <c r="AA23" s="3315">
        <f t="shared" si="3"/>
        <v>1</v>
      </c>
      <c r="AB23" s="3315">
        <f t="shared" si="4"/>
        <v>1</v>
      </c>
      <c r="AC23" s="3315">
        <f t="shared" si="5"/>
        <v>1</v>
      </c>
    </row>
    <row r="24" spans="1:29" ht="15">
      <c r="A24" s="1670"/>
      <c r="B24" s="2464"/>
      <c r="C24" s="1943" t="s">
        <v>30</v>
      </c>
      <c r="D24" s="1699"/>
      <c r="E24" s="1943" t="s">
        <v>30</v>
      </c>
      <c r="F24" s="1699"/>
      <c r="G24" s="1943" t="s">
        <v>30</v>
      </c>
      <c r="H24" s="1699"/>
      <c r="I24" s="1943" t="s">
        <v>30</v>
      </c>
      <c r="J24" s="1699"/>
      <c r="K24" s="2441"/>
      <c r="L24" s="2968"/>
      <c r="M24" s="2964"/>
      <c r="N24" s="2964"/>
      <c r="O24" s="2964"/>
      <c r="P24" s="3630"/>
      <c r="Q24" s="3317"/>
      <c r="R24" s="1693"/>
      <c r="S24" s="1694"/>
      <c r="T24" s="1693"/>
      <c r="U24" s="1694"/>
      <c r="V24" s="1693"/>
      <c r="W24" s="1694"/>
      <c r="X24" s="3319"/>
      <c r="Y24" s="3630"/>
      <c r="Z24" s="3320"/>
      <c r="AA24" s="3315">
        <v>1</v>
      </c>
      <c r="AB24" s="3315">
        <v>1</v>
      </c>
      <c r="AC24" s="3315">
        <v>1</v>
      </c>
    </row>
    <row r="25" spans="1:29" ht="27" hidden="1">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8"/>
      <c r="M25" s="2964"/>
      <c r="N25" s="2964"/>
      <c r="O25" s="2964"/>
      <c r="P25" s="3630"/>
      <c r="Q25" s="3317" t="str">
        <f>B25</f>
        <v>毗邻道路的类型与等级</v>
      </c>
      <c r="R25" s="1693" t="s">
        <v>25</v>
      </c>
      <c r="S25" s="1694">
        <f>F25</f>
        <v>100</v>
      </c>
      <c r="T25" s="1693" t="s">
        <v>25</v>
      </c>
      <c r="U25" s="1694">
        <f>H25</f>
        <v>100</v>
      </c>
      <c r="V25" s="1693" t="s">
        <v>25</v>
      </c>
      <c r="W25" s="1694">
        <f>J25</f>
        <v>100</v>
      </c>
      <c r="X25" s="3319"/>
      <c r="Y25" s="3630"/>
      <c r="Z25" s="3320" t="str">
        <f>Q25</f>
        <v>毗邻道路的类型与等级</v>
      </c>
      <c r="AA25" s="3315">
        <f t="shared" si="3"/>
        <v>1</v>
      </c>
      <c r="AB25" s="3315">
        <f t="shared" si="4"/>
        <v>1</v>
      </c>
      <c r="AC25" s="3315">
        <f t="shared" si="5"/>
        <v>1</v>
      </c>
    </row>
    <row r="26" spans="1:29" ht="15" hidden="1">
      <c r="A26" s="1635"/>
      <c r="B26" s="2463"/>
      <c r="C26" s="1951"/>
      <c r="D26" s="1679"/>
      <c r="E26" s="1959"/>
      <c r="F26" s="1679"/>
      <c r="G26" s="1951"/>
      <c r="H26" s="1679"/>
      <c r="I26" s="1959"/>
      <c r="J26" s="1679"/>
      <c r="K26" s="2441"/>
      <c r="L26" s="2968"/>
      <c r="M26" s="2964"/>
      <c r="N26" s="2964"/>
      <c r="O26" s="2964"/>
      <c r="P26" s="3630"/>
      <c r="Q26" s="3317"/>
      <c r="R26" s="1693"/>
      <c r="S26" s="1694"/>
      <c r="T26" s="1693"/>
      <c r="U26" s="1694"/>
      <c r="V26" s="1693"/>
      <c r="W26" s="1694"/>
      <c r="X26" s="3319"/>
      <c r="Y26" s="3630"/>
      <c r="Z26" s="3320"/>
      <c r="AA26" s="3315">
        <v>1</v>
      </c>
      <c r="AB26" s="3315">
        <v>1</v>
      </c>
      <c r="AC26" s="3315">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30"/>
      <c r="Q27" s="3317" t="str">
        <f t="shared" ref="Q27:Q47" si="11">B27</f>
        <v>楼层</v>
      </c>
      <c r="R27" s="1693" t="s">
        <v>25</v>
      </c>
      <c r="S27" s="1694">
        <f>F27</f>
        <v>100</v>
      </c>
      <c r="T27" s="1693" t="s">
        <v>25</v>
      </c>
      <c r="U27" s="1694">
        <f>H27</f>
        <v>100</v>
      </c>
      <c r="V27" s="1693" t="s">
        <v>25</v>
      </c>
      <c r="W27" s="1694">
        <f>J27</f>
        <v>100</v>
      </c>
      <c r="X27" s="3319"/>
      <c r="Y27" s="3630"/>
      <c r="Z27" s="3320" t="str">
        <f>Q27</f>
        <v>楼层</v>
      </c>
      <c r="AA27" s="3315">
        <f t="shared" si="3"/>
        <v>1</v>
      </c>
      <c r="AB27" s="3315">
        <f t="shared" si="4"/>
        <v>1</v>
      </c>
      <c r="AC27" s="3315">
        <f t="shared" si="5"/>
        <v>1</v>
      </c>
    </row>
    <row r="28" spans="1:29" s="1652" customFormat="1" ht="15">
      <c r="A28" s="3314"/>
      <c r="B28" s="2462" t="s">
        <v>2330</v>
      </c>
      <c r="C28" s="2466" t="e">
        <f>#REF!</f>
        <v>#REF!</v>
      </c>
      <c r="D28" s="1724">
        <v>100</v>
      </c>
      <c r="E28" s="3331" t="s">
        <v>3019</v>
      </c>
      <c r="F28" s="1724">
        <f>SUMIF(91:91,E28,92:92)-SUMIF(91:91,C28,92:92)+100</f>
        <v>196</v>
      </c>
      <c r="G28" s="3332" t="s">
        <v>3047</v>
      </c>
      <c r="H28" s="1724">
        <f>SUMIF(91:91,G28,92:92)-SUMIF(91:91,C28,92:92)+100</f>
        <v>196</v>
      </c>
      <c r="I28" s="3331" t="s">
        <v>3035</v>
      </c>
      <c r="J28" s="1724">
        <f>SUMIF(91:91,I28,92:92)-SUMIF(91:91,C28,92:92)+100</f>
        <v>199</v>
      </c>
      <c r="K28" s="1960">
        <v>1</v>
      </c>
      <c r="L28" s="2963"/>
      <c r="M28" s="2936"/>
      <c r="N28" s="2936"/>
      <c r="O28" s="2936"/>
      <c r="P28" s="3630"/>
      <c r="Q28" s="3312" t="str">
        <f t="shared" si="11"/>
        <v>朝向</v>
      </c>
      <c r="R28" s="1648" t="s">
        <v>25</v>
      </c>
      <c r="S28" s="1649">
        <f>F28</f>
        <v>196</v>
      </c>
      <c r="T28" s="1648" t="s">
        <v>25</v>
      </c>
      <c r="U28" s="1649">
        <f>H28</f>
        <v>196</v>
      </c>
      <c r="V28" s="1648" t="s">
        <v>25</v>
      </c>
      <c r="W28" s="1649">
        <f>J28</f>
        <v>199</v>
      </c>
      <c r="X28" s="1650"/>
      <c r="Y28" s="3630"/>
      <c r="Z28" s="1661" t="str">
        <f>Q28</f>
        <v>朝向</v>
      </c>
      <c r="AA28" s="3315">
        <f>D28/F28</f>
        <v>0.51020408163265307</v>
      </c>
      <c r="AB28" s="3315">
        <f>D28/H28</f>
        <v>0.51020408163265307</v>
      </c>
      <c r="AC28" s="3315">
        <f>D28/J28</f>
        <v>0.50251256281407031</v>
      </c>
    </row>
    <row r="29" spans="1:29" ht="15.75" thickBot="1">
      <c r="A29" s="1670"/>
      <c r="B29" s="3326" t="s">
        <v>3003</v>
      </c>
      <c r="C29" s="3327" t="s">
        <v>3049</v>
      </c>
      <c r="D29" s="1679">
        <v>100</v>
      </c>
      <c r="E29" s="3328" t="s">
        <v>3008</v>
      </c>
      <c r="F29" s="1679">
        <f>SUMIF(93:93,E29,94:94)-SUMIF(93:93,C29,94:94)+100</f>
        <v>104</v>
      </c>
      <c r="G29" s="3329" t="s">
        <v>3008</v>
      </c>
      <c r="H29" s="1679">
        <f>SUMIF(93:93,G29,94:94)-SUMIF(93:93,C29,94:94)+100</f>
        <v>104</v>
      </c>
      <c r="I29" s="3328" t="s">
        <v>3034</v>
      </c>
      <c r="J29" s="1679">
        <f>SUMIF(93:93,I29,94:94)-SUMIF(93:93,C29,94:94)+100</f>
        <v>102</v>
      </c>
      <c r="K29" s="1957"/>
      <c r="L29" s="2968"/>
      <c r="M29" s="2964"/>
      <c r="N29" s="2964"/>
      <c r="O29" s="2964"/>
      <c r="P29" s="3630"/>
      <c r="Q29" s="3317" t="str">
        <f t="shared" si="11"/>
        <v>楼层</v>
      </c>
      <c r="R29" s="1693" t="s">
        <v>25</v>
      </c>
      <c r="S29" s="1694">
        <f t="shared" ref="S29:S47" si="12">F29</f>
        <v>104</v>
      </c>
      <c r="T29" s="1693" t="s">
        <v>25</v>
      </c>
      <c r="U29" s="1694">
        <f t="shared" ref="U29:U47" si="13">H29</f>
        <v>104</v>
      </c>
      <c r="V29" s="1693" t="s">
        <v>25</v>
      </c>
      <c r="W29" s="1694">
        <f t="shared" ref="W29:W47" si="14">J29</f>
        <v>102</v>
      </c>
      <c r="X29" s="3319"/>
      <c r="Y29" s="3630"/>
      <c r="Z29" s="3320" t="str">
        <f t="shared" ref="Z29:Z47" si="15">Q29</f>
        <v>楼层</v>
      </c>
      <c r="AA29" s="3315">
        <f t="shared" si="3"/>
        <v>0.96153846153846156</v>
      </c>
      <c r="AB29" s="3315">
        <f t="shared" si="4"/>
        <v>0.96153846153846156</v>
      </c>
      <c r="AC29" s="3315">
        <f t="shared" si="5"/>
        <v>0.98039215686274506</v>
      </c>
    </row>
    <row r="30" spans="1:29" ht="15.75" hidden="1" thickBot="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30"/>
      <c r="Q30" s="3317">
        <f t="shared" si="11"/>
        <v>111</v>
      </c>
      <c r="R30" s="1693" t="s">
        <v>25</v>
      </c>
      <c r="S30" s="1694">
        <f t="shared" si="12"/>
        <v>100</v>
      </c>
      <c r="T30" s="1693" t="s">
        <v>25</v>
      </c>
      <c r="U30" s="1694">
        <f t="shared" si="13"/>
        <v>100</v>
      </c>
      <c r="V30" s="1693" t="s">
        <v>25</v>
      </c>
      <c r="W30" s="1694">
        <f t="shared" si="14"/>
        <v>100</v>
      </c>
      <c r="X30" s="3319"/>
      <c r="Y30" s="3630"/>
      <c r="Z30" s="3320">
        <f t="shared" si="15"/>
        <v>111</v>
      </c>
      <c r="AA30" s="3315">
        <f t="shared" si="3"/>
        <v>1</v>
      </c>
      <c r="AB30" s="3315">
        <f t="shared" si="4"/>
        <v>1</v>
      </c>
      <c r="AC30" s="3315">
        <f t="shared" si="5"/>
        <v>1</v>
      </c>
    </row>
    <row r="31" spans="1:29" ht="15.75" hidden="1" thickBot="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30"/>
      <c r="Q31" s="3317">
        <f t="shared" si="11"/>
        <v>111</v>
      </c>
      <c r="R31" s="1693" t="s">
        <v>25</v>
      </c>
      <c r="S31" s="1694">
        <f t="shared" si="12"/>
        <v>100</v>
      </c>
      <c r="T31" s="1693" t="s">
        <v>25</v>
      </c>
      <c r="U31" s="1694">
        <f t="shared" si="13"/>
        <v>100</v>
      </c>
      <c r="V31" s="1693" t="s">
        <v>25</v>
      </c>
      <c r="W31" s="1694">
        <f t="shared" si="14"/>
        <v>100</v>
      </c>
      <c r="X31" s="3319"/>
      <c r="Y31" s="3630"/>
      <c r="Z31" s="3320">
        <f t="shared" si="15"/>
        <v>111</v>
      </c>
      <c r="AA31" s="3315">
        <f t="shared" si="3"/>
        <v>1</v>
      </c>
      <c r="AB31" s="3315">
        <f t="shared" si="4"/>
        <v>1</v>
      </c>
      <c r="AC31" s="3315">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30"/>
      <c r="Q32" s="3317">
        <f t="shared" si="11"/>
        <v>111</v>
      </c>
      <c r="R32" s="1693" t="s">
        <v>25</v>
      </c>
      <c r="S32" s="1694">
        <f t="shared" si="12"/>
        <v>100</v>
      </c>
      <c r="T32" s="1693" t="s">
        <v>25</v>
      </c>
      <c r="U32" s="1694">
        <f t="shared" si="13"/>
        <v>100</v>
      </c>
      <c r="V32" s="1693" t="s">
        <v>25</v>
      </c>
      <c r="W32" s="1694">
        <f t="shared" si="14"/>
        <v>100</v>
      </c>
      <c r="X32" s="3319"/>
      <c r="Y32" s="3630"/>
      <c r="Z32" s="3320">
        <f t="shared" si="15"/>
        <v>111</v>
      </c>
      <c r="AA32" s="3315">
        <f t="shared" si="3"/>
        <v>1</v>
      </c>
      <c r="AB32" s="3315">
        <f t="shared" si="4"/>
        <v>1</v>
      </c>
      <c r="AC32" s="3315">
        <f t="shared" si="5"/>
        <v>1</v>
      </c>
    </row>
    <row r="33" spans="1:29" ht="15">
      <c r="A33" s="1685" t="s">
        <v>2215</v>
      </c>
      <c r="B33" s="1655" t="s">
        <v>2331</v>
      </c>
      <c r="C33" s="2470" t="s">
        <v>3001</v>
      </c>
      <c r="D33" s="1730">
        <v>100</v>
      </c>
      <c r="E33" s="2470" t="s">
        <v>3001</v>
      </c>
      <c r="F33" s="1722">
        <f>SUMIF(101:101,E33,102:102)-SUMIF(101:101,C33,102:102)+100</f>
        <v>100</v>
      </c>
      <c r="G33" s="3336" t="s">
        <v>3001</v>
      </c>
      <c r="H33" s="1679">
        <f>SUMIF(101:101,G33,102:102)-SUMIF(101:101,C33,102:102)+100</f>
        <v>100</v>
      </c>
      <c r="I33" s="3336" t="s">
        <v>3001</v>
      </c>
      <c r="J33" s="1730">
        <f>SUMIF(101:101,I33,102:102)-SUMIF(101:101,C33,102:102)+100</f>
        <v>100</v>
      </c>
      <c r="K33" s="1960">
        <v>1</v>
      </c>
      <c r="L33" s="2968"/>
      <c r="M33" s="2964"/>
      <c r="N33" s="2964"/>
      <c r="O33" s="2964"/>
      <c r="P33" s="3670" t="s">
        <v>2217</v>
      </c>
      <c r="Q33" s="3317" t="str">
        <f t="shared" si="11"/>
        <v>建筑类型</v>
      </c>
      <c r="R33" s="1693" t="s">
        <v>25</v>
      </c>
      <c r="S33" s="1694">
        <f t="shared" si="12"/>
        <v>100</v>
      </c>
      <c r="T33" s="1693" t="s">
        <v>25</v>
      </c>
      <c r="U33" s="1694">
        <f t="shared" si="13"/>
        <v>100</v>
      </c>
      <c r="V33" s="1693" t="s">
        <v>25</v>
      </c>
      <c r="W33" s="1694">
        <f t="shared" si="14"/>
        <v>100</v>
      </c>
      <c r="X33" s="3319"/>
      <c r="Y33" s="3634" t="s">
        <v>2217</v>
      </c>
      <c r="Z33" s="3320" t="str">
        <f t="shared" si="15"/>
        <v>建筑类型</v>
      </c>
      <c r="AA33" s="3315">
        <f t="shared" si="3"/>
        <v>1</v>
      </c>
      <c r="AB33" s="3315">
        <f t="shared" si="4"/>
        <v>1</v>
      </c>
      <c r="AC33" s="3315">
        <f t="shared" si="5"/>
        <v>1</v>
      </c>
    </row>
    <row r="34" spans="1:29" s="1739" customFormat="1" ht="15">
      <c r="A34" s="1732"/>
      <c r="B34" s="1663" t="s">
        <v>2218</v>
      </c>
      <c r="C34" s="1733">
        <v>59.33</v>
      </c>
      <c r="D34" s="1665">
        <v>100</v>
      </c>
      <c r="E34" s="1672">
        <v>44.93</v>
      </c>
      <c r="F34" s="1667">
        <f>LOOKUP(E34,104:104,105:105)-LOOKUP(C34,104:104,105:105)+100</f>
        <v>101</v>
      </c>
      <c r="G34" s="1671">
        <v>44.93</v>
      </c>
      <c r="H34" s="1665">
        <f>LOOKUP(G34,104:104,105:105)-LOOKUP(C34,104:104,105:105)+100</f>
        <v>101</v>
      </c>
      <c r="I34" s="1671">
        <v>51.08</v>
      </c>
      <c r="J34" s="1665">
        <f>LOOKUP(I34,104:104,105:105)-LOOKUP(C34,104:104,105:105)+100</f>
        <v>100</v>
      </c>
      <c r="K34" s="1957"/>
      <c r="L34" s="2967"/>
      <c r="M34" s="2027"/>
      <c r="N34" s="2027"/>
      <c r="O34" s="2027"/>
      <c r="P34" s="3634"/>
      <c r="Q34" s="1734" t="str">
        <f t="shared" si="11"/>
        <v>项目建筑规模</v>
      </c>
      <c r="R34" s="1735" t="s">
        <v>25</v>
      </c>
      <c r="S34" s="1736">
        <f t="shared" si="12"/>
        <v>101</v>
      </c>
      <c r="T34" s="1735" t="s">
        <v>25</v>
      </c>
      <c r="U34" s="1736">
        <f t="shared" si="13"/>
        <v>101</v>
      </c>
      <c r="V34" s="1735" t="s">
        <v>25</v>
      </c>
      <c r="W34" s="1736">
        <f t="shared" si="14"/>
        <v>100</v>
      </c>
      <c r="X34" s="1737"/>
      <c r="Y34" s="3634"/>
      <c r="Z34" s="1738" t="str">
        <f t="shared" si="15"/>
        <v>项目建筑规模</v>
      </c>
      <c r="AA34" s="3315">
        <f t="shared" si="3"/>
        <v>0.99009900990099009</v>
      </c>
      <c r="AB34" s="3315">
        <f t="shared" si="4"/>
        <v>0.99009900990099009</v>
      </c>
      <c r="AC34" s="3315">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34"/>
      <c r="Q35" s="3317" t="str">
        <f t="shared" si="11"/>
        <v>建筑结构</v>
      </c>
      <c r="R35" s="1693" t="s">
        <v>25</v>
      </c>
      <c r="S35" s="1694">
        <f t="shared" si="12"/>
        <v>100</v>
      </c>
      <c r="T35" s="1693" t="s">
        <v>25</v>
      </c>
      <c r="U35" s="1694">
        <f t="shared" si="13"/>
        <v>100</v>
      </c>
      <c r="V35" s="1693" t="s">
        <v>25</v>
      </c>
      <c r="W35" s="1694">
        <f t="shared" si="14"/>
        <v>100</v>
      </c>
      <c r="X35" s="3319"/>
      <c r="Y35" s="3634"/>
      <c r="Z35" s="3320" t="str">
        <f t="shared" si="15"/>
        <v>建筑结构</v>
      </c>
      <c r="AA35" s="3315">
        <f t="shared" si="3"/>
        <v>1</v>
      </c>
      <c r="AB35" s="3315">
        <f t="shared" si="4"/>
        <v>1</v>
      </c>
      <c r="AC35" s="3315">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34"/>
      <c r="Q36" s="3317" t="str">
        <f t="shared" si="11"/>
        <v>公共部分装修</v>
      </c>
      <c r="R36" s="1693" t="s">
        <v>25</v>
      </c>
      <c r="S36" s="1694">
        <f t="shared" si="12"/>
        <v>100</v>
      </c>
      <c r="T36" s="1693" t="s">
        <v>25</v>
      </c>
      <c r="U36" s="1694">
        <f t="shared" si="13"/>
        <v>100</v>
      </c>
      <c r="V36" s="1693" t="s">
        <v>25</v>
      </c>
      <c r="W36" s="1694">
        <f t="shared" si="14"/>
        <v>100</v>
      </c>
      <c r="X36" s="3319"/>
      <c r="Y36" s="3634"/>
      <c r="Z36" s="3320" t="str">
        <f t="shared" si="15"/>
        <v>公共部分装修</v>
      </c>
      <c r="AA36" s="3315">
        <f t="shared" si="3"/>
        <v>1</v>
      </c>
      <c r="AB36" s="3315">
        <f t="shared" si="4"/>
        <v>1</v>
      </c>
      <c r="AC36" s="3315">
        <f t="shared" si="5"/>
        <v>1</v>
      </c>
    </row>
    <row r="37" spans="1:29" ht="15">
      <c r="A37" s="1740"/>
      <c r="B37" s="1663" t="s">
        <v>2305</v>
      </c>
      <c r="C37" s="1744">
        <f>'数据-取费表'!E20</f>
        <v>0.88</v>
      </c>
      <c r="D37" s="1679">
        <v>100</v>
      </c>
      <c r="E37" s="1744">
        <f>ROUND(1-(2021-2012)/60,2)</f>
        <v>0.85</v>
      </c>
      <c r="F37" s="1722">
        <f>LOOKUP(E37,111:111,112:112)-LOOKUP(C37,111:111,112:112)+100</f>
        <v>100</v>
      </c>
      <c r="G37" s="1744">
        <f>E37</f>
        <v>0.85</v>
      </c>
      <c r="H37" s="1722">
        <f>LOOKUP(G37,111:111,112:112)-LOOKUP(C37,111:111,112:112)+100</f>
        <v>100</v>
      </c>
      <c r="I37" s="1744">
        <f>ROUND(1-(2021-2016)/60,2)</f>
        <v>0.92</v>
      </c>
      <c r="J37" s="1679">
        <f>LOOKUP(I37,111:111,112:112)-LOOKUP(C37,111:111,112:112)+100</f>
        <v>103</v>
      </c>
      <c r="K37" s="1960">
        <v>3</v>
      </c>
      <c r="L37" s="2968"/>
      <c r="M37" s="2964"/>
      <c r="N37" s="2964"/>
      <c r="O37" s="2964"/>
      <c r="P37" s="3634"/>
      <c r="Q37" s="3317" t="str">
        <f t="shared" si="11"/>
        <v>成新度</v>
      </c>
      <c r="R37" s="1693" t="s">
        <v>25</v>
      </c>
      <c r="S37" s="1694">
        <f t="shared" si="12"/>
        <v>100</v>
      </c>
      <c r="T37" s="1693" t="s">
        <v>25</v>
      </c>
      <c r="U37" s="1694">
        <f t="shared" si="13"/>
        <v>100</v>
      </c>
      <c r="V37" s="1693" t="s">
        <v>25</v>
      </c>
      <c r="W37" s="1694">
        <f t="shared" si="14"/>
        <v>103</v>
      </c>
      <c r="X37" s="3319"/>
      <c r="Y37" s="3634"/>
      <c r="Z37" s="3320" t="str">
        <f t="shared" si="15"/>
        <v>成新度</v>
      </c>
      <c r="AA37" s="3315">
        <f t="shared" si="3"/>
        <v>1</v>
      </c>
      <c r="AB37" s="3315">
        <f t="shared" si="4"/>
        <v>1</v>
      </c>
      <c r="AC37" s="3315">
        <f t="shared" si="5"/>
        <v>0.970873786407767</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34"/>
      <c r="Q38" s="3312" t="str">
        <f t="shared" si="11"/>
        <v>写字楼等级</v>
      </c>
      <c r="R38" s="1648" t="s">
        <v>25</v>
      </c>
      <c r="S38" s="1649">
        <f t="shared" si="12"/>
        <v>100</v>
      </c>
      <c r="T38" s="1648" t="s">
        <v>25</v>
      </c>
      <c r="U38" s="1649">
        <f t="shared" si="13"/>
        <v>100</v>
      </c>
      <c r="V38" s="1648" t="s">
        <v>25</v>
      </c>
      <c r="W38" s="1649">
        <f t="shared" si="14"/>
        <v>100</v>
      </c>
      <c r="X38" s="1650"/>
      <c r="Y38" s="3634"/>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34" t="s">
        <v>2217</v>
      </c>
      <c r="Q39" s="3317" t="str">
        <f t="shared" si="11"/>
        <v>物业管理</v>
      </c>
      <c r="R39" s="1693" t="s">
        <v>25</v>
      </c>
      <c r="S39" s="1694">
        <f t="shared" si="12"/>
        <v>100</v>
      </c>
      <c r="T39" s="1693" t="s">
        <v>25</v>
      </c>
      <c r="U39" s="1694">
        <f t="shared" si="13"/>
        <v>100</v>
      </c>
      <c r="V39" s="1693" t="s">
        <v>25</v>
      </c>
      <c r="W39" s="1694">
        <f t="shared" si="14"/>
        <v>100</v>
      </c>
      <c r="X39" s="3319"/>
      <c r="Y39" s="3634" t="s">
        <v>2217</v>
      </c>
      <c r="Z39" s="3320" t="str">
        <f t="shared" si="15"/>
        <v>物业管理</v>
      </c>
      <c r="AA39" s="3315">
        <f t="shared" si="3"/>
        <v>1</v>
      </c>
      <c r="AB39" s="3315">
        <f t="shared" si="4"/>
        <v>1</v>
      </c>
      <c r="AC39" s="3315">
        <f t="shared" si="5"/>
        <v>1</v>
      </c>
    </row>
    <row r="40" spans="1:29" ht="15">
      <c r="A40" s="1740"/>
      <c r="B40" s="1663" t="s">
        <v>2306</v>
      </c>
      <c r="C40" s="1720" t="s">
        <v>3044</v>
      </c>
      <c r="D40" s="1679">
        <v>100</v>
      </c>
      <c r="E40" s="1720" t="s">
        <v>3044</v>
      </c>
      <c r="F40" s="1722">
        <f>SUMIF(117:117,E40,118:118)-SUMIF(117:117,C40,118:118)+100</f>
        <v>100</v>
      </c>
      <c r="G40" s="1720" t="s">
        <v>3044</v>
      </c>
      <c r="H40" s="1679">
        <f>SUMIF(117:117,G40,118:118)-SUMIF(117:117,C40,118:118)+100</f>
        <v>100</v>
      </c>
      <c r="I40" s="1720" t="s">
        <v>3044</v>
      </c>
      <c r="J40" s="1679">
        <f>SUMIF(117:117,I40,118:118)-SUMIF(117:117,C40,118:118)+100</f>
        <v>100</v>
      </c>
      <c r="K40" s="1960">
        <v>1</v>
      </c>
      <c r="L40" s="2968"/>
      <c r="M40" s="2964"/>
      <c r="N40" s="2964"/>
      <c r="O40" s="2964"/>
      <c r="P40" s="3634"/>
      <c r="Q40" s="3317" t="str">
        <f t="shared" si="11"/>
        <v>市政基础设施</v>
      </c>
      <c r="R40" s="1693" t="s">
        <v>25</v>
      </c>
      <c r="S40" s="1694">
        <f t="shared" si="12"/>
        <v>100</v>
      </c>
      <c r="T40" s="1693" t="s">
        <v>25</v>
      </c>
      <c r="U40" s="1694">
        <f t="shared" si="13"/>
        <v>100</v>
      </c>
      <c r="V40" s="1693" t="s">
        <v>25</v>
      </c>
      <c r="W40" s="1694">
        <f t="shared" si="14"/>
        <v>100</v>
      </c>
      <c r="X40" s="3319"/>
      <c r="Y40" s="3634"/>
      <c r="Z40" s="3320" t="str">
        <f t="shared" si="15"/>
        <v>市政基础设施</v>
      </c>
      <c r="AA40" s="3315">
        <f t="shared" si="3"/>
        <v>1</v>
      </c>
      <c r="AB40" s="3315">
        <f t="shared" si="4"/>
        <v>1</v>
      </c>
      <c r="AC40" s="3315">
        <f t="shared" si="5"/>
        <v>1</v>
      </c>
    </row>
    <row r="41" spans="1:29" ht="15">
      <c r="A41" s="1740"/>
      <c r="B41" s="1663" t="s">
        <v>2308</v>
      </c>
      <c r="C41" s="1959" t="s">
        <v>3040</v>
      </c>
      <c r="D41" s="1679">
        <v>100</v>
      </c>
      <c r="E41" s="1959" t="s">
        <v>3042</v>
      </c>
      <c r="F41" s="1722">
        <f>SUMIF(119:119,E41,120:120)-SUMIF(119:119,C41,120:120)+100</f>
        <v>99</v>
      </c>
      <c r="G41" s="1959" t="s">
        <v>3042</v>
      </c>
      <c r="H41" s="1679">
        <f>SUMIF(119:119,G41,120:120)-SUMIF(119:119,C41,120:120)+100</f>
        <v>99</v>
      </c>
      <c r="I41" s="1959" t="s">
        <v>3042</v>
      </c>
      <c r="J41" s="1679">
        <f>SUMIF(119:119,I41,120:120)-SUMIF(119:119,C41,120:120)+100</f>
        <v>99</v>
      </c>
      <c r="K41" s="1960">
        <v>1</v>
      </c>
      <c r="L41" s="2968"/>
      <c r="M41" s="2964"/>
      <c r="N41" s="2964"/>
      <c r="O41" s="2964"/>
      <c r="P41" s="3634"/>
      <c r="Q41" s="3317" t="str">
        <f t="shared" si="11"/>
        <v>层高</v>
      </c>
      <c r="R41" s="1693" t="s">
        <v>25</v>
      </c>
      <c r="S41" s="1694">
        <f t="shared" si="12"/>
        <v>99</v>
      </c>
      <c r="T41" s="1693" t="s">
        <v>25</v>
      </c>
      <c r="U41" s="1694">
        <f t="shared" si="13"/>
        <v>99</v>
      </c>
      <c r="V41" s="1693" t="s">
        <v>25</v>
      </c>
      <c r="W41" s="1694">
        <f t="shared" si="14"/>
        <v>99</v>
      </c>
      <c r="X41" s="3319"/>
      <c r="Y41" s="3634"/>
      <c r="Z41" s="3320" t="str">
        <f t="shared" si="15"/>
        <v>层高</v>
      </c>
      <c r="AA41" s="3315">
        <f t="shared" si="3"/>
        <v>1.0101010101010102</v>
      </c>
      <c r="AB41" s="3315">
        <f t="shared" si="4"/>
        <v>1.0101010101010102</v>
      </c>
      <c r="AC41" s="3315">
        <f t="shared" si="5"/>
        <v>1.0101010101010102</v>
      </c>
    </row>
    <row r="42" spans="1:29" s="1739" customFormat="1" ht="15">
      <c r="A42" s="1732"/>
      <c r="B42" s="3316"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34"/>
      <c r="Q42" s="1734" t="str">
        <f t="shared" si="11"/>
        <v>单套建筑面积</v>
      </c>
      <c r="R42" s="1735" t="s">
        <v>25</v>
      </c>
      <c r="S42" s="1736">
        <f t="shared" si="12"/>
        <v>100</v>
      </c>
      <c r="T42" s="1735" t="s">
        <v>25</v>
      </c>
      <c r="U42" s="1736">
        <f t="shared" si="13"/>
        <v>100</v>
      </c>
      <c r="V42" s="1735" t="s">
        <v>25</v>
      </c>
      <c r="W42" s="1736">
        <f t="shared" si="14"/>
        <v>100</v>
      </c>
      <c r="X42" s="1737"/>
      <c r="Y42" s="3634"/>
      <c r="Z42" s="1738" t="str">
        <f t="shared" si="15"/>
        <v>单套建筑面积</v>
      </c>
      <c r="AA42" s="3315">
        <f t="shared" si="3"/>
        <v>1</v>
      </c>
      <c r="AB42" s="3315">
        <f t="shared" si="4"/>
        <v>1</v>
      </c>
      <c r="AC42" s="3315">
        <f t="shared" si="5"/>
        <v>1</v>
      </c>
    </row>
    <row r="43" spans="1:29" ht="15">
      <c r="A43" s="1740"/>
      <c r="B43" s="1663" t="s">
        <v>2311</v>
      </c>
      <c r="C43" s="3337" t="s">
        <v>3036</v>
      </c>
      <c r="D43" s="1679">
        <v>100</v>
      </c>
      <c r="E43" s="3337" t="s">
        <v>3037</v>
      </c>
      <c r="F43" s="1722">
        <f>SUMIF(123:123,E43,124:124)-SUMIF(123:123,C43,124:124)+100</f>
        <v>104</v>
      </c>
      <c r="G43" s="3337" t="s">
        <v>3037</v>
      </c>
      <c r="H43" s="1679">
        <f>SUMIF(123:123,G43,124:124)-SUMIF(123:123,C43,124:124)+100</f>
        <v>104</v>
      </c>
      <c r="I43" s="3337" t="s">
        <v>3037</v>
      </c>
      <c r="J43" s="1679">
        <f>SUMIF(123:123,I43,124:124)-SUMIF(123:123,C43,124:124)+100</f>
        <v>104</v>
      </c>
      <c r="K43" s="1960">
        <v>2</v>
      </c>
      <c r="L43" s="2968"/>
      <c r="M43" s="2964"/>
      <c r="N43" s="2964"/>
      <c r="O43" s="2964"/>
      <c r="P43" s="3634"/>
      <c r="Q43" s="3317" t="str">
        <f t="shared" si="11"/>
        <v>内部装修</v>
      </c>
      <c r="R43" s="1693" t="s">
        <v>25</v>
      </c>
      <c r="S43" s="1694">
        <f t="shared" si="12"/>
        <v>104</v>
      </c>
      <c r="T43" s="1693" t="s">
        <v>25</v>
      </c>
      <c r="U43" s="1694">
        <f t="shared" si="13"/>
        <v>104</v>
      </c>
      <c r="V43" s="1693" t="s">
        <v>25</v>
      </c>
      <c r="W43" s="1694">
        <f t="shared" si="14"/>
        <v>104</v>
      </c>
      <c r="X43" s="3319"/>
      <c r="Y43" s="3634"/>
      <c r="Z43" s="3320" t="str">
        <f t="shared" si="15"/>
        <v>内部装修</v>
      </c>
      <c r="AA43" s="3315">
        <f t="shared" si="3"/>
        <v>0.96153846153846156</v>
      </c>
      <c r="AB43" s="3315">
        <f t="shared" si="4"/>
        <v>0.96153846153846156</v>
      </c>
      <c r="AC43" s="3315">
        <f t="shared" si="5"/>
        <v>0.96153846153846156</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8"/>
      <c r="M44" s="2964"/>
      <c r="N44" s="2964"/>
      <c r="O44" s="2964"/>
      <c r="P44" s="3634"/>
      <c r="Q44" s="3317" t="str">
        <f t="shared" si="11"/>
        <v>内部装修维护情况</v>
      </c>
      <c r="R44" s="1693" t="s">
        <v>25</v>
      </c>
      <c r="S44" s="1694">
        <f t="shared" si="12"/>
        <v>100</v>
      </c>
      <c r="T44" s="1693" t="s">
        <v>25</v>
      </c>
      <c r="U44" s="1694">
        <f t="shared" si="13"/>
        <v>100</v>
      </c>
      <c r="V44" s="1693" t="s">
        <v>25</v>
      </c>
      <c r="W44" s="1694">
        <f t="shared" si="14"/>
        <v>100</v>
      </c>
      <c r="X44" s="3319"/>
      <c r="Y44" s="3634"/>
      <c r="Z44" s="3320" t="str">
        <f t="shared" si="15"/>
        <v>内部装修维护情况</v>
      </c>
      <c r="AA44" s="3315">
        <f t="shared" si="3"/>
        <v>1</v>
      </c>
      <c r="AB44" s="3315">
        <f t="shared" si="4"/>
        <v>1</v>
      </c>
      <c r="AC44" s="3315">
        <f t="shared" si="5"/>
        <v>1</v>
      </c>
    </row>
    <row r="45" spans="1:29" s="1652" customFormat="1" ht="15.75" hidden="1" thickBot="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34"/>
      <c r="Q45" s="3312">
        <f t="shared" si="11"/>
        <v>111</v>
      </c>
      <c r="R45" s="1648" t="s">
        <v>25</v>
      </c>
      <c r="S45" s="1649">
        <f t="shared" si="12"/>
        <v>100</v>
      </c>
      <c r="T45" s="1648" t="s">
        <v>25</v>
      </c>
      <c r="U45" s="1649">
        <f t="shared" si="13"/>
        <v>100</v>
      </c>
      <c r="V45" s="1648" t="s">
        <v>25</v>
      </c>
      <c r="W45" s="1649">
        <f t="shared" si="14"/>
        <v>100</v>
      </c>
      <c r="X45" s="1650"/>
      <c r="Y45" s="3634"/>
      <c r="Z45" s="1661">
        <f t="shared" si="15"/>
        <v>111</v>
      </c>
      <c r="AA45" s="1651">
        <f t="shared" si="3"/>
        <v>1</v>
      </c>
      <c r="AB45" s="1651">
        <f t="shared" si="4"/>
        <v>1</v>
      </c>
      <c r="AC45" s="1651">
        <f t="shared" si="5"/>
        <v>1</v>
      </c>
    </row>
    <row r="46" spans="1:29" ht="15.75" hidden="1" thickBot="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34"/>
      <c r="Q46" s="3317">
        <f t="shared" si="11"/>
        <v>111</v>
      </c>
      <c r="R46" s="1693" t="s">
        <v>25</v>
      </c>
      <c r="S46" s="1694">
        <f t="shared" si="12"/>
        <v>100</v>
      </c>
      <c r="T46" s="1693" t="s">
        <v>25</v>
      </c>
      <c r="U46" s="1694">
        <f t="shared" si="13"/>
        <v>100</v>
      </c>
      <c r="V46" s="1693" t="s">
        <v>25</v>
      </c>
      <c r="W46" s="1694">
        <f t="shared" si="14"/>
        <v>100</v>
      </c>
      <c r="X46" s="3319"/>
      <c r="Y46" s="3634"/>
      <c r="Z46" s="3320">
        <f t="shared" si="15"/>
        <v>111</v>
      </c>
      <c r="AA46" s="3315">
        <f t="shared" si="3"/>
        <v>1</v>
      </c>
      <c r="AB46" s="3315">
        <f t="shared" si="4"/>
        <v>1</v>
      </c>
      <c r="AC46" s="3315">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35"/>
      <c r="Q47" s="3317">
        <f t="shared" si="11"/>
        <v>111</v>
      </c>
      <c r="R47" s="1693" t="s">
        <v>25</v>
      </c>
      <c r="S47" s="1694">
        <f t="shared" si="12"/>
        <v>100</v>
      </c>
      <c r="T47" s="1693" t="s">
        <v>25</v>
      </c>
      <c r="U47" s="1694">
        <f t="shared" si="13"/>
        <v>100</v>
      </c>
      <c r="V47" s="1693" t="s">
        <v>25</v>
      </c>
      <c r="W47" s="1694">
        <f t="shared" si="14"/>
        <v>100</v>
      </c>
      <c r="X47" s="3319"/>
      <c r="Y47" s="3635"/>
      <c r="Z47" s="3320">
        <f t="shared" si="15"/>
        <v>111</v>
      </c>
      <c r="AA47" s="3315">
        <f t="shared" si="3"/>
        <v>1</v>
      </c>
      <c r="AB47" s="3315">
        <f t="shared" si="4"/>
        <v>1</v>
      </c>
      <c r="AC47" s="3315">
        <f t="shared" si="5"/>
        <v>1</v>
      </c>
    </row>
    <row r="48" spans="1:29" ht="15">
      <c r="A48" s="1749" t="s">
        <v>2229</v>
      </c>
      <c r="B48" s="1750"/>
      <c r="C48" s="1751" t="s">
        <v>1</v>
      </c>
      <c r="D48" s="1752"/>
      <c r="E48" s="1753">
        <v>20032</v>
      </c>
      <c r="F48" s="1754"/>
      <c r="G48" s="1755">
        <v>18251</v>
      </c>
      <c r="H48" s="1756"/>
      <c r="I48" s="3335">
        <v>21535</v>
      </c>
      <c r="J48" s="1756"/>
      <c r="K48" s="1981"/>
      <c r="L48" s="2969"/>
      <c r="M48" s="2964"/>
      <c r="N48" s="2964"/>
      <c r="O48" s="2964"/>
      <c r="P48" s="3626" t="str">
        <f>A48</f>
        <v>成交单价（元/平方米）</v>
      </c>
      <c r="Q48" s="3626"/>
      <c r="R48" s="3622">
        <f>E48</f>
        <v>20032</v>
      </c>
      <c r="S48" s="3622"/>
      <c r="T48" s="3622">
        <f>G48</f>
        <v>18251</v>
      </c>
      <c r="U48" s="3622"/>
      <c r="V48" s="3622">
        <f>I48</f>
        <v>21535</v>
      </c>
      <c r="W48" s="3622"/>
      <c r="X48" s="1759"/>
      <c r="Y48" s="3318"/>
      <c r="Z48" s="1759"/>
      <c r="AA48" s="1759"/>
      <c r="AB48" s="1759"/>
      <c r="AC48" s="1759"/>
    </row>
    <row r="49" spans="1:29" ht="15.75" thickBot="1">
      <c r="A49" s="1761" t="s">
        <v>2230</v>
      </c>
      <c r="B49" s="1762"/>
      <c r="C49" s="1763">
        <f>R50</f>
        <v>9606</v>
      </c>
      <c r="D49" s="1764" t="s">
        <v>2684</v>
      </c>
      <c r="E49" s="1765">
        <f>R49</f>
        <v>9948</v>
      </c>
      <c r="F49" s="1766"/>
      <c r="G49" s="1763">
        <f>T49</f>
        <v>9063</v>
      </c>
      <c r="H49" s="1766"/>
      <c r="I49" s="1765">
        <f>V49</f>
        <v>9808</v>
      </c>
      <c r="J49" s="1766"/>
      <c r="K49" s="2478">
        <f>F49+H49+J49</f>
        <v>0</v>
      </c>
      <c r="L49" s="2969"/>
      <c r="M49" s="2964"/>
      <c r="N49" s="2964"/>
      <c r="O49" s="2964"/>
      <c r="P49" s="3626" t="str">
        <f>A49</f>
        <v>比较价值（元/平方米）</v>
      </c>
      <c r="Q49" s="3626"/>
      <c r="R49" s="3622">
        <f>IF(E1="售价",ROUND(PRODUCT(R48,AA7:AA47),0),ROUND(PRODUCT(R48,AA7:AA47),1))</f>
        <v>9948</v>
      </c>
      <c r="S49" s="3622"/>
      <c r="T49" s="3622">
        <f>IF(E1="售价",ROUND(PRODUCT(T48,AB7:AB47),0),ROUND(PRODUCT(T48,AB7:AB47),1))</f>
        <v>9063</v>
      </c>
      <c r="U49" s="3622"/>
      <c r="V49" s="3622">
        <f>IF(E1="售价",ROUND(PRODUCT(V48,AC7:AC47),0),ROUND(PRODUCT(V48,AC7:AC47),1))</f>
        <v>9808</v>
      </c>
      <c r="W49" s="3622"/>
      <c r="X49" s="1759"/>
      <c r="Y49" s="1759"/>
      <c r="Z49" s="1759"/>
      <c r="AA49" s="1759"/>
      <c r="AB49" s="1759"/>
      <c r="AC49" s="1759"/>
    </row>
    <row r="50" spans="1:29" ht="15.75" thickBot="1">
      <c r="A50" s="1767" t="s">
        <v>2231</v>
      </c>
      <c r="B50" s="1768"/>
      <c r="C50" s="1770">
        <f>R50</f>
        <v>9606</v>
      </c>
      <c r="D50" s="1770"/>
      <c r="E50" s="1770"/>
      <c r="F50" s="1770"/>
      <c r="G50" s="1770"/>
      <c r="H50" s="1770"/>
      <c r="I50" s="1770"/>
      <c r="J50" s="1770"/>
      <c r="K50" s="1986"/>
      <c r="L50" s="2969"/>
      <c r="M50" s="2964"/>
      <c r="N50" s="2964"/>
      <c r="O50" s="2964"/>
      <c r="P50" s="3623" t="str">
        <f>A50</f>
        <v>估价对象XX用房的比较价值（楼面单价，元/平方米）</v>
      </c>
      <c r="Q50" s="3624"/>
      <c r="R50" s="3625">
        <f>IF(E1="售价",ROUND(IF(D49="简单平均",AVERAGE(R49:V49),R49*F49+T49*H49+V49*J49),0),ROUND(IF(D49="简单平均",AVERAGE(R49:V49),R49*F49+T49*H49+V49*J49),1))</f>
        <v>9606</v>
      </c>
      <c r="S50" s="3625"/>
      <c r="T50" s="3625"/>
      <c r="U50" s="3625"/>
      <c r="V50" s="3625"/>
      <c r="W50" s="3625"/>
      <c r="X50" s="1759"/>
      <c r="Y50" s="1759"/>
      <c r="Z50" s="1759"/>
      <c r="AA50" s="1759"/>
      <c r="AB50" s="1759"/>
      <c r="AC50" s="1759"/>
    </row>
    <row r="51" spans="1:29">
      <c r="G51" s="2973"/>
    </row>
    <row r="53" spans="1:29" ht="13.5" customHeight="1">
      <c r="C53" s="383" t="s">
        <v>2232</v>
      </c>
      <c r="D53" s="1775"/>
      <c r="E53" s="1776">
        <f>IF(E48&lt;E49,E49/E48-1,E48/E49-1)</f>
        <v>1.0136710896662646</v>
      </c>
      <c r="F53" s="1777" t="str">
        <f>IF(OR(E53&gt;=0.3,E53&lt;=-0.3),"超过30%","")</f>
        <v>超过30%</v>
      </c>
      <c r="G53" s="1776">
        <f>IF(G48&lt;G49,G49/G48-1,G48/G49-1)</f>
        <v>1.0137923424914486</v>
      </c>
      <c r="H53" s="1777" t="str">
        <f>IF(OR(G53&gt;=0.3,G53&lt;=-0.3),"超过30%","")</f>
        <v>超过30%</v>
      </c>
      <c r="I53" s="1776">
        <f>IF(I48&lt;I49,I49/I48-1,I48/I49-1)</f>
        <v>1.19565660685155</v>
      </c>
      <c r="J53" s="1777" t="str">
        <f>IF(OR(I53&gt;=0.3,I53&lt;=-0.3),"超过30%","")</f>
        <v>超过30%</v>
      </c>
    </row>
    <row r="54" spans="1:29" ht="13.5" customHeight="1">
      <c r="C54" s="383" t="s">
        <v>2233</v>
      </c>
      <c r="D54" s="1778"/>
      <c r="E54" s="1776">
        <f>IF(E49&lt;G49,G49/E49-1,E49/G49-1)</f>
        <v>9.7649784839457077E-2</v>
      </c>
      <c r="F54" s="1777" t="str">
        <f>IF(OR(E54&gt;=0.2,E54&lt;=-0.2),"超过20%","")</f>
        <v/>
      </c>
      <c r="G54" s="1776">
        <f>IF(G49&lt;I49,I49/G49-1,G49/I49-1)</f>
        <v>8.2202361249034572E-2</v>
      </c>
      <c r="H54" s="1777" t="str">
        <f>IF(OR(G54&gt;=0.2,G54&lt;=-0.2),"超过20%","")</f>
        <v/>
      </c>
      <c r="I54" s="1776">
        <f>IF(I49&lt;E49,E49/I49-1,I49/E49-1)</f>
        <v>1.4274061990211973E-2</v>
      </c>
      <c r="J54" s="1777" t="str">
        <f>IF(OR(I54&gt;=0.2,I54&lt;=-0.2),"超过20%","")</f>
        <v/>
      </c>
    </row>
    <row r="55" spans="1:29" s="1781" customFormat="1" ht="13.5" customHeight="1">
      <c r="C55" s="383" t="s">
        <v>2234</v>
      </c>
      <c r="D55" s="1778"/>
      <c r="E55" s="1776">
        <f>IF(E48&lt;G48,G48/E48-1,E48/G48-1)</f>
        <v>9.7583694044161895E-2</v>
      </c>
      <c r="F55" s="1777" t="str">
        <f>IF(OR(E55&gt;=0.3,E55&lt;=-0.3),"超过30%","")</f>
        <v/>
      </c>
      <c r="G55" s="1776">
        <f>IF(G48&lt;I48,I48/G48-1,G48/I48-1)</f>
        <v>0.17993534600843786</v>
      </c>
      <c r="H55" s="1777" t="str">
        <f>IF(OR(G55&gt;=0.3,G55&lt;=-0.3),"超过30%","")</f>
        <v/>
      </c>
      <c r="I55" s="1776">
        <f>IF(I48&lt;E48,E48/I48-1,I48/E48-1)</f>
        <v>7.5029952076677286E-2</v>
      </c>
      <c r="J55" s="1777" t="str">
        <f>IF(OR(I55&gt;=0.3,I55&lt;=-0.3),"超过30%","")</f>
        <v/>
      </c>
      <c r="K55" s="2976"/>
      <c r="L55" s="2970"/>
    </row>
    <row r="56" spans="1:29" s="1781" customFormat="1">
      <c r="B56" s="2974"/>
      <c r="C56" s="2975"/>
      <c r="K56" s="2976"/>
      <c r="L56" s="2970"/>
    </row>
    <row r="57" spans="1:29">
      <c r="B57" s="2974"/>
      <c r="C57" s="2975"/>
    </row>
    <row r="58" spans="1:29" ht="21.75" thickBot="1">
      <c r="A58" s="1784" t="s">
        <v>2235</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商住</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95</v>
      </c>
      <c r="E78" s="1830">
        <f>D78-$K15</f>
        <v>90</v>
      </c>
      <c r="F78" s="1830">
        <f>E78-$K15</f>
        <v>85</v>
      </c>
      <c r="G78" s="1830">
        <f>F78-$K15</f>
        <v>80</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95</v>
      </c>
      <c r="E80" s="1830">
        <f>D80-$K17</f>
        <v>90</v>
      </c>
      <c r="F80" s="1830">
        <f>E80-$K17</f>
        <v>85</v>
      </c>
      <c r="G80" s="1830">
        <f>F80-$K17</f>
        <v>80</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3324" t="s">
        <v>3010</v>
      </c>
      <c r="D91" s="3324" t="s">
        <v>3011</v>
      </c>
      <c r="E91" s="3324" t="s">
        <v>3012</v>
      </c>
      <c r="F91" s="3324" t="s">
        <v>3013</v>
      </c>
      <c r="G91" s="3324" t="s">
        <v>3015</v>
      </c>
      <c r="H91" s="3330" t="s">
        <v>3014</v>
      </c>
      <c r="I91" s="3330" t="s">
        <v>3016</v>
      </c>
      <c r="J91" s="3330" t="s">
        <v>3017</v>
      </c>
      <c r="K91" s="3330" t="s">
        <v>3018</v>
      </c>
      <c r="L91" s="443"/>
      <c r="M91" s="1838"/>
      <c r="N91" s="2984"/>
      <c r="O91" s="2984"/>
      <c r="P91" s="2026"/>
      <c r="Q91" s="1841"/>
    </row>
    <row r="92" spans="1:17" s="1739" customFormat="1" ht="15.75" thickBot="1">
      <c r="A92" s="1837"/>
      <c r="B92" s="1829"/>
      <c r="C92" s="1859">
        <v>100</v>
      </c>
      <c r="D92" s="1830">
        <f t="shared" ref="D92:M92" si="21">C92-$K28</f>
        <v>99</v>
      </c>
      <c r="E92" s="1830">
        <f t="shared" si="21"/>
        <v>98</v>
      </c>
      <c r="F92" s="1830">
        <f t="shared" si="21"/>
        <v>97</v>
      </c>
      <c r="G92" s="1830">
        <f t="shared" si="21"/>
        <v>96</v>
      </c>
      <c r="H92" s="1830">
        <f t="shared" si="21"/>
        <v>95</v>
      </c>
      <c r="I92" s="1830">
        <f t="shared" si="21"/>
        <v>94</v>
      </c>
      <c r="J92" s="1830">
        <f t="shared" si="21"/>
        <v>93</v>
      </c>
      <c r="K92" s="1830">
        <f t="shared" si="21"/>
        <v>92</v>
      </c>
      <c r="L92" s="1830">
        <f t="shared" si="21"/>
        <v>91</v>
      </c>
      <c r="M92" s="1830">
        <f t="shared" si="21"/>
        <v>90</v>
      </c>
      <c r="N92" s="2984"/>
      <c r="O92" s="2984"/>
      <c r="P92" s="2026"/>
      <c r="Q92" s="1841"/>
    </row>
    <row r="93" spans="1:17" ht="15.75" thickTop="1">
      <c r="A93" s="1821"/>
      <c r="B93" s="1826" t="str">
        <f>B29</f>
        <v>楼层</v>
      </c>
      <c r="C93" s="3324" t="s">
        <v>2998</v>
      </c>
      <c r="D93" s="3324" t="s">
        <v>2999</v>
      </c>
      <c r="E93" s="3324" t="s">
        <v>3048</v>
      </c>
      <c r="F93" s="3324" t="s">
        <v>3000</v>
      </c>
      <c r="G93" s="468"/>
      <c r="H93" s="468"/>
      <c r="I93" s="468"/>
      <c r="J93" s="468"/>
      <c r="K93" s="468"/>
      <c r="L93" s="468"/>
      <c r="M93" s="1858"/>
      <c r="N93" s="2982"/>
      <c r="O93" s="2982"/>
      <c r="P93" s="2025"/>
      <c r="Q93" s="1789"/>
    </row>
    <row r="94" spans="1:17" ht="15.75" thickBot="1">
      <c r="A94" s="1821"/>
      <c r="B94" s="1829"/>
      <c r="C94" s="1842">
        <v>100</v>
      </c>
      <c r="D94" s="1823">
        <v>98</v>
      </c>
      <c r="E94" s="1823">
        <v>96</v>
      </c>
      <c r="F94" s="1823">
        <v>94</v>
      </c>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3002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99</v>
      </c>
      <c r="E102" s="1830">
        <f t="shared" si="22"/>
        <v>98</v>
      </c>
      <c r="F102" s="1830">
        <f t="shared" si="22"/>
        <v>97</v>
      </c>
      <c r="G102" s="1830">
        <f t="shared" si="22"/>
        <v>96</v>
      </c>
      <c r="H102" s="1830">
        <f t="shared" si="22"/>
        <v>95</v>
      </c>
      <c r="I102" s="1830">
        <f t="shared" si="22"/>
        <v>94</v>
      </c>
      <c r="J102" s="1830">
        <f t="shared" si="22"/>
        <v>93</v>
      </c>
      <c r="K102" s="1830">
        <f t="shared" si="22"/>
        <v>92</v>
      </c>
      <c r="L102" s="1830">
        <f t="shared" si="22"/>
        <v>91</v>
      </c>
      <c r="M102" s="1831">
        <f t="shared" si="22"/>
        <v>90</v>
      </c>
      <c r="N102" s="2983"/>
      <c r="O102" s="2983"/>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3334">
        <v>50</v>
      </c>
      <c r="E104" s="3334">
        <v>100</v>
      </c>
      <c r="F104" s="1869">
        <v>200</v>
      </c>
      <c r="G104" s="1869"/>
      <c r="H104" s="1869"/>
      <c r="I104" s="1869"/>
      <c r="J104" s="485"/>
      <c r="K104" s="485"/>
      <c r="L104" s="485"/>
      <c r="M104" s="1870"/>
      <c r="N104" s="2984"/>
      <c r="O104" s="2984"/>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103</v>
      </c>
      <c r="E112" s="1830">
        <f t="shared" ref="E112:M112" si="26">D112+$K37</f>
        <v>106</v>
      </c>
      <c r="F112" s="1830">
        <f t="shared" si="26"/>
        <v>109</v>
      </c>
      <c r="G112" s="1830">
        <f t="shared" si="26"/>
        <v>112</v>
      </c>
      <c r="H112" s="1830">
        <f t="shared" si="26"/>
        <v>115</v>
      </c>
      <c r="I112" s="1830">
        <f t="shared" si="26"/>
        <v>118</v>
      </c>
      <c r="J112" s="1830">
        <f t="shared" si="26"/>
        <v>121</v>
      </c>
      <c r="K112" s="1830">
        <f t="shared" si="26"/>
        <v>124</v>
      </c>
      <c r="L112" s="1830">
        <f t="shared" si="26"/>
        <v>127</v>
      </c>
      <c r="M112" s="1830">
        <f t="shared" si="26"/>
        <v>130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3324" t="s">
        <v>3045</v>
      </c>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3"/>
      <c r="O118" s="2983"/>
      <c r="P118" s="2025"/>
      <c r="Q118" s="1789"/>
    </row>
    <row r="119" spans="1:17" ht="15" thickTop="1">
      <c r="A119" s="1871"/>
      <c r="B119" s="2473" t="s">
        <v>2340</v>
      </c>
      <c r="C119" s="3338" t="s">
        <v>3041</v>
      </c>
      <c r="D119" s="3338" t="s">
        <v>3043</v>
      </c>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99</v>
      </c>
      <c r="E120" s="1830">
        <f t="shared" ref="E120:M120" si="29">D120-$K41</f>
        <v>98</v>
      </c>
      <c r="F120" s="1830">
        <f t="shared" si="29"/>
        <v>97</v>
      </c>
      <c r="G120" s="1830">
        <f t="shared" si="29"/>
        <v>96</v>
      </c>
      <c r="H120" s="1830">
        <f t="shared" si="29"/>
        <v>95</v>
      </c>
      <c r="I120" s="1830">
        <f t="shared" si="29"/>
        <v>94</v>
      </c>
      <c r="J120" s="1830">
        <f t="shared" si="29"/>
        <v>93</v>
      </c>
      <c r="K120" s="1830">
        <f t="shared" si="29"/>
        <v>92</v>
      </c>
      <c r="L120" s="1830">
        <f t="shared" si="29"/>
        <v>91</v>
      </c>
      <c r="M120" s="1830">
        <f t="shared" si="29"/>
        <v>90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3038</v>
      </c>
      <c r="D123" s="3324" t="s">
        <v>3037</v>
      </c>
      <c r="E123" s="3324" t="s">
        <v>3039</v>
      </c>
      <c r="F123" s="3338" t="s">
        <v>3036</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9" t="s">
        <v>779</v>
      </c>
      <c r="B1" s="371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9" t="s">
        <v>105</v>
      </c>
      <c r="B1" s="3719"/>
      <c r="C1" s="3719"/>
      <c r="D1" s="3719"/>
      <c r="E1" s="3719"/>
      <c r="F1" s="371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0" t="s">
        <v>118</v>
      </c>
      <c r="B2" s="3720"/>
      <c r="C2" s="3720"/>
      <c r="D2" s="3720"/>
      <c r="E2" s="3720"/>
      <c r="F2" s="372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3" t="s">
        <v>132</v>
      </c>
      <c r="B18" s="767" t="s">
        <v>517</v>
      </c>
      <c r="C18" s="768" t="s">
        <v>518</v>
      </c>
      <c r="D18" s="769"/>
      <c r="E18" s="767">
        <v>1</v>
      </c>
      <c r="F18" s="770" t="s">
        <v>519</v>
      </c>
      <c r="G18" s="771"/>
      <c r="H18" s="763"/>
      <c r="I18" s="763"/>
    </row>
    <row r="19" spans="1:9" s="772" customFormat="1" ht="19.5" customHeight="1">
      <c r="A19" s="3723"/>
      <c r="B19" s="3723" t="s">
        <v>520</v>
      </c>
      <c r="C19" s="768" t="s">
        <v>521</v>
      </c>
      <c r="D19" s="769"/>
      <c r="E19" s="767">
        <v>0.9</v>
      </c>
      <c r="F19" s="770" t="s">
        <v>522</v>
      </c>
      <c r="G19" s="771"/>
      <c r="H19" s="763"/>
      <c r="I19" s="763"/>
    </row>
    <row r="20" spans="1:9" s="772" customFormat="1" ht="19.5" customHeight="1">
      <c r="A20" s="3723"/>
      <c r="B20" s="3723"/>
      <c r="C20" s="768" t="s">
        <v>523</v>
      </c>
      <c r="D20" s="769"/>
      <c r="E20" s="767">
        <v>1.1000000000000001</v>
      </c>
      <c r="F20" s="770" t="s">
        <v>524</v>
      </c>
      <c r="G20" s="771"/>
      <c r="H20" s="763"/>
      <c r="I20" s="763"/>
    </row>
    <row r="21" spans="1:9" s="772" customFormat="1" ht="19.5" customHeight="1">
      <c r="A21" s="3723"/>
      <c r="B21" s="3723"/>
      <c r="C21" s="768" t="s">
        <v>525</v>
      </c>
      <c r="D21" s="769"/>
      <c r="E21" s="767">
        <v>0.8</v>
      </c>
      <c r="F21" s="770" t="s">
        <v>526</v>
      </c>
      <c r="G21" s="771"/>
      <c r="H21" s="763"/>
      <c r="I21" s="763"/>
    </row>
    <row r="22" spans="1:9" s="772" customFormat="1" ht="19.5" customHeight="1">
      <c r="A22" s="3723"/>
      <c r="B22" s="3723"/>
      <c r="C22" s="768" t="s">
        <v>527</v>
      </c>
      <c r="D22" s="769"/>
      <c r="E22" s="767">
        <v>0.5</v>
      </c>
      <c r="F22" s="770"/>
      <c r="G22" s="771"/>
      <c r="H22" s="763"/>
      <c r="I22" s="763"/>
    </row>
    <row r="23" spans="1:9" s="772" customFormat="1" ht="19.5" customHeight="1">
      <c r="A23" s="3723" t="s">
        <v>133</v>
      </c>
      <c r="B23" s="767" t="s">
        <v>517</v>
      </c>
      <c r="C23" s="768" t="s">
        <v>528</v>
      </c>
      <c r="D23" s="769"/>
      <c r="E23" s="767">
        <v>1</v>
      </c>
      <c r="F23" s="770" t="s">
        <v>529</v>
      </c>
      <c r="G23" s="771"/>
      <c r="H23" s="763"/>
      <c r="I23" s="763"/>
    </row>
    <row r="24" spans="1:9" s="772" customFormat="1" ht="19.5" customHeight="1">
      <c r="A24" s="3723"/>
      <c r="B24" s="3723" t="s">
        <v>520</v>
      </c>
      <c r="C24" s="768" t="s">
        <v>530</v>
      </c>
      <c r="D24" s="769"/>
      <c r="E24" s="767">
        <v>0.5</v>
      </c>
      <c r="F24" s="770"/>
      <c r="G24" s="771"/>
      <c r="H24" s="763"/>
      <c r="I24" s="763"/>
    </row>
    <row r="25" spans="1:9" s="772" customFormat="1" ht="19.5" customHeight="1">
      <c r="A25" s="3723"/>
      <c r="B25" s="3723"/>
      <c r="C25" s="768" t="s">
        <v>531</v>
      </c>
      <c r="D25" s="769"/>
      <c r="E25" s="767">
        <v>1.1000000000000001</v>
      </c>
      <c r="F25" s="770"/>
      <c r="G25" s="771"/>
      <c r="H25" s="763"/>
      <c r="I25" s="763"/>
    </row>
    <row r="26" spans="1:9" s="772" customFormat="1" ht="19.5" customHeight="1">
      <c r="A26" s="3723"/>
      <c r="B26" s="3723"/>
      <c r="C26" s="768" t="s">
        <v>532</v>
      </c>
      <c r="D26" s="769"/>
      <c r="E26" s="767">
        <v>1.1000000000000001</v>
      </c>
      <c r="F26" s="770"/>
      <c r="G26" s="771"/>
      <c r="H26" s="763"/>
      <c r="I26" s="763"/>
    </row>
    <row r="27" spans="1:9" s="772" customFormat="1" ht="19.5" customHeight="1">
      <c r="A27" s="3723"/>
      <c r="B27" s="3723"/>
      <c r="C27" s="768" t="s">
        <v>533</v>
      </c>
      <c r="D27" s="769"/>
      <c r="E27" s="767">
        <v>0.9</v>
      </c>
      <c r="F27" s="770" t="s">
        <v>534</v>
      </c>
      <c r="G27" s="771"/>
      <c r="H27" s="763"/>
      <c r="I27" s="763"/>
    </row>
    <row r="28" spans="1:9" s="772" customFormat="1" ht="19.5" customHeight="1">
      <c r="A28" s="3723"/>
      <c r="B28" s="3723"/>
      <c r="C28" s="768" t="s">
        <v>535</v>
      </c>
      <c r="D28" s="769"/>
      <c r="E28" s="767">
        <v>0.9</v>
      </c>
      <c r="F28" s="770" t="s">
        <v>536</v>
      </c>
      <c r="G28" s="771"/>
      <c r="H28" s="763"/>
      <c r="I28" s="763"/>
    </row>
    <row r="29" spans="1:9" s="772" customFormat="1" ht="19.5" customHeight="1">
      <c r="A29" s="3723"/>
      <c r="B29" s="3723"/>
      <c r="C29" s="768" t="s">
        <v>537</v>
      </c>
      <c r="D29" s="769"/>
      <c r="E29" s="767">
        <v>0.9</v>
      </c>
      <c r="F29" s="770" t="s">
        <v>538</v>
      </c>
      <c r="G29" s="771"/>
      <c r="H29" s="763"/>
      <c r="I29" s="763"/>
    </row>
    <row r="30" spans="1:9" s="772" customFormat="1" ht="19.5" customHeight="1">
      <c r="A30" s="3723"/>
      <c r="B30" s="3723"/>
      <c r="C30" s="768" t="s">
        <v>539</v>
      </c>
      <c r="D30" s="769"/>
      <c r="E30" s="767">
        <v>0.9</v>
      </c>
      <c r="F30" s="770" t="s">
        <v>540</v>
      </c>
      <c r="G30" s="771"/>
      <c r="H30" s="763"/>
      <c r="I30" s="763"/>
    </row>
    <row r="31" spans="1:9" s="772" customFormat="1" ht="19.5" customHeight="1">
      <c r="A31" s="3723"/>
      <c r="B31" s="3723"/>
      <c r="C31" s="768" t="s">
        <v>541</v>
      </c>
      <c r="D31" s="769"/>
      <c r="E31" s="767">
        <v>0.8</v>
      </c>
      <c r="F31" s="770" t="s">
        <v>542</v>
      </c>
      <c r="G31" s="771"/>
      <c r="H31" s="763"/>
      <c r="I31" s="763"/>
    </row>
    <row r="32" spans="1:9" s="772" customFormat="1" ht="19.5" customHeight="1">
      <c r="A32" s="3723"/>
      <c r="B32" s="3723"/>
      <c r="C32" s="768" t="s">
        <v>543</v>
      </c>
      <c r="D32" s="769"/>
      <c r="E32" s="767">
        <v>0.8</v>
      </c>
      <c r="F32" s="770" t="s">
        <v>544</v>
      </c>
      <c r="G32" s="771"/>
      <c r="H32" s="763"/>
      <c r="I32" s="763"/>
    </row>
    <row r="33" spans="1:9" s="772" customFormat="1" ht="19.5" customHeight="1">
      <c r="A33" s="3723" t="s">
        <v>134</v>
      </c>
      <c r="B33" s="767" t="s">
        <v>517</v>
      </c>
      <c r="C33" s="768" t="s">
        <v>545</v>
      </c>
      <c r="D33" s="769"/>
      <c r="E33" s="767">
        <v>1</v>
      </c>
      <c r="F33" s="770" t="s">
        <v>546</v>
      </c>
      <c r="G33" s="771"/>
      <c r="H33" s="763"/>
      <c r="I33" s="763"/>
    </row>
    <row r="34" spans="1:9" s="772" customFormat="1" ht="19.5" customHeight="1">
      <c r="A34" s="3723"/>
      <c r="B34" s="767" t="s">
        <v>520</v>
      </c>
      <c r="C34" s="768" t="s">
        <v>547</v>
      </c>
      <c r="D34" s="769"/>
      <c r="E34" s="767">
        <v>1.5</v>
      </c>
      <c r="F34" s="770" t="s">
        <v>548</v>
      </c>
      <c r="G34" s="771"/>
      <c r="H34" s="763"/>
      <c r="I34" s="763"/>
    </row>
    <row r="35" spans="1:9" s="772" customFormat="1" ht="19.5" customHeight="1">
      <c r="A35" s="3723" t="s">
        <v>135</v>
      </c>
      <c r="B35" s="767" t="s">
        <v>517</v>
      </c>
      <c r="C35" s="768" t="s">
        <v>549</v>
      </c>
      <c r="D35" s="769"/>
      <c r="E35" s="767">
        <v>1</v>
      </c>
      <c r="F35" s="770" t="s">
        <v>550</v>
      </c>
      <c r="G35" s="771"/>
      <c r="H35" s="763"/>
      <c r="I35" s="763"/>
    </row>
    <row r="36" spans="1:9" s="772" customFormat="1" ht="19.5" customHeight="1">
      <c r="A36" s="3723"/>
      <c r="B36" s="3723" t="s">
        <v>520</v>
      </c>
      <c r="C36" s="768" t="s">
        <v>551</v>
      </c>
      <c r="D36" s="769"/>
      <c r="E36" s="767">
        <v>1</v>
      </c>
      <c r="F36" s="770" t="s">
        <v>552</v>
      </c>
      <c r="G36" s="771"/>
      <c r="H36" s="763"/>
      <c r="I36" s="763"/>
    </row>
    <row r="37" spans="1:9" s="772" customFormat="1" ht="19.5" customHeight="1">
      <c r="A37" s="3723"/>
      <c r="B37" s="3723"/>
      <c r="C37" s="768" t="s">
        <v>553</v>
      </c>
      <c r="D37" s="769"/>
      <c r="E37" s="767">
        <v>1.5</v>
      </c>
      <c r="F37" s="770" t="s">
        <v>554</v>
      </c>
      <c r="G37" s="771"/>
      <c r="H37" s="763"/>
      <c r="I37" s="763"/>
    </row>
    <row r="38" spans="1:9" s="772" customFormat="1" ht="19.5" customHeight="1">
      <c r="A38" s="3723"/>
      <c r="B38" s="3723"/>
      <c r="C38" s="768" t="s">
        <v>555</v>
      </c>
      <c r="D38" s="769"/>
      <c r="E38" s="767">
        <v>1</v>
      </c>
      <c r="F38" s="770" t="s">
        <v>556</v>
      </c>
      <c r="G38" s="771"/>
      <c r="H38" s="763"/>
      <c r="I38" s="763"/>
    </row>
    <row r="39" spans="1:9" s="772" customFormat="1" ht="19.5" customHeight="1">
      <c r="A39" s="3723"/>
      <c r="B39" s="372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3" t="s">
        <v>571</v>
      </c>
      <c r="C61" s="681" t="s">
        <v>572</v>
      </c>
      <c r="D61" s="681" t="s">
        <v>573</v>
      </c>
      <c r="E61" s="780">
        <v>0.5</v>
      </c>
      <c r="F61" s="767">
        <v>80</v>
      </c>
    </row>
    <row r="62" spans="1:8" s="763" customFormat="1" ht="24">
      <c r="A62" s="767">
        <v>2</v>
      </c>
      <c r="B62" s="3723"/>
      <c r="C62" s="681" t="s">
        <v>574</v>
      </c>
      <c r="D62" s="681" t="s">
        <v>575</v>
      </c>
      <c r="E62" s="780">
        <v>0.5</v>
      </c>
      <c r="F62" s="767">
        <v>80</v>
      </c>
    </row>
    <row r="63" spans="1:8" s="763" customFormat="1" ht="36">
      <c r="A63" s="767">
        <v>3</v>
      </c>
      <c r="B63" s="3723"/>
      <c r="C63" s="681" t="s">
        <v>576</v>
      </c>
      <c r="D63" s="681" t="s">
        <v>577</v>
      </c>
      <c r="E63" s="780">
        <v>0.5</v>
      </c>
      <c r="F63" s="767">
        <v>80</v>
      </c>
    </row>
    <row r="64" spans="1:8" s="763" customFormat="1" ht="36">
      <c r="A64" s="767">
        <v>4</v>
      </c>
      <c r="B64" s="3723"/>
      <c r="C64" s="681" t="s">
        <v>578</v>
      </c>
      <c r="D64" s="681" t="s">
        <v>579</v>
      </c>
      <c r="E64" s="780">
        <v>0.4</v>
      </c>
      <c r="F64" s="767">
        <v>60</v>
      </c>
    </row>
    <row r="65" spans="1:6" s="763" customFormat="1" ht="36">
      <c r="A65" s="767">
        <v>5</v>
      </c>
      <c r="B65" s="3723"/>
      <c r="C65" s="681" t="s">
        <v>580</v>
      </c>
      <c r="D65" s="681" t="s">
        <v>581</v>
      </c>
      <c r="E65" s="780">
        <v>0.2</v>
      </c>
      <c r="F65" s="767">
        <v>30</v>
      </c>
    </row>
    <row r="66" spans="1:6" s="763" customFormat="1" ht="36">
      <c r="A66" s="767">
        <v>6</v>
      </c>
      <c r="B66" s="3723"/>
      <c r="C66" s="681" t="s">
        <v>582</v>
      </c>
      <c r="D66" s="681" t="s">
        <v>583</v>
      </c>
      <c r="E66" s="780">
        <v>0.3</v>
      </c>
      <c r="F66" s="767">
        <v>50</v>
      </c>
    </row>
    <row r="67" spans="1:6" s="763" customFormat="1" ht="36">
      <c r="A67" s="767">
        <v>7</v>
      </c>
      <c r="B67" s="3723"/>
      <c r="C67" s="681" t="s">
        <v>584</v>
      </c>
      <c r="D67" s="681" t="s">
        <v>585</v>
      </c>
      <c r="E67" s="780">
        <v>0.2</v>
      </c>
      <c r="F67" s="767">
        <v>30</v>
      </c>
    </row>
    <row r="68" spans="1:6" s="763" customFormat="1" ht="36">
      <c r="A68" s="767">
        <v>8</v>
      </c>
      <c r="B68" s="3723"/>
      <c r="C68" s="681" t="s">
        <v>586</v>
      </c>
      <c r="D68" s="681" t="s">
        <v>587</v>
      </c>
      <c r="E68" s="780">
        <v>0.2</v>
      </c>
      <c r="F68" s="767">
        <v>30</v>
      </c>
    </row>
    <row r="69" spans="1:6" s="763" customFormat="1" ht="36">
      <c r="A69" s="767">
        <v>9</v>
      </c>
      <c r="B69" s="3723"/>
      <c r="C69" s="681" t="s">
        <v>588</v>
      </c>
      <c r="D69" s="681" t="s">
        <v>589</v>
      </c>
      <c r="E69" s="780">
        <v>0.2</v>
      </c>
      <c r="F69" s="767">
        <v>30</v>
      </c>
    </row>
    <row r="70" spans="1:6" s="763" customFormat="1" ht="48">
      <c r="A70" s="767">
        <v>10</v>
      </c>
      <c r="B70" s="3723"/>
      <c r="C70" s="681" t="s">
        <v>590</v>
      </c>
      <c r="D70" s="681" t="s">
        <v>591</v>
      </c>
      <c r="E70" s="780">
        <v>0.2</v>
      </c>
      <c r="F70" s="767">
        <v>30</v>
      </c>
    </row>
    <row r="71" spans="1:6" s="763" customFormat="1" ht="48">
      <c r="A71" s="767">
        <v>11</v>
      </c>
      <c r="B71" s="3723"/>
      <c r="C71" s="681" t="s">
        <v>592</v>
      </c>
      <c r="D71" s="681" t="s">
        <v>593</v>
      </c>
      <c r="E71" s="780">
        <v>0.2</v>
      </c>
      <c r="F71" s="767">
        <v>30</v>
      </c>
    </row>
    <row r="72" spans="1:6" s="763" customFormat="1" ht="36">
      <c r="A72" s="767">
        <v>12</v>
      </c>
      <c r="B72" s="3723"/>
      <c r="C72" s="681" t="s">
        <v>594</v>
      </c>
      <c r="D72" s="681" t="s">
        <v>595</v>
      </c>
      <c r="E72" s="780">
        <v>0.5</v>
      </c>
      <c r="F72" s="767">
        <v>80</v>
      </c>
    </row>
    <row r="73" spans="1:6" s="763" customFormat="1" ht="24">
      <c r="A73" s="767">
        <v>13</v>
      </c>
      <c r="B73" s="3723"/>
      <c r="C73" s="681" t="s">
        <v>596</v>
      </c>
      <c r="D73" s="681" t="s">
        <v>597</v>
      </c>
      <c r="E73" s="780">
        <v>0.4</v>
      </c>
      <c r="F73" s="767">
        <v>60</v>
      </c>
    </row>
    <row r="74" spans="1:6" s="763" customFormat="1" ht="24">
      <c r="A74" s="767">
        <v>14</v>
      </c>
      <c r="B74" s="3723"/>
      <c r="C74" s="681" t="s">
        <v>598</v>
      </c>
      <c r="D74" s="681" t="s">
        <v>599</v>
      </c>
      <c r="E74" s="780">
        <v>0.2</v>
      </c>
      <c r="F74" s="767">
        <v>30</v>
      </c>
    </row>
    <row r="75" spans="1:6" s="763" customFormat="1" ht="24">
      <c r="A75" s="767">
        <v>15</v>
      </c>
      <c r="B75" s="3723"/>
      <c r="C75" s="681" t="s">
        <v>600</v>
      </c>
      <c r="D75" s="681" t="s">
        <v>601</v>
      </c>
      <c r="E75" s="780">
        <v>0.2</v>
      </c>
      <c r="F75" s="767">
        <v>30</v>
      </c>
    </row>
    <row r="76" spans="1:6" s="763" customFormat="1" ht="24">
      <c r="A76" s="767">
        <v>16</v>
      </c>
      <c r="B76" s="3723" t="s">
        <v>602</v>
      </c>
      <c r="C76" s="681" t="s">
        <v>603</v>
      </c>
      <c r="D76" s="681" t="s">
        <v>604</v>
      </c>
      <c r="E76" s="780">
        <v>0.5</v>
      </c>
      <c r="F76" s="767">
        <v>80</v>
      </c>
    </row>
    <row r="77" spans="1:6" s="763" customFormat="1" ht="24">
      <c r="A77" s="767">
        <v>17</v>
      </c>
      <c r="B77" s="3723"/>
      <c r="C77" s="681" t="s">
        <v>605</v>
      </c>
      <c r="D77" s="681" t="s">
        <v>606</v>
      </c>
      <c r="E77" s="780">
        <v>0.5</v>
      </c>
      <c r="F77" s="767">
        <v>80</v>
      </c>
    </row>
    <row r="78" spans="1:6" s="763" customFormat="1" ht="24">
      <c r="A78" s="767">
        <v>18</v>
      </c>
      <c r="B78" s="3723"/>
      <c r="C78" s="681" t="s">
        <v>607</v>
      </c>
      <c r="D78" s="681" t="s">
        <v>608</v>
      </c>
      <c r="E78" s="780">
        <v>0.2</v>
      </c>
      <c r="F78" s="767">
        <v>30</v>
      </c>
    </row>
    <row r="79" spans="1:6" s="763" customFormat="1" ht="24">
      <c r="A79" s="767">
        <v>19</v>
      </c>
      <c r="B79" s="3723"/>
      <c r="C79" s="681" t="s">
        <v>609</v>
      </c>
      <c r="D79" s="681" t="s">
        <v>610</v>
      </c>
      <c r="E79" s="780">
        <v>0.5</v>
      </c>
      <c r="F79" s="767">
        <v>80</v>
      </c>
    </row>
    <row r="80" spans="1:6" s="763" customFormat="1" ht="36">
      <c r="A80" s="767">
        <v>20</v>
      </c>
      <c r="B80" s="3723"/>
      <c r="C80" s="681" t="s">
        <v>611</v>
      </c>
      <c r="D80" s="681" t="s">
        <v>612</v>
      </c>
      <c r="E80" s="780">
        <v>0.2</v>
      </c>
      <c r="F80" s="767">
        <v>30</v>
      </c>
    </row>
    <row r="81" spans="1:6" s="763" customFormat="1" ht="36">
      <c r="A81" s="767">
        <v>21</v>
      </c>
      <c r="B81" s="3723"/>
      <c r="C81" s="681" t="s">
        <v>613</v>
      </c>
      <c r="D81" s="681" t="s">
        <v>614</v>
      </c>
      <c r="E81" s="780">
        <v>0.2</v>
      </c>
      <c r="F81" s="767">
        <v>30</v>
      </c>
    </row>
    <row r="82" spans="1:6" s="763" customFormat="1" ht="48">
      <c r="A82" s="767">
        <v>22</v>
      </c>
      <c r="B82" s="3723"/>
      <c r="C82" s="681" t="s">
        <v>615</v>
      </c>
      <c r="D82" s="681" t="s">
        <v>616</v>
      </c>
      <c r="E82" s="780">
        <v>0.2</v>
      </c>
      <c r="F82" s="767">
        <v>30</v>
      </c>
    </row>
    <row r="83" spans="1:6" s="763" customFormat="1" ht="48">
      <c r="A83" s="767">
        <v>23</v>
      </c>
      <c r="B83" s="3723"/>
      <c r="C83" s="681" t="s">
        <v>617</v>
      </c>
      <c r="D83" s="681" t="s">
        <v>618</v>
      </c>
      <c r="E83" s="780">
        <v>0.2</v>
      </c>
      <c r="F83" s="767">
        <v>30</v>
      </c>
    </row>
    <row r="84" spans="1:6" s="763" customFormat="1" ht="36">
      <c r="A84" s="767">
        <v>24</v>
      </c>
      <c r="B84" s="3723"/>
      <c r="C84" s="681" t="s">
        <v>619</v>
      </c>
      <c r="D84" s="681" t="s">
        <v>620</v>
      </c>
      <c r="E84" s="780">
        <v>0.2</v>
      </c>
      <c r="F84" s="767">
        <v>30</v>
      </c>
    </row>
    <row r="85" spans="1:6" s="763" customFormat="1" ht="36">
      <c r="A85" s="767">
        <v>25</v>
      </c>
      <c r="B85" s="3723"/>
      <c r="C85" s="681" t="s">
        <v>621</v>
      </c>
      <c r="D85" s="681" t="s">
        <v>622</v>
      </c>
      <c r="E85" s="780">
        <v>0.5</v>
      </c>
      <c r="F85" s="767">
        <v>80</v>
      </c>
    </row>
    <row r="86" spans="1:6" s="763" customFormat="1" ht="36">
      <c r="A86" s="767">
        <v>26</v>
      </c>
      <c r="B86" s="3723"/>
      <c r="C86" s="681" t="s">
        <v>623</v>
      </c>
      <c r="D86" s="681" t="s">
        <v>624</v>
      </c>
      <c r="E86" s="780">
        <v>0.2</v>
      </c>
      <c r="F86" s="767">
        <v>30</v>
      </c>
    </row>
    <row r="87" spans="1:6" s="763" customFormat="1" ht="36">
      <c r="A87" s="767">
        <v>27</v>
      </c>
      <c r="B87" s="3723"/>
      <c r="C87" s="681" t="s">
        <v>625</v>
      </c>
      <c r="D87" s="681" t="s">
        <v>626</v>
      </c>
      <c r="E87" s="780">
        <v>0.2</v>
      </c>
      <c r="F87" s="767">
        <v>30</v>
      </c>
    </row>
    <row r="88" spans="1:6" s="763" customFormat="1" ht="36">
      <c r="A88" s="767">
        <v>28</v>
      </c>
      <c r="B88" s="3723"/>
      <c r="C88" s="681" t="s">
        <v>627</v>
      </c>
      <c r="D88" s="681" t="s">
        <v>628</v>
      </c>
      <c r="E88" s="780">
        <v>0.2</v>
      </c>
      <c r="F88" s="767">
        <v>30</v>
      </c>
    </row>
    <row r="89" spans="1:6" s="763" customFormat="1" ht="24">
      <c r="A89" s="767">
        <v>29</v>
      </c>
      <c r="B89" s="3723"/>
      <c r="C89" s="681" t="s">
        <v>629</v>
      </c>
      <c r="D89" s="681" t="s">
        <v>630</v>
      </c>
      <c r="E89" s="780">
        <v>0.2</v>
      </c>
      <c r="F89" s="767">
        <v>30</v>
      </c>
    </row>
    <row r="90" spans="1:6" s="763" customFormat="1" ht="24">
      <c r="A90" s="767">
        <v>30</v>
      </c>
      <c r="B90" s="3723"/>
      <c r="C90" s="681" t="s">
        <v>631</v>
      </c>
      <c r="D90" s="681" t="s">
        <v>632</v>
      </c>
      <c r="E90" s="780">
        <v>0.2</v>
      </c>
      <c r="F90" s="767">
        <v>30</v>
      </c>
    </row>
    <row r="91" spans="1:6" s="763" customFormat="1" ht="36">
      <c r="A91" s="767">
        <v>31</v>
      </c>
      <c r="B91" s="3723"/>
      <c r="C91" s="681" t="s">
        <v>633</v>
      </c>
      <c r="D91" s="681" t="s">
        <v>634</v>
      </c>
      <c r="E91" s="780">
        <v>0.2</v>
      </c>
      <c r="F91" s="767">
        <v>30</v>
      </c>
    </row>
    <row r="92" spans="1:6" s="763" customFormat="1" ht="24">
      <c r="A92" s="767">
        <v>32</v>
      </c>
      <c r="B92" s="3723" t="s">
        <v>635</v>
      </c>
      <c r="C92" s="767" t="s">
        <v>636</v>
      </c>
      <c r="D92" s="681" t="s">
        <v>637</v>
      </c>
      <c r="E92" s="780">
        <v>0.2</v>
      </c>
      <c r="F92" s="767">
        <v>30</v>
      </c>
    </row>
    <row r="93" spans="1:6" s="763" customFormat="1" ht="36">
      <c r="A93" s="767">
        <v>33</v>
      </c>
      <c r="B93" s="3723"/>
      <c r="C93" s="767" t="s">
        <v>638</v>
      </c>
      <c r="D93" s="681" t="s">
        <v>639</v>
      </c>
      <c r="E93" s="780">
        <v>0.2</v>
      </c>
      <c r="F93" s="767">
        <v>30</v>
      </c>
    </row>
    <row r="94" spans="1:6" s="763" customFormat="1" ht="48">
      <c r="A94" s="767">
        <v>34</v>
      </c>
      <c r="B94" s="3723"/>
      <c r="C94" s="767" t="s">
        <v>640</v>
      </c>
      <c r="D94" s="681" t="s">
        <v>641</v>
      </c>
      <c r="E94" s="780">
        <v>0.2</v>
      </c>
      <c r="F94" s="767">
        <v>30</v>
      </c>
    </row>
    <row r="95" spans="1:6" s="763" customFormat="1" ht="36">
      <c r="A95" s="767">
        <v>35</v>
      </c>
      <c r="B95" s="3723"/>
      <c r="C95" s="767" t="s">
        <v>642</v>
      </c>
      <c r="D95" s="681" t="s">
        <v>643</v>
      </c>
      <c r="E95" s="780">
        <v>0.2</v>
      </c>
      <c r="F95" s="767">
        <v>30</v>
      </c>
    </row>
    <row r="96" spans="1:6" s="763" customFormat="1" ht="48">
      <c r="A96" s="767">
        <v>36</v>
      </c>
      <c r="B96" s="3723"/>
      <c r="C96" s="681" t="s">
        <v>644</v>
      </c>
      <c r="D96" s="681" t="s">
        <v>645</v>
      </c>
      <c r="E96" s="780">
        <v>0.2</v>
      </c>
      <c r="F96" s="767">
        <v>30</v>
      </c>
    </row>
    <row r="97" spans="1:6" s="763" customFormat="1" ht="36">
      <c r="A97" s="767">
        <v>37</v>
      </c>
      <c r="B97" s="3723"/>
      <c r="C97" s="767" t="s">
        <v>646</v>
      </c>
      <c r="D97" s="681" t="s">
        <v>647</v>
      </c>
      <c r="E97" s="780">
        <v>0.2</v>
      </c>
      <c r="F97" s="767">
        <v>30</v>
      </c>
    </row>
    <row r="98" spans="1:6" s="763" customFormat="1" ht="36">
      <c r="A98" s="767">
        <v>38</v>
      </c>
      <c r="B98" s="3723"/>
      <c r="C98" s="767" t="s">
        <v>648</v>
      </c>
      <c r="D98" s="681" t="s">
        <v>649</v>
      </c>
      <c r="E98" s="780">
        <v>0.2</v>
      </c>
      <c r="F98" s="767">
        <v>30</v>
      </c>
    </row>
    <row r="99" spans="1:6" s="763" customFormat="1" ht="36">
      <c r="A99" s="767">
        <v>39</v>
      </c>
      <c r="B99" s="3723" t="s">
        <v>650</v>
      </c>
      <c r="C99" s="767" t="s">
        <v>651</v>
      </c>
      <c r="D99" s="681" t="s">
        <v>652</v>
      </c>
      <c r="E99" s="780">
        <v>0.3</v>
      </c>
      <c r="F99" s="767">
        <v>50</v>
      </c>
    </row>
    <row r="100" spans="1:6" s="763" customFormat="1" ht="24">
      <c r="A100" s="767">
        <v>40</v>
      </c>
      <c r="B100" s="3723"/>
      <c r="C100" s="767" t="s">
        <v>653</v>
      </c>
      <c r="D100" s="681" t="s">
        <v>654</v>
      </c>
      <c r="E100" s="780">
        <v>0.2</v>
      </c>
      <c r="F100" s="767">
        <v>30</v>
      </c>
    </row>
    <row r="101" spans="1:6" s="763" customFormat="1" ht="36">
      <c r="A101" s="767">
        <v>41</v>
      </c>
      <c r="B101" s="372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3" t="s">
        <v>665</v>
      </c>
      <c r="C105" s="767" t="s">
        <v>666</v>
      </c>
      <c r="D105" s="681" t="s">
        <v>667</v>
      </c>
      <c r="E105" s="780">
        <v>0.2</v>
      </c>
      <c r="F105" s="767">
        <v>30</v>
      </c>
    </row>
    <row r="106" spans="1:6" s="763" customFormat="1" ht="36">
      <c r="A106" s="767">
        <v>46</v>
      </c>
      <c r="B106" s="3723"/>
      <c r="C106" s="767" t="s">
        <v>668</v>
      </c>
      <c r="D106" s="681" t="s">
        <v>669</v>
      </c>
      <c r="E106" s="780">
        <v>0.2</v>
      </c>
      <c r="F106" s="767">
        <v>30</v>
      </c>
    </row>
    <row r="107" spans="1:6" s="763" customFormat="1" ht="36">
      <c r="A107" s="767">
        <v>47</v>
      </c>
      <c r="B107" s="3723" t="s">
        <v>670</v>
      </c>
      <c r="C107" s="767" t="s">
        <v>671</v>
      </c>
      <c r="D107" s="681" t="s">
        <v>672</v>
      </c>
      <c r="E107" s="780">
        <v>0.3</v>
      </c>
      <c r="F107" s="767">
        <v>50</v>
      </c>
    </row>
    <row r="108" spans="1:6" s="763" customFormat="1" ht="36">
      <c r="A108" s="767">
        <v>48</v>
      </c>
      <c r="B108" s="372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3" t="s">
        <v>681</v>
      </c>
      <c r="C111" s="767" t="s">
        <v>682</v>
      </c>
      <c r="D111" s="681" t="s">
        <v>683</v>
      </c>
      <c r="E111" s="780">
        <v>0.2</v>
      </c>
      <c r="F111" s="767">
        <v>30</v>
      </c>
    </row>
    <row r="112" spans="1:6" s="763" customFormat="1" ht="24">
      <c r="A112" s="767">
        <v>52</v>
      </c>
      <c r="B112" s="3723"/>
      <c r="C112" s="767" t="s">
        <v>684</v>
      </c>
      <c r="D112" s="681" t="s">
        <v>685</v>
      </c>
      <c r="E112" s="780">
        <v>0.2</v>
      </c>
      <c r="F112" s="767">
        <v>30</v>
      </c>
    </row>
    <row r="113" spans="1:6" s="763" customFormat="1" ht="24">
      <c r="A113" s="767">
        <v>53</v>
      </c>
      <c r="B113" s="372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3" t="s">
        <v>694</v>
      </c>
      <c r="C116" s="767" t="s">
        <v>695</v>
      </c>
      <c r="D116" s="681" t="s">
        <v>696</v>
      </c>
      <c r="E116" s="780">
        <v>0.2</v>
      </c>
      <c r="F116" s="767">
        <v>30</v>
      </c>
    </row>
    <row r="117" spans="1:6" ht="36">
      <c r="A117" s="767">
        <v>57</v>
      </c>
      <c r="B117" s="372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29" t="s">
        <v>964</v>
      </c>
      <c r="C1" s="3729"/>
      <c r="D1" s="3729"/>
      <c r="E1" s="3729"/>
      <c r="F1" s="3729"/>
      <c r="G1" s="3725" t="s">
        <v>965</v>
      </c>
      <c r="H1" s="3725"/>
      <c r="I1" s="3725"/>
      <c r="J1" s="3725"/>
      <c r="K1" s="3725"/>
      <c r="L1" s="3725"/>
      <c r="N1" s="3725" t="s">
        <v>966</v>
      </c>
      <c r="O1" s="3725"/>
      <c r="P1" s="3725"/>
      <c r="Q1" s="3725"/>
      <c r="S1" s="3725" t="s">
        <v>967</v>
      </c>
      <c r="T1" s="3725"/>
      <c r="U1" s="3725"/>
      <c r="V1" s="3725"/>
      <c r="X1" s="3724" t="s">
        <v>968</v>
      </c>
      <c r="Y1" s="3725"/>
      <c r="Z1" s="3725"/>
      <c r="AA1" s="3725"/>
      <c r="AB1" s="3725"/>
      <c r="AD1" s="3724" t="s">
        <v>969</v>
      </c>
      <c r="AE1" s="3725"/>
      <c r="AF1" s="3725"/>
      <c r="AG1" s="3725"/>
      <c r="AH1" s="3725"/>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2830</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9">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2645</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2831</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9">
        <v>2021</v>
      </c>
      <c r="H6" s="2338">
        <v>3</v>
      </c>
      <c r="I6" s="3127">
        <v>0.47</v>
      </c>
      <c r="J6" s="3127">
        <v>0.41</v>
      </c>
      <c r="K6" s="3127">
        <v>0.48</v>
      </c>
      <c r="L6" s="3128">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2829</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6">
        <v>2021</v>
      </c>
      <c r="H7" s="2338">
        <v>2</v>
      </c>
      <c r="I7" s="3127">
        <v>0.92</v>
      </c>
      <c r="J7" s="3127">
        <v>0.72</v>
      </c>
      <c r="K7" s="3127">
        <v>0.95</v>
      </c>
      <c r="L7" s="3128">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2828</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5">
        <v>2021</v>
      </c>
      <c r="H8" s="2338">
        <v>1</v>
      </c>
      <c r="I8" s="3127">
        <v>0.97</v>
      </c>
      <c r="J8" s="3127">
        <v>0.16</v>
      </c>
      <c r="K8" s="3127">
        <v>1.1100000000000001</v>
      </c>
      <c r="L8" s="3128">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2825</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6">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2824</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5">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2659</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27">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2654</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27"/>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2653</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27"/>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2650</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34"/>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2647</v>
      </c>
      <c r="B21" s="2346">
        <v>439</v>
      </c>
      <c r="C21" s="2346">
        <v>327</v>
      </c>
      <c r="D21" s="2346">
        <f t="shared" si="158"/>
        <v>327</v>
      </c>
      <c r="E21" s="2346">
        <v>627</v>
      </c>
      <c r="F21" s="2347">
        <v>283</v>
      </c>
      <c r="G21" s="3730">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2644</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27"/>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27"/>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34"/>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30">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27"/>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27"/>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28"/>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26">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27"/>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27"/>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28"/>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26">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27"/>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27"/>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28"/>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31">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32"/>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32"/>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33"/>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26">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27"/>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27"/>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28"/>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26">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27">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27">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28">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26">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27">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27">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28">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26">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27">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27">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28">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26">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27">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27">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28">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26">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27">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27">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28">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26">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27">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27">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28">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26">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27">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27">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28">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26">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27">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27">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28">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26">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27">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27">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28">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26">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27">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27">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28">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44777</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0" customFormat="1" ht="14.25">
      <c r="A17" s="3117"/>
      <c r="B17" s="1249" t="s">
        <v>2826</v>
      </c>
      <c r="C17" s="1258">
        <v>43697</v>
      </c>
      <c r="D17" s="3118">
        <v>4.25</v>
      </c>
      <c r="E17" s="3118">
        <f>D17</f>
        <v>4.25</v>
      </c>
      <c r="F17" s="3118">
        <f>D17</f>
        <v>4.25</v>
      </c>
      <c r="G17" s="3118">
        <f>D17</f>
        <v>4.25</v>
      </c>
      <c r="H17" s="3118">
        <v>4.8499999999999996</v>
      </c>
      <c r="I17" s="3118"/>
      <c r="J17" s="3118"/>
      <c r="K17" s="3117"/>
      <c r="L17" s="1255"/>
      <c r="M17" s="1256">
        <v>42135</v>
      </c>
      <c r="N17" s="1255">
        <v>0.35</v>
      </c>
      <c r="O17" s="1255">
        <v>1.85</v>
      </c>
      <c r="P17" s="1255">
        <v>2.0499999999999998</v>
      </c>
      <c r="Q17" s="1255">
        <v>2.25</v>
      </c>
      <c r="R17" s="1255">
        <v>2.85</v>
      </c>
      <c r="S17" s="1255">
        <v>3.5</v>
      </c>
      <c r="T17" s="1255"/>
      <c r="U17" s="1255"/>
      <c r="V17" s="1255"/>
      <c r="W17" s="1255"/>
      <c r="X17" s="1255"/>
      <c r="Y17" s="1255"/>
      <c r="Z17" s="1255"/>
      <c r="AA17" s="3119"/>
      <c r="AB17" s="3119"/>
      <c r="AC17" s="3119"/>
      <c r="AD17" s="3119"/>
      <c r="AE17" s="3119"/>
      <c r="AF17" s="3119"/>
      <c r="AG17" s="3119"/>
      <c r="AH17" s="3119"/>
      <c r="AI17" s="3119"/>
      <c r="AJ17" s="3119"/>
      <c r="AK17" s="3119"/>
      <c r="AL17" s="3119"/>
      <c r="AM17" s="3119"/>
      <c r="AN17" s="3119"/>
      <c r="AO17" s="3119"/>
      <c r="AP17" s="3119"/>
      <c r="AQ17" s="3119"/>
      <c r="AR17" s="3119"/>
      <c r="AS17" s="3119"/>
      <c r="AT17" s="3119"/>
      <c r="AU17" s="3119"/>
      <c r="AV17" s="3119"/>
      <c r="AW17" s="3119"/>
      <c r="AX17" s="3119"/>
      <c r="AY17" s="3119"/>
      <c r="AZ17" s="3119"/>
      <c r="BA17" s="3119"/>
      <c r="BB17" s="3119"/>
      <c r="BC17" s="3119"/>
      <c r="BD17" s="3119"/>
      <c r="BE17" s="3119"/>
      <c r="BF17" s="3119"/>
      <c r="BG17" s="3119"/>
      <c r="BH17" s="3119"/>
      <c r="BI17" s="3119"/>
      <c r="BJ17" s="3119"/>
      <c r="BK17" s="3119"/>
      <c r="BL17" s="3119"/>
      <c r="BM17" s="3119"/>
      <c r="BN17" s="3119"/>
      <c r="BO17" s="3119"/>
      <c r="BP17" s="3119"/>
      <c r="BQ17" s="3119"/>
      <c r="BR17" s="3119"/>
      <c r="BS17" s="3119"/>
      <c r="BT17" s="3119"/>
      <c r="BU17" s="3119"/>
      <c r="BV17" s="3119"/>
      <c r="BW17" s="3119"/>
      <c r="BX17" s="3119"/>
      <c r="BY17" s="3119"/>
      <c r="BZ17" s="3119"/>
      <c r="CA17" s="3119"/>
      <c r="CB17" s="3119"/>
      <c r="CC17" s="3119"/>
      <c r="CD17" s="3119"/>
      <c r="CE17" s="3119"/>
      <c r="CF17" s="3119"/>
      <c r="CG17" s="3119"/>
      <c r="CH17" s="3119"/>
      <c r="CI17" s="3119"/>
      <c r="CJ17" s="3119"/>
      <c r="CK17" s="3119"/>
      <c r="CL17" s="3119"/>
      <c r="CM17" s="3119"/>
      <c r="CN17" s="3119"/>
      <c r="CO17" s="3119"/>
      <c r="CP17" s="3119"/>
      <c r="CQ17" s="3119"/>
      <c r="CR17" s="3119"/>
      <c r="CS17" s="3119"/>
      <c r="CT17" s="3119"/>
      <c r="CU17" s="3119"/>
      <c r="CV17" s="3119"/>
      <c r="CW17" s="3119"/>
      <c r="CX17" s="3119"/>
      <c r="CY17" s="3119"/>
      <c r="CZ17" s="3119"/>
      <c r="DA17" s="3119"/>
      <c r="DB17" s="3119"/>
      <c r="DC17" s="3119"/>
      <c r="DD17" s="3119"/>
      <c r="DE17" s="3119"/>
      <c r="DF17" s="3119"/>
      <c r="DG17" s="3119"/>
      <c r="DH17" s="3119"/>
      <c r="DI17" s="3119"/>
      <c r="DJ17" s="3119"/>
      <c r="DK17" s="3119"/>
      <c r="DL17" s="3119"/>
      <c r="DM17" s="3119"/>
      <c r="DN17" s="3119"/>
      <c r="DO17" s="3119"/>
      <c r="DP17" s="3119"/>
      <c r="DQ17" s="3119"/>
      <c r="DR17" s="3119"/>
      <c r="DS17" s="3119"/>
      <c r="DT17" s="3119"/>
      <c r="DU17" s="3119"/>
      <c r="DV17" s="3119"/>
      <c r="DW17" s="3119"/>
      <c r="DX17" s="3119"/>
      <c r="DY17" s="3119"/>
      <c r="DZ17" s="3119"/>
      <c r="EA17" s="3119"/>
      <c r="EB17" s="3119"/>
      <c r="EC17" s="3119"/>
      <c r="ED17" s="3119"/>
      <c r="EE17" s="3119"/>
      <c r="EF17" s="3119"/>
      <c r="EG17" s="3119"/>
      <c r="EH17" s="3119"/>
      <c r="EI17" s="3119"/>
      <c r="EJ17" s="3119"/>
      <c r="EK17" s="3119"/>
      <c r="EL17" s="3119"/>
      <c r="EM17" s="3119"/>
      <c r="EN17" s="3119"/>
      <c r="EO17" s="3119"/>
      <c r="EP17" s="3119"/>
      <c r="EQ17" s="3119"/>
      <c r="ER17" s="3119"/>
      <c r="ES17" s="3119"/>
      <c r="ET17" s="3119"/>
      <c r="EU17" s="3119"/>
      <c r="EV17" s="3119"/>
      <c r="EW17" s="3119"/>
      <c r="EX17" s="3119"/>
      <c r="EY17" s="3119"/>
      <c r="EZ17" s="3119"/>
      <c r="FA17" s="3119"/>
      <c r="FB17" s="3119"/>
      <c r="FC17" s="3119"/>
      <c r="FD17" s="3119"/>
      <c r="FE17" s="3119"/>
      <c r="FF17" s="3119"/>
      <c r="FG17" s="3119"/>
      <c r="FH17" s="3119"/>
      <c r="FI17" s="3119"/>
      <c r="FJ17" s="3119"/>
      <c r="FK17" s="3119"/>
      <c r="FL17" s="3119"/>
      <c r="FM17" s="3119"/>
      <c r="FN17" s="3119"/>
      <c r="FO17" s="3119"/>
      <c r="FP17" s="3119"/>
      <c r="FQ17" s="3119"/>
      <c r="FR17" s="3119"/>
      <c r="FS17" s="3119"/>
      <c r="FT17" s="3119"/>
      <c r="FU17" s="3119"/>
      <c r="FV17" s="3119"/>
      <c r="FW17" s="3119"/>
      <c r="FX17" s="3119"/>
      <c r="FY17" s="3119"/>
      <c r="FZ17" s="3119"/>
      <c r="GA17" s="3119"/>
      <c r="GB17" s="3119"/>
      <c r="GC17" s="3119"/>
      <c r="GD17" s="3119"/>
      <c r="GE17" s="3119"/>
      <c r="GF17" s="3119"/>
      <c r="GG17" s="3119"/>
      <c r="GH17" s="3119"/>
      <c r="GI17" s="3119"/>
      <c r="GJ17" s="3119"/>
      <c r="GK17" s="3119"/>
      <c r="GL17" s="3119"/>
      <c r="GM17" s="3119"/>
      <c r="GN17" s="3119"/>
      <c r="GO17" s="3119"/>
      <c r="GP17" s="3119"/>
      <c r="GQ17" s="3119"/>
      <c r="GR17" s="3119"/>
      <c r="GS17" s="3119"/>
      <c r="GT17" s="3119"/>
      <c r="GU17" s="3119"/>
      <c r="GV17" s="3119"/>
      <c r="GW17" s="3119"/>
      <c r="GX17" s="3119"/>
      <c r="GY17" s="3119"/>
      <c r="GZ17" s="3119"/>
      <c r="HA17" s="3119"/>
      <c r="HB17" s="3119"/>
      <c r="HC17" s="3119"/>
      <c r="HD17" s="3119"/>
      <c r="HE17" s="3119"/>
      <c r="HF17" s="3119"/>
      <c r="HG17" s="3119"/>
      <c r="HH17" s="3119"/>
      <c r="HI17" s="3119"/>
      <c r="HJ17" s="3119"/>
      <c r="HK17" s="3119"/>
      <c r="HL17" s="3119"/>
      <c r="HM17" s="3119"/>
      <c r="HN17" s="3119"/>
      <c r="HO17" s="3119"/>
      <c r="HP17" s="3119"/>
      <c r="HQ17" s="3119"/>
      <c r="HR17" s="3119"/>
      <c r="HS17" s="3119"/>
      <c r="HT17" s="3119"/>
      <c r="HU17" s="3119"/>
      <c r="HV17" s="3119"/>
      <c r="HW17" s="3119"/>
      <c r="HX17" s="3119"/>
      <c r="HY17" s="3119"/>
      <c r="HZ17" s="3119"/>
      <c r="IA17" s="3119"/>
      <c r="IB17" s="3119"/>
      <c r="IC17" s="3119"/>
      <c r="ID17" s="3119"/>
      <c r="IE17" s="3119"/>
      <c r="IF17" s="3119"/>
      <c r="IG17" s="3119"/>
      <c r="IH17" s="3119"/>
      <c r="II17" s="3119"/>
      <c r="IJ17" s="3119"/>
      <c r="IK17" s="3119"/>
      <c r="IL17" s="3119"/>
      <c r="IM17" s="3119"/>
      <c r="IN17" s="3119"/>
      <c r="IO17" s="3119"/>
      <c r="IP17" s="3119"/>
      <c r="IQ17" s="3119"/>
      <c r="IR17" s="3119"/>
      <c r="IS17" s="3119"/>
      <c r="IT17" s="3119"/>
      <c r="IU17" s="3119"/>
      <c r="IV17" s="3119"/>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1781</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12506</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8" t="s">
        <v>2155</v>
      </c>
      <c r="D4" s="3739"/>
      <c r="E4" s="3739"/>
      <c r="F4" s="3739"/>
      <c r="G4" s="3739"/>
      <c r="H4" s="3739"/>
      <c r="I4" s="3739"/>
      <c r="J4" s="3739"/>
      <c r="K4" s="3739"/>
      <c r="L4" s="3739"/>
      <c r="M4" s="3739"/>
      <c r="N4" s="3739"/>
      <c r="O4" s="3739"/>
      <c r="P4" s="3739"/>
      <c r="Q4" s="3739"/>
      <c r="R4" s="3739"/>
      <c r="S4" s="3740"/>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69">
        <v>0</v>
      </c>
      <c r="D6" s="1869">
        <v>50</v>
      </c>
      <c r="E6" s="1869">
        <v>100</v>
      </c>
      <c r="F6" s="1869">
        <v>200</v>
      </c>
      <c r="G6" s="1869">
        <v>400</v>
      </c>
      <c r="H6" s="1869">
        <v>800</v>
      </c>
      <c r="I6" s="1869">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2">
        <v>100</v>
      </c>
      <c r="D7" s="1823">
        <v>99</v>
      </c>
      <c r="E7" s="1823">
        <v>98</v>
      </c>
      <c r="F7" s="1823">
        <v>97</v>
      </c>
      <c r="G7" s="1823">
        <v>96</v>
      </c>
      <c r="H7" s="1823">
        <v>95</v>
      </c>
      <c r="I7" s="1823">
        <v>94</v>
      </c>
      <c r="J7" s="182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3" t="s">
        <v>3020</v>
      </c>
      <c r="C8" s="3324" t="s">
        <v>3010</v>
      </c>
      <c r="D8" s="3324" t="s">
        <v>3022</v>
      </c>
      <c r="E8" s="3324" t="s">
        <v>3023</v>
      </c>
      <c r="F8" s="3324" t="s">
        <v>3024</v>
      </c>
      <c r="G8" s="3324" t="s">
        <v>3025</v>
      </c>
      <c r="H8" s="3324" t="s">
        <v>3026</v>
      </c>
      <c r="I8" s="3324" t="s">
        <v>3027</v>
      </c>
      <c r="J8" s="3324" t="s">
        <v>3028</v>
      </c>
      <c r="K8" s="3324" t="s">
        <v>3029</v>
      </c>
      <c r="L8" s="3324" t="s">
        <v>3030</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9" t="s">
        <v>2163</v>
      </c>
      <c r="B20" s="1520"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1"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1781</v>
      </c>
      <c r="C23" s="1522" t="str">
        <f>'数据-取费表'!B3</f>
        <v>万元</v>
      </c>
      <c r="D23" s="37"/>
      <c r="E23" s="37"/>
      <c r="F23" s="1523" t="s">
        <v>1183</v>
      </c>
      <c r="G23" s="1294"/>
      <c r="H23" s="575" t="e">
        <f ca="1">SUMIF(INDIRECT("'"&amp;J23&amp;"'"&amp;"!A:A"),"承租人权益价值",INDIRECT("'"&amp;J23&amp;"'"&amp;"!c:c"))</f>
        <v>#REF!</v>
      </c>
      <c r="I23" s="575" t="str">
        <f>C2</f>
        <v>万元</v>
      </c>
      <c r="J23" s="1524" t="s">
        <v>3031</v>
      </c>
      <c r="K23" s="37"/>
      <c r="L23" s="37"/>
      <c r="M23" s="37"/>
      <c r="N23" s="37"/>
      <c r="O23" s="37"/>
      <c r="P23" s="37"/>
      <c r="Q23" s="37"/>
      <c r="R23" s="644"/>
      <c r="S23" s="31"/>
      <c r="T23" s="31"/>
      <c r="U23" s="997"/>
      <c r="V23" s="998"/>
      <c r="W23" s="661"/>
      <c r="X23" s="661"/>
      <c r="Y23" s="661"/>
      <c r="Z23" s="661"/>
    </row>
    <row r="24" spans="1:45" ht="15.75">
      <c r="A24" s="1522" t="s">
        <v>2167</v>
      </c>
      <c r="B24" s="224">
        <f ca="1">ROUND(B23*10000/B25,0)</f>
        <v>12506</v>
      </c>
      <c r="C24" s="863"/>
      <c r="D24" s="37"/>
      <c r="E24" s="37"/>
      <c r="F24" s="37"/>
      <c r="G24" s="37"/>
      <c r="H24" s="37"/>
      <c r="I24" s="37"/>
      <c r="J24" s="37"/>
      <c r="K24" s="37"/>
      <c r="L24" s="37"/>
      <c r="M24" s="37"/>
      <c r="N24" s="37"/>
      <c r="O24" s="37"/>
      <c r="P24" s="37"/>
      <c r="Q24" s="37"/>
      <c r="R24" s="644"/>
      <c r="S24" s="13" t="s">
        <v>2168</v>
      </c>
      <c r="T24" s="1300" t="s">
        <v>2169</v>
      </c>
      <c r="U24" s="2212" t="s">
        <v>2170</v>
      </c>
      <c r="V24" s="2954"/>
      <c r="W24" s="2955" t="s">
        <v>2171</v>
      </c>
      <c r="X24" s="2212" t="s">
        <v>2172</v>
      </c>
      <c r="Y24" s="2954"/>
      <c r="Z24" s="2956" t="s">
        <v>2171</v>
      </c>
    </row>
    <row r="25" spans="1:45">
      <c r="A25" s="250" t="s">
        <v>2173</v>
      </c>
      <c r="B25" s="13">
        <f>SUM(B27:B10000)</f>
        <v>1424.1599999999999</v>
      </c>
      <c r="C25" s="3735" t="s">
        <v>45</v>
      </c>
      <c r="D25" s="3736"/>
      <c r="E25" s="3736"/>
      <c r="F25" s="3736"/>
      <c r="G25" s="3736"/>
      <c r="H25" s="3736"/>
      <c r="I25" s="3736"/>
      <c r="J25" s="3736"/>
      <c r="K25" s="3736"/>
      <c r="L25" s="3736"/>
      <c r="M25" s="3736"/>
      <c r="N25" s="3736"/>
      <c r="O25" s="3736"/>
      <c r="P25" s="3736"/>
      <c r="Q25" s="3737"/>
      <c r="R25" s="596">
        <f ca="1">IF(C23="万元",ROUND(T25*10000/B25,0),ROUND(S25/B25,0))</f>
        <v>12506</v>
      </c>
      <c r="S25" s="13">
        <f ca="1">SUM(S27:S10000)</f>
        <v>17804897</v>
      </c>
      <c r="T25" s="13">
        <f ca="1">SUM(T27:T10000)</f>
        <v>1781</v>
      </c>
      <c r="U25" s="17">
        <f>SUM(U27:U10000)</f>
        <v>0</v>
      </c>
      <c r="V25" s="17">
        <f>SUM(V27:V10000)</f>
        <v>0</v>
      </c>
      <c r="W25" s="2958"/>
      <c r="X25" s="17">
        <f>SUM(X27:X10000)</f>
        <v>0</v>
      </c>
      <c r="Y25" s="17">
        <f>SUM(Y27:Y10000)</f>
        <v>0</v>
      </c>
      <c r="Z25" s="1525"/>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70.739999999999995</v>
      </c>
      <c r="C27" s="899">
        <v>1</v>
      </c>
      <c r="D27" s="600"/>
      <c r="E27" s="899">
        <v>1</v>
      </c>
      <c r="F27" s="600"/>
      <c r="G27" s="899">
        <v>1</v>
      </c>
      <c r="H27" s="600"/>
      <c r="I27" s="899">
        <v>1</v>
      </c>
      <c r="J27" s="600"/>
      <c r="K27" s="899">
        <v>1</v>
      </c>
      <c r="L27" s="600"/>
      <c r="M27" s="899">
        <v>1</v>
      </c>
      <c r="N27" s="600"/>
      <c r="O27" s="899">
        <v>1</v>
      </c>
      <c r="P27" s="600">
        <v>1</v>
      </c>
      <c r="Q27" s="899">
        <v>1</v>
      </c>
      <c r="R27" s="905">
        <f ca="1">结果表!G20</f>
        <v>18199</v>
      </c>
      <c r="S27" s="599">
        <f ca="1">ROUND(R27*B27,0)</f>
        <v>1287397</v>
      </c>
      <c r="T27" s="599">
        <f ca="1">ROUND(R27*B27/10000,0)</f>
        <v>129</v>
      </c>
      <c r="U27" s="2957">
        <f>ROUND(W27*B27,0)</f>
        <v>0</v>
      </c>
      <c r="V27" s="2957">
        <f>ROUND(W27*B27/10000,0)</f>
        <v>0</v>
      </c>
      <c r="W27" s="995"/>
      <c r="X27" s="2957">
        <f>ROUND(Z27*B27,0)</f>
        <v>0</v>
      </c>
      <c r="Y27" s="2957">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0.97</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13240</v>
      </c>
      <c r="S28" s="250">
        <f ca="1">ROUND(R28*B28,0)</f>
        <v>7409898</v>
      </c>
      <c r="T28" s="899">
        <f ca="1">ROUND(R28*B28/10000,0)</f>
        <v>741</v>
      </c>
      <c r="U28" s="2957">
        <f t="shared" ref="U28:U91" si="22">ROUND(W28*B28,0)</f>
        <v>0</v>
      </c>
      <c r="V28" s="2957">
        <f t="shared" ref="V28:V91" si="23">ROUND(W28*B28/10000,0)</f>
        <v>0</v>
      </c>
      <c r="W28" s="996"/>
      <c r="X28" s="2957">
        <f t="shared" ref="X28:X91" si="24">ROUND(Z28*B28,0)</f>
        <v>0</v>
      </c>
      <c r="Y28" s="2957">
        <f t="shared" ref="Y28:Y91" si="25">ROUND(Z28*B28/10000,0)</f>
        <v>0</v>
      </c>
      <c r="Z28" s="996"/>
    </row>
    <row r="29" spans="1:45">
      <c r="A29" s="20">
        <v>3</v>
      </c>
      <c r="B29" s="20">
        <v>793.76</v>
      </c>
      <c r="C29" s="13">
        <f t="shared" si="14"/>
        <v>0.97</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11474</v>
      </c>
      <c r="S29" s="250">
        <f t="shared" ref="S29:S92" ca="1" si="27">ROUND(R29*B29,0)</f>
        <v>9107602</v>
      </c>
      <c r="T29" s="899">
        <f t="shared" ref="T29:T92" ca="1" si="28">ROUND(R29*B29/10000,0)</f>
        <v>911</v>
      </c>
      <c r="U29" s="2957">
        <f t="shared" si="22"/>
        <v>0</v>
      </c>
      <c r="V29" s="2957">
        <f t="shared" si="23"/>
        <v>0</v>
      </c>
      <c r="W29" s="996"/>
      <c r="X29" s="2957">
        <f t="shared" si="24"/>
        <v>0</v>
      </c>
      <c r="Y29" s="2957">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7">
        <f t="shared" si="22"/>
        <v>0</v>
      </c>
      <c r="V30" s="2957">
        <f t="shared" si="23"/>
        <v>0</v>
      </c>
      <c r="W30" s="996"/>
      <c r="X30" s="2957">
        <f t="shared" si="24"/>
        <v>0</v>
      </c>
      <c r="Y30" s="2957">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7">
        <f t="shared" si="22"/>
        <v>0</v>
      </c>
      <c r="V31" s="2957">
        <f t="shared" si="23"/>
        <v>0</v>
      </c>
      <c r="W31" s="996"/>
      <c r="X31" s="2957">
        <f t="shared" si="24"/>
        <v>0</v>
      </c>
      <c r="Y31" s="2957">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7">
        <f t="shared" si="22"/>
        <v>0</v>
      </c>
      <c r="V32" s="2957">
        <f t="shared" si="23"/>
        <v>0</v>
      </c>
      <c r="W32" s="996"/>
      <c r="X32" s="2957">
        <f t="shared" si="24"/>
        <v>0</v>
      </c>
      <c r="Y32" s="2957">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7">
        <f t="shared" si="22"/>
        <v>0</v>
      </c>
      <c r="V33" s="2957">
        <f t="shared" si="23"/>
        <v>0</v>
      </c>
      <c r="W33" s="996"/>
      <c r="X33" s="2957">
        <f t="shared" si="24"/>
        <v>0</v>
      </c>
      <c r="Y33" s="2957">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7">
        <f t="shared" si="22"/>
        <v>0</v>
      </c>
      <c r="V34" s="2957">
        <f t="shared" si="23"/>
        <v>0</v>
      </c>
      <c r="W34" s="996"/>
      <c r="X34" s="2957">
        <f t="shared" si="24"/>
        <v>0</v>
      </c>
      <c r="Y34" s="2957">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7">
        <f t="shared" si="22"/>
        <v>0</v>
      </c>
      <c r="V35" s="2957">
        <f t="shared" si="23"/>
        <v>0</v>
      </c>
      <c r="W35" s="996"/>
      <c r="X35" s="2957">
        <f t="shared" si="24"/>
        <v>0</v>
      </c>
      <c r="Y35" s="2957">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7">
        <f t="shared" si="22"/>
        <v>0</v>
      </c>
      <c r="V36" s="2957">
        <f t="shared" si="23"/>
        <v>0</v>
      </c>
      <c r="W36" s="996"/>
      <c r="X36" s="2957">
        <f t="shared" si="24"/>
        <v>0</v>
      </c>
      <c r="Y36" s="2957">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7">
        <f t="shared" si="22"/>
        <v>0</v>
      </c>
      <c r="V37" s="2957">
        <f t="shared" si="23"/>
        <v>0</v>
      </c>
      <c r="W37" s="996"/>
      <c r="X37" s="2957">
        <f t="shared" si="24"/>
        <v>0</v>
      </c>
      <c r="Y37" s="2957">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7">
        <f t="shared" si="22"/>
        <v>0</v>
      </c>
      <c r="V38" s="2957">
        <f t="shared" si="23"/>
        <v>0</v>
      </c>
      <c r="W38" s="996"/>
      <c r="X38" s="2957">
        <f t="shared" si="24"/>
        <v>0</v>
      </c>
      <c r="Y38" s="2957">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7">
        <f t="shared" si="22"/>
        <v>0</v>
      </c>
      <c r="V39" s="2957">
        <f t="shared" si="23"/>
        <v>0</v>
      </c>
      <c r="W39" s="996"/>
      <c r="X39" s="2957">
        <f t="shared" si="24"/>
        <v>0</v>
      </c>
      <c r="Y39" s="2957">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7">
        <f t="shared" si="22"/>
        <v>0</v>
      </c>
      <c r="V40" s="2957">
        <f t="shared" si="23"/>
        <v>0</v>
      </c>
      <c r="W40" s="996"/>
      <c r="X40" s="2957">
        <f t="shared" si="24"/>
        <v>0</v>
      </c>
      <c r="Y40" s="2957">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7">
        <f t="shared" si="22"/>
        <v>0</v>
      </c>
      <c r="V41" s="2957">
        <f t="shared" si="23"/>
        <v>0</v>
      </c>
      <c r="W41" s="996"/>
      <c r="X41" s="2957">
        <f t="shared" si="24"/>
        <v>0</v>
      </c>
      <c r="Y41" s="2957">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7">
        <f t="shared" si="22"/>
        <v>0</v>
      </c>
      <c r="V42" s="2957">
        <f t="shared" si="23"/>
        <v>0</v>
      </c>
      <c r="W42" s="996"/>
      <c r="X42" s="2957">
        <f t="shared" si="24"/>
        <v>0</v>
      </c>
      <c r="Y42" s="2957">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7">
        <f t="shared" si="22"/>
        <v>0</v>
      </c>
      <c r="V43" s="2957">
        <f t="shared" si="23"/>
        <v>0</v>
      </c>
      <c r="W43" s="996"/>
      <c r="X43" s="2957">
        <f t="shared" si="24"/>
        <v>0</v>
      </c>
      <c r="Y43" s="2957">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7">
        <f t="shared" si="22"/>
        <v>0</v>
      </c>
      <c r="V44" s="2957">
        <f t="shared" si="23"/>
        <v>0</v>
      </c>
      <c r="W44" s="996"/>
      <c r="X44" s="2957">
        <f t="shared" si="24"/>
        <v>0</v>
      </c>
      <c r="Y44" s="2957">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7">
        <f t="shared" si="22"/>
        <v>0</v>
      </c>
      <c r="V45" s="2957">
        <f t="shared" si="23"/>
        <v>0</v>
      </c>
      <c r="W45" s="996"/>
      <c r="X45" s="2957">
        <f t="shared" si="24"/>
        <v>0</v>
      </c>
      <c r="Y45" s="2957">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7">
        <f t="shared" si="22"/>
        <v>0</v>
      </c>
      <c r="V46" s="2957">
        <f t="shared" si="23"/>
        <v>0</v>
      </c>
      <c r="W46" s="996"/>
      <c r="X46" s="2957">
        <f t="shared" si="24"/>
        <v>0</v>
      </c>
      <c r="Y46" s="2957">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7">
        <f t="shared" si="22"/>
        <v>0</v>
      </c>
      <c r="V47" s="2957">
        <f t="shared" si="23"/>
        <v>0</v>
      </c>
      <c r="W47" s="996"/>
      <c r="X47" s="2957">
        <f t="shared" si="24"/>
        <v>0</v>
      </c>
      <c r="Y47" s="2957">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7">
        <f t="shared" si="22"/>
        <v>0</v>
      </c>
      <c r="V48" s="2957">
        <f t="shared" si="23"/>
        <v>0</v>
      </c>
      <c r="W48" s="996"/>
      <c r="X48" s="2957">
        <f t="shared" si="24"/>
        <v>0</v>
      </c>
      <c r="Y48" s="2957">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7">
        <f t="shared" si="22"/>
        <v>0</v>
      </c>
      <c r="V49" s="2957">
        <f t="shared" si="23"/>
        <v>0</v>
      </c>
      <c r="W49" s="996"/>
      <c r="X49" s="2957">
        <f t="shared" si="24"/>
        <v>0</v>
      </c>
      <c r="Y49" s="2957">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7">
        <f t="shared" si="22"/>
        <v>0</v>
      </c>
      <c r="V50" s="2957">
        <f t="shared" si="23"/>
        <v>0</v>
      </c>
      <c r="W50" s="996"/>
      <c r="X50" s="2957">
        <f t="shared" si="24"/>
        <v>0</v>
      </c>
      <c r="Y50" s="2957">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7">
        <f t="shared" si="22"/>
        <v>0</v>
      </c>
      <c r="V51" s="2957">
        <f t="shared" si="23"/>
        <v>0</v>
      </c>
      <c r="W51" s="996"/>
      <c r="X51" s="2957">
        <f t="shared" si="24"/>
        <v>0</v>
      </c>
      <c r="Y51" s="2957">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7">
        <f t="shared" si="22"/>
        <v>0</v>
      </c>
      <c r="V52" s="2957">
        <f t="shared" si="23"/>
        <v>0</v>
      </c>
      <c r="W52" s="996"/>
      <c r="X52" s="2957">
        <f t="shared" si="24"/>
        <v>0</v>
      </c>
      <c r="Y52" s="2957">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7">
        <f t="shared" si="22"/>
        <v>0</v>
      </c>
      <c r="V53" s="2957">
        <f t="shared" si="23"/>
        <v>0</v>
      </c>
      <c r="W53" s="996"/>
      <c r="X53" s="2957">
        <f t="shared" si="24"/>
        <v>0</v>
      </c>
      <c r="Y53" s="2957">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7">
        <f t="shared" si="22"/>
        <v>0</v>
      </c>
      <c r="V54" s="2957">
        <f t="shared" si="23"/>
        <v>0</v>
      </c>
      <c r="W54" s="996"/>
      <c r="X54" s="2957">
        <f t="shared" si="24"/>
        <v>0</v>
      </c>
      <c r="Y54" s="2957">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7">
        <f t="shared" si="22"/>
        <v>0</v>
      </c>
      <c r="V55" s="2957">
        <f t="shared" si="23"/>
        <v>0</v>
      </c>
      <c r="W55" s="996"/>
      <c r="X55" s="2957">
        <f t="shared" si="24"/>
        <v>0</v>
      </c>
      <c r="Y55" s="2957">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7">
        <f t="shared" si="22"/>
        <v>0</v>
      </c>
      <c r="V56" s="2957">
        <f t="shared" si="23"/>
        <v>0</v>
      </c>
      <c r="W56" s="996"/>
      <c r="X56" s="2957">
        <f t="shared" si="24"/>
        <v>0</v>
      </c>
      <c r="Y56" s="2957">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7">
        <f t="shared" si="22"/>
        <v>0</v>
      </c>
      <c r="V57" s="2957">
        <f t="shared" si="23"/>
        <v>0</v>
      </c>
      <c r="W57" s="996"/>
      <c r="X57" s="2957">
        <f t="shared" si="24"/>
        <v>0</v>
      </c>
      <c r="Y57" s="2957">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7">
        <f t="shared" si="22"/>
        <v>0</v>
      </c>
      <c r="V58" s="2957">
        <f t="shared" si="23"/>
        <v>0</v>
      </c>
      <c r="W58" s="996"/>
      <c r="X58" s="2957">
        <f t="shared" si="24"/>
        <v>0</v>
      </c>
      <c r="Y58" s="2957">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7">
        <f t="shared" si="22"/>
        <v>0</v>
      </c>
      <c r="V59" s="2957">
        <f t="shared" si="23"/>
        <v>0</v>
      </c>
      <c r="W59" s="996"/>
      <c r="X59" s="2957">
        <f t="shared" si="24"/>
        <v>0</v>
      </c>
      <c r="Y59" s="2957">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7">
        <f t="shared" si="22"/>
        <v>0</v>
      </c>
      <c r="V60" s="2957">
        <f t="shared" si="23"/>
        <v>0</v>
      </c>
      <c r="W60" s="996"/>
      <c r="X60" s="2957">
        <f t="shared" si="24"/>
        <v>0</v>
      </c>
      <c r="Y60" s="2957">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7">
        <f t="shared" si="22"/>
        <v>0</v>
      </c>
      <c r="V61" s="2957">
        <f t="shared" si="23"/>
        <v>0</v>
      </c>
      <c r="W61" s="996"/>
      <c r="X61" s="2957">
        <f t="shared" si="24"/>
        <v>0</v>
      </c>
      <c r="Y61" s="2957">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7">
        <f t="shared" si="22"/>
        <v>0</v>
      </c>
      <c r="V62" s="2957">
        <f t="shared" si="23"/>
        <v>0</v>
      </c>
      <c r="W62" s="996"/>
      <c r="X62" s="2957">
        <f t="shared" si="24"/>
        <v>0</v>
      </c>
      <c r="Y62" s="2957">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7">
        <f t="shared" si="22"/>
        <v>0</v>
      </c>
      <c r="V63" s="2957">
        <f t="shared" si="23"/>
        <v>0</v>
      </c>
      <c r="W63" s="996"/>
      <c r="X63" s="2957">
        <f t="shared" si="24"/>
        <v>0</v>
      </c>
      <c r="Y63" s="2957">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7">
        <f t="shared" si="22"/>
        <v>0</v>
      </c>
      <c r="V64" s="2957">
        <f t="shared" si="23"/>
        <v>0</v>
      </c>
      <c r="W64" s="996"/>
      <c r="X64" s="2957">
        <f t="shared" si="24"/>
        <v>0</v>
      </c>
      <c r="Y64" s="2957">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7">
        <f t="shared" si="22"/>
        <v>0</v>
      </c>
      <c r="V65" s="2957">
        <f t="shared" si="23"/>
        <v>0</v>
      </c>
      <c r="W65" s="996"/>
      <c r="X65" s="2957">
        <f t="shared" si="24"/>
        <v>0</v>
      </c>
      <c r="Y65" s="2957">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7">
        <f t="shared" si="22"/>
        <v>0</v>
      </c>
      <c r="V66" s="2957">
        <f t="shared" si="23"/>
        <v>0</v>
      </c>
      <c r="W66" s="996"/>
      <c r="X66" s="2957">
        <f t="shared" si="24"/>
        <v>0</v>
      </c>
      <c r="Y66" s="2957">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7">
        <f t="shared" si="22"/>
        <v>0</v>
      </c>
      <c r="V67" s="2957">
        <f t="shared" si="23"/>
        <v>0</v>
      </c>
      <c r="W67" s="996"/>
      <c r="X67" s="2957">
        <f t="shared" si="24"/>
        <v>0</v>
      </c>
      <c r="Y67" s="2957">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7">
        <f t="shared" si="22"/>
        <v>0</v>
      </c>
      <c r="V68" s="2957">
        <f t="shared" si="23"/>
        <v>0</v>
      </c>
      <c r="W68" s="996"/>
      <c r="X68" s="2957">
        <f t="shared" si="24"/>
        <v>0</v>
      </c>
      <c r="Y68" s="2957">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7">
        <f t="shared" si="22"/>
        <v>0</v>
      </c>
      <c r="V69" s="2957">
        <f t="shared" si="23"/>
        <v>0</v>
      </c>
      <c r="W69" s="996"/>
      <c r="X69" s="2957">
        <f t="shared" si="24"/>
        <v>0</v>
      </c>
      <c r="Y69" s="2957">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7">
        <f t="shared" si="22"/>
        <v>0</v>
      </c>
      <c r="V70" s="2957">
        <f t="shared" si="23"/>
        <v>0</v>
      </c>
      <c r="W70" s="996"/>
      <c r="X70" s="2957">
        <f t="shared" si="24"/>
        <v>0</v>
      </c>
      <c r="Y70" s="2957">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7">
        <f t="shared" si="22"/>
        <v>0</v>
      </c>
      <c r="V71" s="2957">
        <f t="shared" si="23"/>
        <v>0</v>
      </c>
      <c r="W71" s="996"/>
      <c r="X71" s="2957">
        <f t="shared" si="24"/>
        <v>0</v>
      </c>
      <c r="Y71" s="2957">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7">
        <f t="shared" si="22"/>
        <v>0</v>
      </c>
      <c r="V72" s="2957">
        <f t="shared" si="23"/>
        <v>0</v>
      </c>
      <c r="W72" s="996"/>
      <c r="X72" s="2957">
        <f t="shared" si="24"/>
        <v>0</v>
      </c>
      <c r="Y72" s="2957">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7">
        <f t="shared" si="22"/>
        <v>0</v>
      </c>
      <c r="V73" s="2957">
        <f t="shared" si="23"/>
        <v>0</v>
      </c>
      <c r="W73" s="996"/>
      <c r="X73" s="2957">
        <f t="shared" si="24"/>
        <v>0</v>
      </c>
      <c r="Y73" s="2957">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7">
        <f t="shared" si="22"/>
        <v>0</v>
      </c>
      <c r="V74" s="2957">
        <f t="shared" si="23"/>
        <v>0</v>
      </c>
      <c r="W74" s="996"/>
      <c r="X74" s="2957">
        <f t="shared" si="24"/>
        <v>0</v>
      </c>
      <c r="Y74" s="2957">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7">
        <f t="shared" si="22"/>
        <v>0</v>
      </c>
      <c r="V75" s="2957">
        <f t="shared" si="23"/>
        <v>0</v>
      </c>
      <c r="W75" s="996"/>
      <c r="X75" s="2957">
        <f t="shared" si="24"/>
        <v>0</v>
      </c>
      <c r="Y75" s="2957">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7">
        <f t="shared" si="22"/>
        <v>0</v>
      </c>
      <c r="V76" s="2957">
        <f t="shared" si="23"/>
        <v>0</v>
      </c>
      <c r="W76" s="996"/>
      <c r="X76" s="2957">
        <f t="shared" si="24"/>
        <v>0</v>
      </c>
      <c r="Y76" s="2957">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7">
        <f t="shared" si="22"/>
        <v>0</v>
      </c>
      <c r="V77" s="2957">
        <f t="shared" si="23"/>
        <v>0</v>
      </c>
      <c r="W77" s="996"/>
      <c r="X77" s="2957">
        <f t="shared" si="24"/>
        <v>0</v>
      </c>
      <c r="Y77" s="2957">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7">
        <f t="shared" si="22"/>
        <v>0</v>
      </c>
      <c r="V78" s="2957">
        <f t="shared" si="23"/>
        <v>0</v>
      </c>
      <c r="W78" s="996"/>
      <c r="X78" s="2957">
        <f t="shared" si="24"/>
        <v>0</v>
      </c>
      <c r="Y78" s="2957">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7">
        <f t="shared" si="22"/>
        <v>0</v>
      </c>
      <c r="V79" s="2957">
        <f t="shared" si="23"/>
        <v>0</v>
      </c>
      <c r="W79" s="996"/>
      <c r="X79" s="2957">
        <f t="shared" si="24"/>
        <v>0</v>
      </c>
      <c r="Y79" s="2957">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7">
        <f t="shared" si="22"/>
        <v>0</v>
      </c>
      <c r="V80" s="2957">
        <f t="shared" si="23"/>
        <v>0</v>
      </c>
      <c r="W80" s="996"/>
      <c r="X80" s="2957">
        <f t="shared" si="24"/>
        <v>0</v>
      </c>
      <c r="Y80" s="2957">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7">
        <f t="shared" si="22"/>
        <v>0</v>
      </c>
      <c r="V81" s="2957">
        <f t="shared" si="23"/>
        <v>0</v>
      </c>
      <c r="W81" s="996"/>
      <c r="X81" s="2957">
        <f t="shared" si="24"/>
        <v>0</v>
      </c>
      <c r="Y81" s="2957">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7">
        <f t="shared" si="22"/>
        <v>0</v>
      </c>
      <c r="V82" s="2957">
        <f t="shared" si="23"/>
        <v>0</v>
      </c>
      <c r="W82" s="996"/>
      <c r="X82" s="2957">
        <f t="shared" si="24"/>
        <v>0</v>
      </c>
      <c r="Y82" s="2957">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7">
        <f t="shared" si="22"/>
        <v>0</v>
      </c>
      <c r="V83" s="2957">
        <f t="shared" si="23"/>
        <v>0</v>
      </c>
      <c r="W83" s="996"/>
      <c r="X83" s="2957">
        <f t="shared" si="24"/>
        <v>0</v>
      </c>
      <c r="Y83" s="2957">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7">
        <f t="shared" si="22"/>
        <v>0</v>
      </c>
      <c r="V84" s="2957">
        <f t="shared" si="23"/>
        <v>0</v>
      </c>
      <c r="W84" s="996"/>
      <c r="X84" s="2957">
        <f t="shared" si="24"/>
        <v>0</v>
      </c>
      <c r="Y84" s="2957">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7">
        <f t="shared" si="22"/>
        <v>0</v>
      </c>
      <c r="V85" s="2957">
        <f t="shared" si="23"/>
        <v>0</v>
      </c>
      <c r="W85" s="996"/>
      <c r="X85" s="2957">
        <f t="shared" si="24"/>
        <v>0</v>
      </c>
      <c r="Y85" s="2957">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7">
        <f t="shared" si="22"/>
        <v>0</v>
      </c>
      <c r="V86" s="2957">
        <f t="shared" si="23"/>
        <v>0</v>
      </c>
      <c r="W86" s="996"/>
      <c r="X86" s="2957">
        <f t="shared" si="24"/>
        <v>0</v>
      </c>
      <c r="Y86" s="2957">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7">
        <f t="shared" si="22"/>
        <v>0</v>
      </c>
      <c r="V87" s="2957">
        <f t="shared" si="23"/>
        <v>0</v>
      </c>
      <c r="W87" s="996"/>
      <c r="X87" s="2957">
        <f t="shared" si="24"/>
        <v>0</v>
      </c>
      <c r="Y87" s="2957">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7">
        <f t="shared" si="22"/>
        <v>0</v>
      </c>
      <c r="V88" s="2957">
        <f t="shared" si="23"/>
        <v>0</v>
      </c>
      <c r="W88" s="996"/>
      <c r="X88" s="2957">
        <f t="shared" si="24"/>
        <v>0</v>
      </c>
      <c r="Y88" s="2957">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7">
        <f t="shared" si="22"/>
        <v>0</v>
      </c>
      <c r="V89" s="2957">
        <f t="shared" si="23"/>
        <v>0</v>
      </c>
      <c r="W89" s="996"/>
      <c r="X89" s="2957">
        <f t="shared" si="24"/>
        <v>0</v>
      </c>
      <c r="Y89" s="2957">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7">
        <f t="shared" si="22"/>
        <v>0</v>
      </c>
      <c r="V90" s="2957">
        <f t="shared" si="23"/>
        <v>0</v>
      </c>
      <c r="W90" s="996"/>
      <c r="X90" s="2957">
        <f t="shared" si="24"/>
        <v>0</v>
      </c>
      <c r="Y90" s="2957">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7">
        <f t="shared" si="22"/>
        <v>0</v>
      </c>
      <c r="V91" s="2957">
        <f t="shared" si="23"/>
        <v>0</v>
      </c>
      <c r="W91" s="996"/>
      <c r="X91" s="2957">
        <f t="shared" si="24"/>
        <v>0</v>
      </c>
      <c r="Y91" s="2957">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7">
        <f t="shared" ref="U92:U155" si="37">ROUND(W92*B92,0)</f>
        <v>0</v>
      </c>
      <c r="V92" s="2957">
        <f t="shared" ref="V92:V155" si="38">ROUND(W92*B92/10000,0)</f>
        <v>0</v>
      </c>
      <c r="W92" s="996"/>
      <c r="X92" s="2957">
        <f t="shared" ref="X92:X155" si="39">ROUND(Z92*B92,0)</f>
        <v>0</v>
      </c>
      <c r="Y92" s="2957">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7">
        <f t="shared" si="37"/>
        <v>0</v>
      </c>
      <c r="V93" s="2957">
        <f t="shared" si="38"/>
        <v>0</v>
      </c>
      <c r="W93" s="996"/>
      <c r="X93" s="2957">
        <f t="shared" si="39"/>
        <v>0</v>
      </c>
      <c r="Y93" s="2957">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7">
        <f t="shared" si="37"/>
        <v>0</v>
      </c>
      <c r="V94" s="2957">
        <f t="shared" si="38"/>
        <v>0</v>
      </c>
      <c r="W94" s="996"/>
      <c r="X94" s="2957">
        <f t="shared" si="39"/>
        <v>0</v>
      </c>
      <c r="Y94" s="2957">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7">
        <f t="shared" si="37"/>
        <v>0</v>
      </c>
      <c r="V95" s="2957">
        <f t="shared" si="38"/>
        <v>0</v>
      </c>
      <c r="W95" s="996"/>
      <c r="X95" s="2957">
        <f t="shared" si="39"/>
        <v>0</v>
      </c>
      <c r="Y95" s="2957">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7">
        <f t="shared" si="37"/>
        <v>0</v>
      </c>
      <c r="V96" s="2957">
        <f t="shared" si="38"/>
        <v>0</v>
      </c>
      <c r="W96" s="996"/>
      <c r="X96" s="2957">
        <f t="shared" si="39"/>
        <v>0</v>
      </c>
      <c r="Y96" s="2957">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7">
        <f t="shared" si="37"/>
        <v>0</v>
      </c>
      <c r="V97" s="2957">
        <f t="shared" si="38"/>
        <v>0</v>
      </c>
      <c r="W97" s="996"/>
      <c r="X97" s="2957">
        <f t="shared" si="39"/>
        <v>0</v>
      </c>
      <c r="Y97" s="2957">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7">
        <f t="shared" si="37"/>
        <v>0</v>
      </c>
      <c r="V98" s="2957">
        <f t="shared" si="38"/>
        <v>0</v>
      </c>
      <c r="W98" s="996"/>
      <c r="X98" s="2957">
        <f t="shared" si="39"/>
        <v>0</v>
      </c>
      <c r="Y98" s="2957">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7">
        <f t="shared" si="37"/>
        <v>0</v>
      </c>
      <c r="V99" s="2957">
        <f t="shared" si="38"/>
        <v>0</v>
      </c>
      <c r="W99" s="996"/>
      <c r="X99" s="2957">
        <f t="shared" si="39"/>
        <v>0</v>
      </c>
      <c r="Y99" s="2957">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7">
        <f t="shared" si="37"/>
        <v>0</v>
      </c>
      <c r="V100" s="2957">
        <f t="shared" si="38"/>
        <v>0</v>
      </c>
      <c r="W100" s="996"/>
      <c r="X100" s="2957">
        <f t="shared" si="39"/>
        <v>0</v>
      </c>
      <c r="Y100" s="2957">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7">
        <f t="shared" si="37"/>
        <v>0</v>
      </c>
      <c r="V101" s="2957">
        <f t="shared" si="38"/>
        <v>0</v>
      </c>
      <c r="W101" s="996"/>
      <c r="X101" s="2957">
        <f t="shared" si="39"/>
        <v>0</v>
      </c>
      <c r="Y101" s="2957">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7">
        <f t="shared" si="37"/>
        <v>0</v>
      </c>
      <c r="V102" s="2957">
        <f t="shared" si="38"/>
        <v>0</v>
      </c>
      <c r="W102" s="996"/>
      <c r="X102" s="2957">
        <f t="shared" si="39"/>
        <v>0</v>
      </c>
      <c r="Y102" s="2957">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7">
        <f t="shared" si="37"/>
        <v>0</v>
      </c>
      <c r="V103" s="2957">
        <f t="shared" si="38"/>
        <v>0</v>
      </c>
      <c r="W103" s="996"/>
      <c r="X103" s="2957">
        <f t="shared" si="39"/>
        <v>0</v>
      </c>
      <c r="Y103" s="2957">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7">
        <f t="shared" si="37"/>
        <v>0</v>
      </c>
      <c r="V104" s="2957">
        <f t="shared" si="38"/>
        <v>0</v>
      </c>
      <c r="W104" s="996"/>
      <c r="X104" s="2957">
        <f t="shared" si="39"/>
        <v>0</v>
      </c>
      <c r="Y104" s="2957">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7">
        <f t="shared" si="37"/>
        <v>0</v>
      </c>
      <c r="V105" s="2957">
        <f t="shared" si="38"/>
        <v>0</v>
      </c>
      <c r="W105" s="996"/>
      <c r="X105" s="2957">
        <f t="shared" si="39"/>
        <v>0</v>
      </c>
      <c r="Y105" s="2957">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7">
        <f t="shared" si="37"/>
        <v>0</v>
      </c>
      <c r="V106" s="2957">
        <f t="shared" si="38"/>
        <v>0</v>
      </c>
      <c r="W106" s="996"/>
      <c r="X106" s="2957">
        <f t="shared" si="39"/>
        <v>0</v>
      </c>
      <c r="Y106" s="2957">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7">
        <f t="shared" si="37"/>
        <v>0</v>
      </c>
      <c r="V107" s="2957">
        <f t="shared" si="38"/>
        <v>0</v>
      </c>
      <c r="W107" s="996"/>
      <c r="X107" s="2957">
        <f t="shared" si="39"/>
        <v>0</v>
      </c>
      <c r="Y107" s="2957">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7">
        <f t="shared" si="37"/>
        <v>0</v>
      </c>
      <c r="V108" s="2957">
        <f t="shared" si="38"/>
        <v>0</v>
      </c>
      <c r="W108" s="996"/>
      <c r="X108" s="2957">
        <f t="shared" si="39"/>
        <v>0</v>
      </c>
      <c r="Y108" s="2957">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7">
        <f t="shared" si="37"/>
        <v>0</v>
      </c>
      <c r="V109" s="2957">
        <f t="shared" si="38"/>
        <v>0</v>
      </c>
      <c r="W109" s="996"/>
      <c r="X109" s="2957">
        <f t="shared" si="39"/>
        <v>0</v>
      </c>
      <c r="Y109" s="2957">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7">
        <f t="shared" si="37"/>
        <v>0</v>
      </c>
      <c r="V110" s="2957">
        <f t="shared" si="38"/>
        <v>0</v>
      </c>
      <c r="W110" s="996"/>
      <c r="X110" s="2957">
        <f t="shared" si="39"/>
        <v>0</v>
      </c>
      <c r="Y110" s="2957">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7">
        <f t="shared" si="37"/>
        <v>0</v>
      </c>
      <c r="V111" s="2957">
        <f t="shared" si="38"/>
        <v>0</v>
      </c>
      <c r="W111" s="996"/>
      <c r="X111" s="2957">
        <f t="shared" si="39"/>
        <v>0</v>
      </c>
      <c r="Y111" s="2957">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7">
        <f t="shared" si="37"/>
        <v>0</v>
      </c>
      <c r="V112" s="2957">
        <f t="shared" si="38"/>
        <v>0</v>
      </c>
      <c r="W112" s="996"/>
      <c r="X112" s="2957">
        <f t="shared" si="39"/>
        <v>0</v>
      </c>
      <c r="Y112" s="2957">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7">
        <f t="shared" si="37"/>
        <v>0</v>
      </c>
      <c r="V113" s="2957">
        <f t="shared" si="38"/>
        <v>0</v>
      </c>
      <c r="W113" s="996"/>
      <c r="X113" s="2957">
        <f t="shared" si="39"/>
        <v>0</v>
      </c>
      <c r="Y113" s="2957">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7">
        <f t="shared" si="37"/>
        <v>0</v>
      </c>
      <c r="V114" s="2957">
        <f t="shared" si="38"/>
        <v>0</v>
      </c>
      <c r="W114" s="996"/>
      <c r="X114" s="2957">
        <f t="shared" si="39"/>
        <v>0</v>
      </c>
      <c r="Y114" s="2957">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7">
        <f t="shared" si="37"/>
        <v>0</v>
      </c>
      <c r="V115" s="2957">
        <f t="shared" si="38"/>
        <v>0</v>
      </c>
      <c r="W115" s="996"/>
      <c r="X115" s="2957">
        <f t="shared" si="39"/>
        <v>0</v>
      </c>
      <c r="Y115" s="2957">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7">
        <f t="shared" si="37"/>
        <v>0</v>
      </c>
      <c r="V116" s="2957">
        <f t="shared" si="38"/>
        <v>0</v>
      </c>
      <c r="W116" s="996"/>
      <c r="X116" s="2957">
        <f t="shared" si="39"/>
        <v>0</v>
      </c>
      <c r="Y116" s="2957">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7">
        <f t="shared" si="37"/>
        <v>0</v>
      </c>
      <c r="V117" s="2957">
        <f t="shared" si="38"/>
        <v>0</v>
      </c>
      <c r="W117" s="996"/>
      <c r="X117" s="2957">
        <f t="shared" si="39"/>
        <v>0</v>
      </c>
      <c r="Y117" s="2957">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7">
        <f t="shared" si="37"/>
        <v>0</v>
      </c>
      <c r="V118" s="2957">
        <f t="shared" si="38"/>
        <v>0</v>
      </c>
      <c r="W118" s="996"/>
      <c r="X118" s="2957">
        <f t="shared" si="39"/>
        <v>0</v>
      </c>
      <c r="Y118" s="2957">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7">
        <f t="shared" si="37"/>
        <v>0</v>
      </c>
      <c r="V119" s="2957">
        <f t="shared" si="38"/>
        <v>0</v>
      </c>
      <c r="W119" s="996"/>
      <c r="X119" s="2957">
        <f t="shared" si="39"/>
        <v>0</v>
      </c>
      <c r="Y119" s="2957">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7">
        <f t="shared" si="37"/>
        <v>0</v>
      </c>
      <c r="V120" s="2957">
        <f t="shared" si="38"/>
        <v>0</v>
      </c>
      <c r="W120" s="996"/>
      <c r="X120" s="2957">
        <f t="shared" si="39"/>
        <v>0</v>
      </c>
      <c r="Y120" s="2957">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7">
        <f t="shared" si="37"/>
        <v>0</v>
      </c>
      <c r="V121" s="2957">
        <f t="shared" si="38"/>
        <v>0</v>
      </c>
      <c r="W121" s="996"/>
      <c r="X121" s="2957">
        <f t="shared" si="39"/>
        <v>0</v>
      </c>
      <c r="Y121" s="2957">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7">
        <f t="shared" si="37"/>
        <v>0</v>
      </c>
      <c r="V122" s="2957">
        <f t="shared" si="38"/>
        <v>0</v>
      </c>
      <c r="W122" s="996"/>
      <c r="X122" s="2957">
        <f t="shared" si="39"/>
        <v>0</v>
      </c>
      <c r="Y122" s="2957">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7">
        <f t="shared" si="37"/>
        <v>0</v>
      </c>
      <c r="V123" s="2957">
        <f t="shared" si="38"/>
        <v>0</v>
      </c>
      <c r="W123" s="996"/>
      <c r="X123" s="2957">
        <f t="shared" si="39"/>
        <v>0</v>
      </c>
      <c r="Y123" s="2957">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7">
        <f t="shared" si="37"/>
        <v>0</v>
      </c>
      <c r="V124" s="2957">
        <f t="shared" si="38"/>
        <v>0</v>
      </c>
      <c r="W124" s="996"/>
      <c r="X124" s="2957">
        <f t="shared" si="39"/>
        <v>0</v>
      </c>
      <c r="Y124" s="2957">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7">
        <f t="shared" si="37"/>
        <v>0</v>
      </c>
      <c r="V125" s="2957">
        <f t="shared" si="38"/>
        <v>0</v>
      </c>
      <c r="W125" s="996"/>
      <c r="X125" s="2957">
        <f t="shared" si="39"/>
        <v>0</v>
      </c>
      <c r="Y125" s="2957">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7">
        <f t="shared" si="37"/>
        <v>0</v>
      </c>
      <c r="V126" s="2957">
        <f t="shared" si="38"/>
        <v>0</v>
      </c>
      <c r="W126" s="996"/>
      <c r="X126" s="2957">
        <f t="shared" si="39"/>
        <v>0</v>
      </c>
      <c r="Y126" s="2957">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7">
        <f t="shared" si="37"/>
        <v>0</v>
      </c>
      <c r="V127" s="2957">
        <f t="shared" si="38"/>
        <v>0</v>
      </c>
      <c r="W127" s="996"/>
      <c r="X127" s="2957">
        <f t="shared" si="39"/>
        <v>0</v>
      </c>
      <c r="Y127" s="2957">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7">
        <f t="shared" si="37"/>
        <v>0</v>
      </c>
      <c r="V128" s="2957">
        <f t="shared" si="38"/>
        <v>0</v>
      </c>
      <c r="W128" s="996"/>
      <c r="X128" s="2957">
        <f t="shared" si="39"/>
        <v>0</v>
      </c>
      <c r="Y128" s="2957">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7">
        <f t="shared" si="37"/>
        <v>0</v>
      </c>
      <c r="V129" s="2957">
        <f t="shared" si="38"/>
        <v>0</v>
      </c>
      <c r="W129" s="996"/>
      <c r="X129" s="2957">
        <f t="shared" si="39"/>
        <v>0</v>
      </c>
      <c r="Y129" s="2957">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7">
        <f t="shared" si="37"/>
        <v>0</v>
      </c>
      <c r="V130" s="2957">
        <f t="shared" si="38"/>
        <v>0</v>
      </c>
      <c r="W130" s="996"/>
      <c r="X130" s="2957">
        <f t="shared" si="39"/>
        <v>0</v>
      </c>
      <c r="Y130" s="2957">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7">
        <f t="shared" si="37"/>
        <v>0</v>
      </c>
      <c r="V131" s="2957">
        <f t="shared" si="38"/>
        <v>0</v>
      </c>
      <c r="W131" s="996"/>
      <c r="X131" s="2957">
        <f t="shared" si="39"/>
        <v>0</v>
      </c>
      <c r="Y131" s="2957">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7">
        <f t="shared" si="37"/>
        <v>0</v>
      </c>
      <c r="V132" s="2957">
        <f t="shared" si="38"/>
        <v>0</v>
      </c>
      <c r="W132" s="996"/>
      <c r="X132" s="2957">
        <f t="shared" si="39"/>
        <v>0</v>
      </c>
      <c r="Y132" s="2957">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7">
        <f t="shared" si="37"/>
        <v>0</v>
      </c>
      <c r="V133" s="2957">
        <f t="shared" si="38"/>
        <v>0</v>
      </c>
      <c r="W133" s="996"/>
      <c r="X133" s="2957">
        <f t="shared" si="39"/>
        <v>0</v>
      </c>
      <c r="Y133" s="2957">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7">
        <f t="shared" si="37"/>
        <v>0</v>
      </c>
      <c r="V134" s="2957">
        <f t="shared" si="38"/>
        <v>0</v>
      </c>
      <c r="W134" s="996"/>
      <c r="X134" s="2957">
        <f t="shared" si="39"/>
        <v>0</v>
      </c>
      <c r="Y134" s="2957">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7">
        <f t="shared" si="37"/>
        <v>0</v>
      </c>
      <c r="V135" s="2957">
        <f t="shared" si="38"/>
        <v>0</v>
      </c>
      <c r="W135" s="996"/>
      <c r="X135" s="2957">
        <f t="shared" si="39"/>
        <v>0</v>
      </c>
      <c r="Y135" s="2957">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7">
        <f t="shared" si="37"/>
        <v>0</v>
      </c>
      <c r="V136" s="2957">
        <f t="shared" si="38"/>
        <v>0</v>
      </c>
      <c r="W136" s="996"/>
      <c r="X136" s="2957">
        <f t="shared" si="39"/>
        <v>0</v>
      </c>
      <c r="Y136" s="2957">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7">
        <f t="shared" si="37"/>
        <v>0</v>
      </c>
      <c r="V137" s="2957">
        <f t="shared" si="38"/>
        <v>0</v>
      </c>
      <c r="W137" s="996"/>
      <c r="X137" s="2957">
        <f t="shared" si="39"/>
        <v>0</v>
      </c>
      <c r="Y137" s="2957">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7">
        <f t="shared" si="37"/>
        <v>0</v>
      </c>
      <c r="V138" s="2957">
        <f t="shared" si="38"/>
        <v>0</v>
      </c>
      <c r="W138" s="996"/>
      <c r="X138" s="2957">
        <f t="shared" si="39"/>
        <v>0</v>
      </c>
      <c r="Y138" s="2957">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7">
        <f t="shared" si="37"/>
        <v>0</v>
      </c>
      <c r="V139" s="2957">
        <f t="shared" si="38"/>
        <v>0</v>
      </c>
      <c r="W139" s="996"/>
      <c r="X139" s="2957">
        <f t="shared" si="39"/>
        <v>0</v>
      </c>
      <c r="Y139" s="2957">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7">
        <f t="shared" si="37"/>
        <v>0</v>
      </c>
      <c r="V140" s="2957">
        <f t="shared" si="38"/>
        <v>0</v>
      </c>
      <c r="W140" s="996"/>
      <c r="X140" s="2957">
        <f t="shared" si="39"/>
        <v>0</v>
      </c>
      <c r="Y140" s="2957">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7">
        <f t="shared" si="37"/>
        <v>0</v>
      </c>
      <c r="V141" s="2957">
        <f t="shared" si="38"/>
        <v>0</v>
      </c>
      <c r="W141" s="996"/>
      <c r="X141" s="2957">
        <f t="shared" si="39"/>
        <v>0</v>
      </c>
      <c r="Y141" s="2957">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7">
        <f t="shared" si="37"/>
        <v>0</v>
      </c>
      <c r="V142" s="2957">
        <f t="shared" si="38"/>
        <v>0</v>
      </c>
      <c r="W142" s="996"/>
      <c r="X142" s="2957">
        <f t="shared" si="39"/>
        <v>0</v>
      </c>
      <c r="Y142" s="2957">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7">
        <f t="shared" si="37"/>
        <v>0</v>
      </c>
      <c r="V143" s="2957">
        <f t="shared" si="38"/>
        <v>0</v>
      </c>
      <c r="W143" s="996"/>
      <c r="X143" s="2957">
        <f t="shared" si="39"/>
        <v>0</v>
      </c>
      <c r="Y143" s="2957">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7">
        <f t="shared" si="37"/>
        <v>0</v>
      </c>
      <c r="V144" s="2957">
        <f t="shared" si="38"/>
        <v>0</v>
      </c>
      <c r="W144" s="996"/>
      <c r="X144" s="2957">
        <f t="shared" si="39"/>
        <v>0</v>
      </c>
      <c r="Y144" s="2957">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7">
        <f t="shared" si="37"/>
        <v>0</v>
      </c>
      <c r="V145" s="2957">
        <f t="shared" si="38"/>
        <v>0</v>
      </c>
      <c r="W145" s="996"/>
      <c r="X145" s="2957">
        <f t="shared" si="39"/>
        <v>0</v>
      </c>
      <c r="Y145" s="2957">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7">
        <f t="shared" si="37"/>
        <v>0</v>
      </c>
      <c r="V146" s="2957">
        <f t="shared" si="38"/>
        <v>0</v>
      </c>
      <c r="W146" s="996"/>
      <c r="X146" s="2957">
        <f t="shared" si="39"/>
        <v>0</v>
      </c>
      <c r="Y146" s="2957">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7">
        <f t="shared" si="37"/>
        <v>0</v>
      </c>
      <c r="V147" s="2957">
        <f t="shared" si="38"/>
        <v>0</v>
      </c>
      <c r="W147" s="996"/>
      <c r="X147" s="2957">
        <f t="shared" si="39"/>
        <v>0</v>
      </c>
      <c r="Y147" s="2957">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7">
        <f t="shared" si="37"/>
        <v>0</v>
      </c>
      <c r="V148" s="2957">
        <f t="shared" si="38"/>
        <v>0</v>
      </c>
      <c r="W148" s="996"/>
      <c r="X148" s="2957">
        <f t="shared" si="39"/>
        <v>0</v>
      </c>
      <c r="Y148" s="2957">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7">
        <f t="shared" si="37"/>
        <v>0</v>
      </c>
      <c r="V149" s="2957">
        <f t="shared" si="38"/>
        <v>0</v>
      </c>
      <c r="W149" s="996"/>
      <c r="X149" s="2957">
        <f t="shared" si="39"/>
        <v>0</v>
      </c>
      <c r="Y149" s="2957">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7">
        <f t="shared" si="37"/>
        <v>0</v>
      </c>
      <c r="V150" s="2957">
        <f t="shared" si="38"/>
        <v>0</v>
      </c>
      <c r="W150" s="996"/>
      <c r="X150" s="2957">
        <f t="shared" si="39"/>
        <v>0</v>
      </c>
      <c r="Y150" s="2957">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7">
        <f t="shared" si="37"/>
        <v>0</v>
      </c>
      <c r="V151" s="2957">
        <f t="shared" si="38"/>
        <v>0</v>
      </c>
      <c r="W151" s="996"/>
      <c r="X151" s="2957">
        <f t="shared" si="39"/>
        <v>0</v>
      </c>
      <c r="Y151" s="2957">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7">
        <f t="shared" si="37"/>
        <v>0</v>
      </c>
      <c r="V152" s="2957">
        <f t="shared" si="38"/>
        <v>0</v>
      </c>
      <c r="W152" s="996"/>
      <c r="X152" s="2957">
        <f t="shared" si="39"/>
        <v>0</v>
      </c>
      <c r="Y152" s="2957">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7">
        <f t="shared" si="37"/>
        <v>0</v>
      </c>
      <c r="V153" s="2957">
        <f t="shared" si="38"/>
        <v>0</v>
      </c>
      <c r="W153" s="996"/>
      <c r="X153" s="2957">
        <f t="shared" si="39"/>
        <v>0</v>
      </c>
      <c r="Y153" s="2957">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7">
        <f t="shared" si="37"/>
        <v>0</v>
      </c>
      <c r="V154" s="2957">
        <f t="shared" si="38"/>
        <v>0</v>
      </c>
      <c r="W154" s="996"/>
      <c r="X154" s="2957">
        <f t="shared" si="39"/>
        <v>0</v>
      </c>
      <c r="Y154" s="2957">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7">
        <f t="shared" si="37"/>
        <v>0</v>
      </c>
      <c r="V155" s="2957">
        <f t="shared" si="38"/>
        <v>0</v>
      </c>
      <c r="W155" s="996"/>
      <c r="X155" s="2957">
        <f t="shared" si="39"/>
        <v>0</v>
      </c>
      <c r="Y155" s="2957">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7">
        <f t="shared" ref="U156:U219" si="52">ROUND(W156*B156,0)</f>
        <v>0</v>
      </c>
      <c r="V156" s="2957">
        <f t="shared" ref="V156:V219" si="53">ROUND(W156*B156/10000,0)</f>
        <v>0</v>
      </c>
      <c r="W156" s="996"/>
      <c r="X156" s="2957">
        <f t="shared" ref="X156:X219" si="54">ROUND(Z156*B156,0)</f>
        <v>0</v>
      </c>
      <c r="Y156" s="2957">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7">
        <f t="shared" si="52"/>
        <v>0</v>
      </c>
      <c r="V157" s="2957">
        <f t="shared" si="53"/>
        <v>0</v>
      </c>
      <c r="W157" s="996"/>
      <c r="X157" s="2957">
        <f t="shared" si="54"/>
        <v>0</v>
      </c>
      <c r="Y157" s="2957">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7">
        <f t="shared" si="52"/>
        <v>0</v>
      </c>
      <c r="V158" s="2957">
        <f t="shared" si="53"/>
        <v>0</v>
      </c>
      <c r="W158" s="996"/>
      <c r="X158" s="2957">
        <f t="shared" si="54"/>
        <v>0</v>
      </c>
      <c r="Y158" s="2957">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7">
        <f t="shared" si="52"/>
        <v>0</v>
      </c>
      <c r="V159" s="2957">
        <f t="shared" si="53"/>
        <v>0</v>
      </c>
      <c r="W159" s="996"/>
      <c r="X159" s="2957">
        <f t="shared" si="54"/>
        <v>0</v>
      </c>
      <c r="Y159" s="2957">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7">
        <f t="shared" si="52"/>
        <v>0</v>
      </c>
      <c r="V160" s="2957">
        <f t="shared" si="53"/>
        <v>0</v>
      </c>
      <c r="W160" s="996"/>
      <c r="X160" s="2957">
        <f t="shared" si="54"/>
        <v>0</v>
      </c>
      <c r="Y160" s="2957">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7">
        <f t="shared" si="52"/>
        <v>0</v>
      </c>
      <c r="V161" s="2957">
        <f t="shared" si="53"/>
        <v>0</v>
      </c>
      <c r="W161" s="996"/>
      <c r="X161" s="2957">
        <f t="shared" si="54"/>
        <v>0</v>
      </c>
      <c r="Y161" s="2957">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7">
        <f t="shared" si="52"/>
        <v>0</v>
      </c>
      <c r="V162" s="2957">
        <f t="shared" si="53"/>
        <v>0</v>
      </c>
      <c r="W162" s="996"/>
      <c r="X162" s="2957">
        <f t="shared" si="54"/>
        <v>0</v>
      </c>
      <c r="Y162" s="2957">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7">
        <f t="shared" si="52"/>
        <v>0</v>
      </c>
      <c r="V163" s="2957">
        <f t="shared" si="53"/>
        <v>0</v>
      </c>
      <c r="W163" s="996"/>
      <c r="X163" s="2957">
        <f t="shared" si="54"/>
        <v>0</v>
      </c>
      <c r="Y163" s="2957">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7">
        <f t="shared" si="52"/>
        <v>0</v>
      </c>
      <c r="V164" s="2957">
        <f t="shared" si="53"/>
        <v>0</v>
      </c>
      <c r="W164" s="996"/>
      <c r="X164" s="2957">
        <f t="shared" si="54"/>
        <v>0</v>
      </c>
      <c r="Y164" s="2957">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7">
        <f t="shared" si="52"/>
        <v>0</v>
      </c>
      <c r="V165" s="2957">
        <f t="shared" si="53"/>
        <v>0</v>
      </c>
      <c r="W165" s="996"/>
      <c r="X165" s="2957">
        <f t="shared" si="54"/>
        <v>0</v>
      </c>
      <c r="Y165" s="2957">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7">
        <f t="shared" si="52"/>
        <v>0</v>
      </c>
      <c r="V166" s="2957">
        <f t="shared" si="53"/>
        <v>0</v>
      </c>
      <c r="W166" s="996"/>
      <c r="X166" s="2957">
        <f t="shared" si="54"/>
        <v>0</v>
      </c>
      <c r="Y166" s="2957">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7">
        <f t="shared" si="52"/>
        <v>0</v>
      </c>
      <c r="V167" s="2957">
        <f t="shared" si="53"/>
        <v>0</v>
      </c>
      <c r="W167" s="996"/>
      <c r="X167" s="2957">
        <f t="shared" si="54"/>
        <v>0</v>
      </c>
      <c r="Y167" s="2957">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7">
        <f t="shared" si="52"/>
        <v>0</v>
      </c>
      <c r="V168" s="2957">
        <f t="shared" si="53"/>
        <v>0</v>
      </c>
      <c r="W168" s="996"/>
      <c r="X168" s="2957">
        <f t="shared" si="54"/>
        <v>0</v>
      </c>
      <c r="Y168" s="2957">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7">
        <f t="shared" si="52"/>
        <v>0</v>
      </c>
      <c r="V169" s="2957">
        <f t="shared" si="53"/>
        <v>0</v>
      </c>
      <c r="W169" s="996"/>
      <c r="X169" s="2957">
        <f t="shared" si="54"/>
        <v>0</v>
      </c>
      <c r="Y169" s="2957">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7">
        <f t="shared" si="52"/>
        <v>0</v>
      </c>
      <c r="V170" s="2957">
        <f t="shared" si="53"/>
        <v>0</v>
      </c>
      <c r="W170" s="996"/>
      <c r="X170" s="2957">
        <f t="shared" si="54"/>
        <v>0</v>
      </c>
      <c r="Y170" s="2957">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7">
        <f t="shared" si="52"/>
        <v>0</v>
      </c>
      <c r="V171" s="2957">
        <f t="shared" si="53"/>
        <v>0</v>
      </c>
      <c r="W171" s="996"/>
      <c r="X171" s="2957">
        <f t="shared" si="54"/>
        <v>0</v>
      </c>
      <c r="Y171" s="2957">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7">
        <f t="shared" si="52"/>
        <v>0</v>
      </c>
      <c r="V172" s="2957">
        <f t="shared" si="53"/>
        <v>0</v>
      </c>
      <c r="W172" s="996"/>
      <c r="X172" s="2957">
        <f t="shared" si="54"/>
        <v>0</v>
      </c>
      <c r="Y172" s="2957">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7">
        <f t="shared" si="52"/>
        <v>0</v>
      </c>
      <c r="V173" s="2957">
        <f t="shared" si="53"/>
        <v>0</v>
      </c>
      <c r="W173" s="996"/>
      <c r="X173" s="2957">
        <f t="shared" si="54"/>
        <v>0</v>
      </c>
      <c r="Y173" s="2957">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7">
        <f t="shared" si="52"/>
        <v>0</v>
      </c>
      <c r="V174" s="2957">
        <f t="shared" si="53"/>
        <v>0</v>
      </c>
      <c r="W174" s="996"/>
      <c r="X174" s="2957">
        <f t="shared" si="54"/>
        <v>0</v>
      </c>
      <c r="Y174" s="2957">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7">
        <f t="shared" si="52"/>
        <v>0</v>
      </c>
      <c r="V175" s="2957">
        <f t="shared" si="53"/>
        <v>0</v>
      </c>
      <c r="W175" s="996"/>
      <c r="X175" s="2957">
        <f t="shared" si="54"/>
        <v>0</v>
      </c>
      <c r="Y175" s="2957">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7">
        <f t="shared" si="52"/>
        <v>0</v>
      </c>
      <c r="V176" s="2957">
        <f t="shared" si="53"/>
        <v>0</v>
      </c>
      <c r="W176" s="996"/>
      <c r="X176" s="2957">
        <f t="shared" si="54"/>
        <v>0</v>
      </c>
      <c r="Y176" s="2957">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7">
        <f t="shared" si="52"/>
        <v>0</v>
      </c>
      <c r="V177" s="2957">
        <f t="shared" si="53"/>
        <v>0</v>
      </c>
      <c r="W177" s="996"/>
      <c r="X177" s="2957">
        <f t="shared" si="54"/>
        <v>0</v>
      </c>
      <c r="Y177" s="2957">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7">
        <f t="shared" si="52"/>
        <v>0</v>
      </c>
      <c r="V178" s="2957">
        <f t="shared" si="53"/>
        <v>0</v>
      </c>
      <c r="W178" s="996"/>
      <c r="X178" s="2957">
        <f t="shared" si="54"/>
        <v>0</v>
      </c>
      <c r="Y178" s="2957">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7">
        <f t="shared" si="52"/>
        <v>0</v>
      </c>
      <c r="V179" s="2957">
        <f t="shared" si="53"/>
        <v>0</v>
      </c>
      <c r="W179" s="996"/>
      <c r="X179" s="2957">
        <f t="shared" si="54"/>
        <v>0</v>
      </c>
      <c r="Y179" s="2957">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7">
        <f t="shared" si="52"/>
        <v>0</v>
      </c>
      <c r="V180" s="2957">
        <f t="shared" si="53"/>
        <v>0</v>
      </c>
      <c r="W180" s="996"/>
      <c r="X180" s="2957">
        <f t="shared" si="54"/>
        <v>0</v>
      </c>
      <c r="Y180" s="2957">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7">
        <f t="shared" si="52"/>
        <v>0</v>
      </c>
      <c r="V181" s="2957">
        <f t="shared" si="53"/>
        <v>0</v>
      </c>
      <c r="W181" s="996"/>
      <c r="X181" s="2957">
        <f t="shared" si="54"/>
        <v>0</v>
      </c>
      <c r="Y181" s="2957">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7">
        <f t="shared" si="52"/>
        <v>0</v>
      </c>
      <c r="V182" s="2957">
        <f t="shared" si="53"/>
        <v>0</v>
      </c>
      <c r="W182" s="996"/>
      <c r="X182" s="2957">
        <f t="shared" si="54"/>
        <v>0</v>
      </c>
      <c r="Y182" s="2957">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7">
        <f t="shared" si="52"/>
        <v>0</v>
      </c>
      <c r="V183" s="2957">
        <f t="shared" si="53"/>
        <v>0</v>
      </c>
      <c r="W183" s="996"/>
      <c r="X183" s="2957">
        <f t="shared" si="54"/>
        <v>0</v>
      </c>
      <c r="Y183" s="2957">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7">
        <f t="shared" si="52"/>
        <v>0</v>
      </c>
      <c r="V184" s="2957">
        <f t="shared" si="53"/>
        <v>0</v>
      </c>
      <c r="W184" s="996"/>
      <c r="X184" s="2957">
        <f t="shared" si="54"/>
        <v>0</v>
      </c>
      <c r="Y184" s="2957">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7">
        <f t="shared" si="52"/>
        <v>0</v>
      </c>
      <c r="V185" s="2957">
        <f t="shared" si="53"/>
        <v>0</v>
      </c>
      <c r="W185" s="996"/>
      <c r="X185" s="2957">
        <f t="shared" si="54"/>
        <v>0</v>
      </c>
      <c r="Y185" s="2957">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7">
        <f t="shared" si="52"/>
        <v>0</v>
      </c>
      <c r="V186" s="2957">
        <f t="shared" si="53"/>
        <v>0</v>
      </c>
      <c r="W186" s="996"/>
      <c r="X186" s="2957">
        <f t="shared" si="54"/>
        <v>0</v>
      </c>
      <c r="Y186" s="2957">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7">
        <f t="shared" si="52"/>
        <v>0</v>
      </c>
      <c r="V187" s="2957">
        <f t="shared" si="53"/>
        <v>0</v>
      </c>
      <c r="W187" s="996"/>
      <c r="X187" s="2957">
        <f t="shared" si="54"/>
        <v>0</v>
      </c>
      <c r="Y187" s="2957">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7">
        <f t="shared" si="52"/>
        <v>0</v>
      </c>
      <c r="V188" s="2957">
        <f t="shared" si="53"/>
        <v>0</v>
      </c>
      <c r="W188" s="996"/>
      <c r="X188" s="2957">
        <f t="shared" si="54"/>
        <v>0</v>
      </c>
      <c r="Y188" s="2957">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7">
        <f t="shared" si="52"/>
        <v>0</v>
      </c>
      <c r="V189" s="2957">
        <f t="shared" si="53"/>
        <v>0</v>
      </c>
      <c r="W189" s="996"/>
      <c r="X189" s="2957">
        <f t="shared" si="54"/>
        <v>0</v>
      </c>
      <c r="Y189" s="2957">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7">
        <f t="shared" si="52"/>
        <v>0</v>
      </c>
      <c r="V190" s="2957">
        <f t="shared" si="53"/>
        <v>0</v>
      </c>
      <c r="W190" s="996"/>
      <c r="X190" s="2957">
        <f t="shared" si="54"/>
        <v>0</v>
      </c>
      <c r="Y190" s="2957">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7">
        <f t="shared" si="52"/>
        <v>0</v>
      </c>
      <c r="V191" s="2957">
        <f t="shared" si="53"/>
        <v>0</v>
      </c>
      <c r="W191" s="996"/>
      <c r="X191" s="2957">
        <f t="shared" si="54"/>
        <v>0</v>
      </c>
      <c r="Y191" s="2957">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7">
        <f t="shared" si="52"/>
        <v>0</v>
      </c>
      <c r="V192" s="2957">
        <f t="shared" si="53"/>
        <v>0</v>
      </c>
      <c r="W192" s="996"/>
      <c r="X192" s="2957">
        <f t="shared" si="54"/>
        <v>0</v>
      </c>
      <c r="Y192" s="2957">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7">
        <f t="shared" si="52"/>
        <v>0</v>
      </c>
      <c r="V193" s="2957">
        <f t="shared" si="53"/>
        <v>0</v>
      </c>
      <c r="W193" s="996"/>
      <c r="X193" s="2957">
        <f t="shared" si="54"/>
        <v>0</v>
      </c>
      <c r="Y193" s="2957">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7">
        <f t="shared" si="52"/>
        <v>0</v>
      </c>
      <c r="V194" s="2957">
        <f t="shared" si="53"/>
        <v>0</v>
      </c>
      <c r="W194" s="996"/>
      <c r="X194" s="2957">
        <f t="shared" si="54"/>
        <v>0</v>
      </c>
      <c r="Y194" s="2957">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7">
        <f t="shared" si="52"/>
        <v>0</v>
      </c>
      <c r="V195" s="2957">
        <f t="shared" si="53"/>
        <v>0</v>
      </c>
      <c r="W195" s="996"/>
      <c r="X195" s="2957">
        <f t="shared" si="54"/>
        <v>0</v>
      </c>
      <c r="Y195" s="2957">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7">
        <f t="shared" si="52"/>
        <v>0</v>
      </c>
      <c r="V196" s="2957">
        <f t="shared" si="53"/>
        <v>0</v>
      </c>
      <c r="W196" s="996"/>
      <c r="X196" s="2957">
        <f t="shared" si="54"/>
        <v>0</v>
      </c>
      <c r="Y196" s="2957">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7">
        <f t="shared" si="52"/>
        <v>0</v>
      </c>
      <c r="V197" s="2957">
        <f t="shared" si="53"/>
        <v>0</v>
      </c>
      <c r="W197" s="996"/>
      <c r="X197" s="2957">
        <f t="shared" si="54"/>
        <v>0</v>
      </c>
      <c r="Y197" s="2957">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7">
        <f t="shared" si="52"/>
        <v>0</v>
      </c>
      <c r="V198" s="2957">
        <f t="shared" si="53"/>
        <v>0</v>
      </c>
      <c r="W198" s="996"/>
      <c r="X198" s="2957">
        <f t="shared" si="54"/>
        <v>0</v>
      </c>
      <c r="Y198" s="2957">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7">
        <f t="shared" si="52"/>
        <v>0</v>
      </c>
      <c r="V199" s="2957">
        <f t="shared" si="53"/>
        <v>0</v>
      </c>
      <c r="W199" s="996"/>
      <c r="X199" s="2957">
        <f t="shared" si="54"/>
        <v>0</v>
      </c>
      <c r="Y199" s="2957">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7">
        <f t="shared" si="52"/>
        <v>0</v>
      </c>
      <c r="V200" s="2957">
        <f t="shared" si="53"/>
        <v>0</v>
      </c>
      <c r="W200" s="996"/>
      <c r="X200" s="2957">
        <f t="shared" si="54"/>
        <v>0</v>
      </c>
      <c r="Y200" s="2957">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7">
        <f t="shared" si="52"/>
        <v>0</v>
      </c>
      <c r="V201" s="2957">
        <f t="shared" si="53"/>
        <v>0</v>
      </c>
      <c r="W201" s="996"/>
      <c r="X201" s="2957">
        <f t="shared" si="54"/>
        <v>0</v>
      </c>
      <c r="Y201" s="2957">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7">
        <f t="shared" si="52"/>
        <v>0</v>
      </c>
      <c r="V202" s="2957">
        <f t="shared" si="53"/>
        <v>0</v>
      </c>
      <c r="W202" s="996"/>
      <c r="X202" s="2957">
        <f t="shared" si="54"/>
        <v>0</v>
      </c>
      <c r="Y202" s="2957">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7">
        <f t="shared" si="52"/>
        <v>0</v>
      </c>
      <c r="V203" s="2957">
        <f t="shared" si="53"/>
        <v>0</v>
      </c>
      <c r="W203" s="996"/>
      <c r="X203" s="2957">
        <f t="shared" si="54"/>
        <v>0</v>
      </c>
      <c r="Y203" s="2957">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7">
        <f t="shared" si="52"/>
        <v>0</v>
      </c>
      <c r="V204" s="2957">
        <f t="shared" si="53"/>
        <v>0</v>
      </c>
      <c r="W204" s="996"/>
      <c r="X204" s="2957">
        <f t="shared" si="54"/>
        <v>0</v>
      </c>
      <c r="Y204" s="2957">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7">
        <f t="shared" si="52"/>
        <v>0</v>
      </c>
      <c r="V205" s="2957">
        <f t="shared" si="53"/>
        <v>0</v>
      </c>
      <c r="W205" s="996"/>
      <c r="X205" s="2957">
        <f t="shared" si="54"/>
        <v>0</v>
      </c>
      <c r="Y205" s="2957">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7">
        <f t="shared" si="52"/>
        <v>0</v>
      </c>
      <c r="V206" s="2957">
        <f t="shared" si="53"/>
        <v>0</v>
      </c>
      <c r="W206" s="996"/>
      <c r="X206" s="2957">
        <f t="shared" si="54"/>
        <v>0</v>
      </c>
      <c r="Y206" s="2957">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7">
        <f t="shared" si="52"/>
        <v>0</v>
      </c>
      <c r="V207" s="2957">
        <f t="shared" si="53"/>
        <v>0</v>
      </c>
      <c r="W207" s="996"/>
      <c r="X207" s="2957">
        <f t="shared" si="54"/>
        <v>0</v>
      </c>
      <c r="Y207" s="2957">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7">
        <f t="shared" si="52"/>
        <v>0</v>
      </c>
      <c r="V208" s="2957">
        <f t="shared" si="53"/>
        <v>0</v>
      </c>
      <c r="W208" s="996"/>
      <c r="X208" s="2957">
        <f t="shared" si="54"/>
        <v>0</v>
      </c>
      <c r="Y208" s="2957">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7">
        <f t="shared" si="52"/>
        <v>0</v>
      </c>
      <c r="V209" s="2957">
        <f t="shared" si="53"/>
        <v>0</v>
      </c>
      <c r="W209" s="996"/>
      <c r="X209" s="2957">
        <f t="shared" si="54"/>
        <v>0</v>
      </c>
      <c r="Y209" s="2957">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7">
        <f t="shared" si="52"/>
        <v>0</v>
      </c>
      <c r="V210" s="2957">
        <f t="shared" si="53"/>
        <v>0</v>
      </c>
      <c r="W210" s="996"/>
      <c r="X210" s="2957">
        <f t="shared" si="54"/>
        <v>0</v>
      </c>
      <c r="Y210" s="2957">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7">
        <f t="shared" si="52"/>
        <v>0</v>
      </c>
      <c r="V211" s="2957">
        <f t="shared" si="53"/>
        <v>0</v>
      </c>
      <c r="W211" s="996"/>
      <c r="X211" s="2957">
        <f t="shared" si="54"/>
        <v>0</v>
      </c>
      <c r="Y211" s="2957">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7">
        <f t="shared" si="52"/>
        <v>0</v>
      </c>
      <c r="V212" s="2957">
        <f t="shared" si="53"/>
        <v>0</v>
      </c>
      <c r="W212" s="996"/>
      <c r="X212" s="2957">
        <f t="shared" si="54"/>
        <v>0</v>
      </c>
      <c r="Y212" s="2957">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7">
        <f t="shared" si="52"/>
        <v>0</v>
      </c>
      <c r="V213" s="2957">
        <f t="shared" si="53"/>
        <v>0</v>
      </c>
      <c r="W213" s="996"/>
      <c r="X213" s="2957">
        <f t="shared" si="54"/>
        <v>0</v>
      </c>
      <c r="Y213" s="2957">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7">
        <f t="shared" si="52"/>
        <v>0</v>
      </c>
      <c r="V214" s="2957">
        <f t="shared" si="53"/>
        <v>0</v>
      </c>
      <c r="W214" s="996"/>
      <c r="X214" s="2957">
        <f t="shared" si="54"/>
        <v>0</v>
      </c>
      <c r="Y214" s="2957">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7">
        <f t="shared" si="52"/>
        <v>0</v>
      </c>
      <c r="V215" s="2957">
        <f t="shared" si="53"/>
        <v>0</v>
      </c>
      <c r="W215" s="996"/>
      <c r="X215" s="2957">
        <f t="shared" si="54"/>
        <v>0</v>
      </c>
      <c r="Y215" s="2957">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7">
        <f t="shared" si="52"/>
        <v>0</v>
      </c>
      <c r="V216" s="2957">
        <f t="shared" si="53"/>
        <v>0</v>
      </c>
      <c r="W216" s="996"/>
      <c r="X216" s="2957">
        <f t="shared" si="54"/>
        <v>0</v>
      </c>
      <c r="Y216" s="2957">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7">
        <f t="shared" si="52"/>
        <v>0</v>
      </c>
      <c r="V217" s="2957">
        <f t="shared" si="53"/>
        <v>0</v>
      </c>
      <c r="W217" s="996"/>
      <c r="X217" s="2957">
        <f t="shared" si="54"/>
        <v>0</v>
      </c>
      <c r="Y217" s="2957">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7">
        <f t="shared" si="52"/>
        <v>0</v>
      </c>
      <c r="V218" s="2957">
        <f t="shared" si="53"/>
        <v>0</v>
      </c>
      <c r="W218" s="996"/>
      <c r="X218" s="2957">
        <f t="shared" si="54"/>
        <v>0</v>
      </c>
      <c r="Y218" s="2957">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7">
        <f t="shared" si="52"/>
        <v>0</v>
      </c>
      <c r="V219" s="2957">
        <f t="shared" si="53"/>
        <v>0</v>
      </c>
      <c r="W219" s="996"/>
      <c r="X219" s="2957">
        <f t="shared" si="54"/>
        <v>0</v>
      </c>
      <c r="Y219" s="2957">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7">
        <f t="shared" ref="U220:U283" si="67">ROUND(W220*B220,0)</f>
        <v>0</v>
      </c>
      <c r="V220" s="2957">
        <f t="shared" ref="V220:V283" si="68">ROUND(W220*B220/10000,0)</f>
        <v>0</v>
      </c>
      <c r="W220" s="996"/>
      <c r="X220" s="2957">
        <f t="shared" ref="X220:X283" si="69">ROUND(Z220*B220,0)</f>
        <v>0</v>
      </c>
      <c r="Y220" s="2957">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7">
        <f t="shared" si="67"/>
        <v>0</v>
      </c>
      <c r="V221" s="2957">
        <f t="shared" si="68"/>
        <v>0</v>
      </c>
      <c r="W221" s="996"/>
      <c r="X221" s="2957">
        <f t="shared" si="69"/>
        <v>0</v>
      </c>
      <c r="Y221" s="2957">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7">
        <f t="shared" si="67"/>
        <v>0</v>
      </c>
      <c r="V222" s="2957">
        <f t="shared" si="68"/>
        <v>0</v>
      </c>
      <c r="W222" s="996"/>
      <c r="X222" s="2957">
        <f t="shared" si="69"/>
        <v>0</v>
      </c>
      <c r="Y222" s="2957">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7">
        <f t="shared" si="67"/>
        <v>0</v>
      </c>
      <c r="V223" s="2957">
        <f t="shared" si="68"/>
        <v>0</v>
      </c>
      <c r="W223" s="996"/>
      <c r="X223" s="2957">
        <f t="shared" si="69"/>
        <v>0</v>
      </c>
      <c r="Y223" s="2957">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7">
        <f t="shared" si="67"/>
        <v>0</v>
      </c>
      <c r="V224" s="2957">
        <f t="shared" si="68"/>
        <v>0</v>
      </c>
      <c r="W224" s="996"/>
      <c r="X224" s="2957">
        <f t="shared" si="69"/>
        <v>0</v>
      </c>
      <c r="Y224" s="2957">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7">
        <f t="shared" si="67"/>
        <v>0</v>
      </c>
      <c r="V225" s="2957">
        <f t="shared" si="68"/>
        <v>0</v>
      </c>
      <c r="W225" s="996"/>
      <c r="X225" s="2957">
        <f t="shared" si="69"/>
        <v>0</v>
      </c>
      <c r="Y225" s="2957">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7">
        <f t="shared" si="67"/>
        <v>0</v>
      </c>
      <c r="V226" s="2957">
        <f t="shared" si="68"/>
        <v>0</v>
      </c>
      <c r="W226" s="996"/>
      <c r="X226" s="2957">
        <f t="shared" si="69"/>
        <v>0</v>
      </c>
      <c r="Y226" s="2957">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7">
        <f t="shared" si="67"/>
        <v>0</v>
      </c>
      <c r="V227" s="2957">
        <f t="shared" si="68"/>
        <v>0</v>
      </c>
      <c r="W227" s="996"/>
      <c r="X227" s="2957">
        <f t="shared" si="69"/>
        <v>0</v>
      </c>
      <c r="Y227" s="2957">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7">
        <f t="shared" si="67"/>
        <v>0</v>
      </c>
      <c r="V228" s="2957">
        <f t="shared" si="68"/>
        <v>0</v>
      </c>
      <c r="W228" s="996"/>
      <c r="X228" s="2957">
        <f t="shared" si="69"/>
        <v>0</v>
      </c>
      <c r="Y228" s="2957">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7">
        <f t="shared" si="67"/>
        <v>0</v>
      </c>
      <c r="V229" s="2957">
        <f t="shared" si="68"/>
        <v>0</v>
      </c>
      <c r="W229" s="996"/>
      <c r="X229" s="2957">
        <f t="shared" si="69"/>
        <v>0</v>
      </c>
      <c r="Y229" s="2957">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7">
        <f t="shared" si="67"/>
        <v>0</v>
      </c>
      <c r="V230" s="2957">
        <f t="shared" si="68"/>
        <v>0</v>
      </c>
      <c r="W230" s="996"/>
      <c r="X230" s="2957">
        <f t="shared" si="69"/>
        <v>0</v>
      </c>
      <c r="Y230" s="2957">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7">
        <f t="shared" si="67"/>
        <v>0</v>
      </c>
      <c r="V231" s="2957">
        <f t="shared" si="68"/>
        <v>0</v>
      </c>
      <c r="W231" s="996"/>
      <c r="X231" s="2957">
        <f t="shared" si="69"/>
        <v>0</v>
      </c>
      <c r="Y231" s="2957">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7">
        <f t="shared" si="67"/>
        <v>0</v>
      </c>
      <c r="V232" s="2957">
        <f t="shared" si="68"/>
        <v>0</v>
      </c>
      <c r="W232" s="996"/>
      <c r="X232" s="2957">
        <f t="shared" si="69"/>
        <v>0</v>
      </c>
      <c r="Y232" s="2957">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7">
        <f t="shared" si="67"/>
        <v>0</v>
      </c>
      <c r="V233" s="2957">
        <f t="shared" si="68"/>
        <v>0</v>
      </c>
      <c r="W233" s="996"/>
      <c r="X233" s="2957">
        <f t="shared" si="69"/>
        <v>0</v>
      </c>
      <c r="Y233" s="2957">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7">
        <f t="shared" si="67"/>
        <v>0</v>
      </c>
      <c r="V234" s="2957">
        <f t="shared" si="68"/>
        <v>0</v>
      </c>
      <c r="W234" s="996"/>
      <c r="X234" s="2957">
        <f t="shared" si="69"/>
        <v>0</v>
      </c>
      <c r="Y234" s="2957">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7">
        <f t="shared" si="67"/>
        <v>0</v>
      </c>
      <c r="V235" s="2957">
        <f t="shared" si="68"/>
        <v>0</v>
      </c>
      <c r="W235" s="996"/>
      <c r="X235" s="2957">
        <f t="shared" si="69"/>
        <v>0</v>
      </c>
      <c r="Y235" s="2957">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7">
        <f t="shared" si="67"/>
        <v>0</v>
      </c>
      <c r="V236" s="2957">
        <f t="shared" si="68"/>
        <v>0</v>
      </c>
      <c r="W236" s="996"/>
      <c r="X236" s="2957">
        <f t="shared" si="69"/>
        <v>0</v>
      </c>
      <c r="Y236" s="2957">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7">
        <f t="shared" si="67"/>
        <v>0</v>
      </c>
      <c r="V237" s="2957">
        <f t="shared" si="68"/>
        <v>0</v>
      </c>
      <c r="W237" s="996"/>
      <c r="X237" s="2957">
        <f t="shared" si="69"/>
        <v>0</v>
      </c>
      <c r="Y237" s="2957">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7">
        <f t="shared" si="67"/>
        <v>0</v>
      </c>
      <c r="V238" s="2957">
        <f t="shared" si="68"/>
        <v>0</v>
      </c>
      <c r="W238" s="996"/>
      <c r="X238" s="2957">
        <f t="shared" si="69"/>
        <v>0</v>
      </c>
      <c r="Y238" s="2957">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7">
        <f t="shared" si="67"/>
        <v>0</v>
      </c>
      <c r="V239" s="2957">
        <f t="shared" si="68"/>
        <v>0</v>
      </c>
      <c r="W239" s="996"/>
      <c r="X239" s="2957">
        <f t="shared" si="69"/>
        <v>0</v>
      </c>
      <c r="Y239" s="2957">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7">
        <f t="shared" si="67"/>
        <v>0</v>
      </c>
      <c r="V240" s="2957">
        <f t="shared" si="68"/>
        <v>0</v>
      </c>
      <c r="W240" s="996"/>
      <c r="X240" s="2957">
        <f t="shared" si="69"/>
        <v>0</v>
      </c>
      <c r="Y240" s="2957">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7">
        <f t="shared" si="67"/>
        <v>0</v>
      </c>
      <c r="V241" s="2957">
        <f t="shared" si="68"/>
        <v>0</v>
      </c>
      <c r="W241" s="996"/>
      <c r="X241" s="2957">
        <f t="shared" si="69"/>
        <v>0</v>
      </c>
      <c r="Y241" s="2957">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7">
        <f t="shared" si="67"/>
        <v>0</v>
      </c>
      <c r="V242" s="2957">
        <f t="shared" si="68"/>
        <v>0</v>
      </c>
      <c r="W242" s="996"/>
      <c r="X242" s="2957">
        <f t="shared" si="69"/>
        <v>0</v>
      </c>
      <c r="Y242" s="2957">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7">
        <f t="shared" si="67"/>
        <v>0</v>
      </c>
      <c r="V243" s="2957">
        <f t="shared" si="68"/>
        <v>0</v>
      </c>
      <c r="W243" s="996"/>
      <c r="X243" s="2957">
        <f t="shared" si="69"/>
        <v>0</v>
      </c>
      <c r="Y243" s="2957">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7">
        <f t="shared" si="67"/>
        <v>0</v>
      </c>
      <c r="V244" s="2957">
        <f t="shared" si="68"/>
        <v>0</v>
      </c>
      <c r="W244" s="996"/>
      <c r="X244" s="2957">
        <f t="shared" si="69"/>
        <v>0</v>
      </c>
      <c r="Y244" s="2957">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7">
        <f t="shared" si="67"/>
        <v>0</v>
      </c>
      <c r="V245" s="2957">
        <f t="shared" si="68"/>
        <v>0</v>
      </c>
      <c r="W245" s="996"/>
      <c r="X245" s="2957">
        <f t="shared" si="69"/>
        <v>0</v>
      </c>
      <c r="Y245" s="2957">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7">
        <f t="shared" si="67"/>
        <v>0</v>
      </c>
      <c r="V246" s="2957">
        <f t="shared" si="68"/>
        <v>0</v>
      </c>
      <c r="W246" s="996"/>
      <c r="X246" s="2957">
        <f t="shared" si="69"/>
        <v>0</v>
      </c>
      <c r="Y246" s="2957">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7">
        <f t="shared" si="67"/>
        <v>0</v>
      </c>
      <c r="V247" s="2957">
        <f t="shared" si="68"/>
        <v>0</v>
      </c>
      <c r="W247" s="996"/>
      <c r="X247" s="2957">
        <f t="shared" si="69"/>
        <v>0</v>
      </c>
      <c r="Y247" s="2957">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7">
        <f t="shared" si="67"/>
        <v>0</v>
      </c>
      <c r="V248" s="2957">
        <f t="shared" si="68"/>
        <v>0</v>
      </c>
      <c r="W248" s="996"/>
      <c r="X248" s="2957">
        <f t="shared" si="69"/>
        <v>0</v>
      </c>
      <c r="Y248" s="2957">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7">
        <f t="shared" si="67"/>
        <v>0</v>
      </c>
      <c r="V249" s="2957">
        <f t="shared" si="68"/>
        <v>0</v>
      </c>
      <c r="W249" s="996"/>
      <c r="X249" s="2957">
        <f t="shared" si="69"/>
        <v>0</v>
      </c>
      <c r="Y249" s="2957">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7">
        <f t="shared" si="67"/>
        <v>0</v>
      </c>
      <c r="V250" s="2957">
        <f t="shared" si="68"/>
        <v>0</v>
      </c>
      <c r="W250" s="996"/>
      <c r="X250" s="2957">
        <f t="shared" si="69"/>
        <v>0</v>
      </c>
      <c r="Y250" s="2957">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7">
        <f t="shared" si="67"/>
        <v>0</v>
      </c>
      <c r="V251" s="2957">
        <f t="shared" si="68"/>
        <v>0</v>
      </c>
      <c r="W251" s="996"/>
      <c r="X251" s="2957">
        <f t="shared" si="69"/>
        <v>0</v>
      </c>
      <c r="Y251" s="2957">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7">
        <f t="shared" si="67"/>
        <v>0</v>
      </c>
      <c r="V252" s="2957">
        <f t="shared" si="68"/>
        <v>0</v>
      </c>
      <c r="W252" s="996"/>
      <c r="X252" s="2957">
        <f t="shared" si="69"/>
        <v>0</v>
      </c>
      <c r="Y252" s="2957">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7">
        <f t="shared" si="67"/>
        <v>0</v>
      </c>
      <c r="V253" s="2957">
        <f t="shared" si="68"/>
        <v>0</v>
      </c>
      <c r="W253" s="996"/>
      <c r="X253" s="2957">
        <f t="shared" si="69"/>
        <v>0</v>
      </c>
      <c r="Y253" s="2957">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7">
        <f t="shared" si="67"/>
        <v>0</v>
      </c>
      <c r="V254" s="2957">
        <f t="shared" si="68"/>
        <v>0</v>
      </c>
      <c r="W254" s="996"/>
      <c r="X254" s="2957">
        <f t="shared" si="69"/>
        <v>0</v>
      </c>
      <c r="Y254" s="2957">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7">
        <f t="shared" si="67"/>
        <v>0</v>
      </c>
      <c r="V255" s="2957">
        <f t="shared" si="68"/>
        <v>0</v>
      </c>
      <c r="W255" s="996"/>
      <c r="X255" s="2957">
        <f t="shared" si="69"/>
        <v>0</v>
      </c>
      <c r="Y255" s="2957">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7">
        <f t="shared" si="67"/>
        <v>0</v>
      </c>
      <c r="V256" s="2957">
        <f t="shared" si="68"/>
        <v>0</v>
      </c>
      <c r="W256" s="996"/>
      <c r="X256" s="2957">
        <f t="shared" si="69"/>
        <v>0</v>
      </c>
      <c r="Y256" s="2957">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7">
        <f t="shared" si="67"/>
        <v>0</v>
      </c>
      <c r="V257" s="2957">
        <f t="shared" si="68"/>
        <v>0</v>
      </c>
      <c r="W257" s="996"/>
      <c r="X257" s="2957">
        <f t="shared" si="69"/>
        <v>0</v>
      </c>
      <c r="Y257" s="2957">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7">
        <f t="shared" si="67"/>
        <v>0</v>
      </c>
      <c r="V258" s="2957">
        <f t="shared" si="68"/>
        <v>0</v>
      </c>
      <c r="W258" s="996"/>
      <c r="X258" s="2957">
        <f t="shared" si="69"/>
        <v>0</v>
      </c>
      <c r="Y258" s="2957">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7">
        <f t="shared" si="67"/>
        <v>0</v>
      </c>
      <c r="V259" s="2957">
        <f t="shared" si="68"/>
        <v>0</v>
      </c>
      <c r="W259" s="996"/>
      <c r="X259" s="2957">
        <f t="shared" si="69"/>
        <v>0</v>
      </c>
      <c r="Y259" s="2957">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7">
        <f t="shared" si="67"/>
        <v>0</v>
      </c>
      <c r="V260" s="2957">
        <f t="shared" si="68"/>
        <v>0</v>
      </c>
      <c r="W260" s="996"/>
      <c r="X260" s="2957">
        <f t="shared" si="69"/>
        <v>0</v>
      </c>
      <c r="Y260" s="2957">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7">
        <f t="shared" si="67"/>
        <v>0</v>
      </c>
      <c r="V261" s="2957">
        <f t="shared" si="68"/>
        <v>0</v>
      </c>
      <c r="W261" s="996"/>
      <c r="X261" s="2957">
        <f t="shared" si="69"/>
        <v>0</v>
      </c>
      <c r="Y261" s="2957">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7">
        <f t="shared" si="67"/>
        <v>0</v>
      </c>
      <c r="V262" s="2957">
        <f t="shared" si="68"/>
        <v>0</v>
      </c>
      <c r="W262" s="996"/>
      <c r="X262" s="2957">
        <f t="shared" si="69"/>
        <v>0</v>
      </c>
      <c r="Y262" s="2957">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7">
        <f t="shared" si="67"/>
        <v>0</v>
      </c>
      <c r="V263" s="2957">
        <f t="shared" si="68"/>
        <v>0</v>
      </c>
      <c r="W263" s="996"/>
      <c r="X263" s="2957">
        <f t="shared" si="69"/>
        <v>0</v>
      </c>
      <c r="Y263" s="2957">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7">
        <f t="shared" si="67"/>
        <v>0</v>
      </c>
      <c r="V264" s="2957">
        <f t="shared" si="68"/>
        <v>0</v>
      </c>
      <c r="W264" s="996"/>
      <c r="X264" s="2957">
        <f t="shared" si="69"/>
        <v>0</v>
      </c>
      <c r="Y264" s="2957">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7">
        <f t="shared" si="67"/>
        <v>0</v>
      </c>
      <c r="V265" s="2957">
        <f t="shared" si="68"/>
        <v>0</v>
      </c>
      <c r="W265" s="996"/>
      <c r="X265" s="2957">
        <f t="shared" si="69"/>
        <v>0</v>
      </c>
      <c r="Y265" s="2957">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7">
        <f t="shared" si="67"/>
        <v>0</v>
      </c>
      <c r="V266" s="2957">
        <f t="shared" si="68"/>
        <v>0</v>
      </c>
      <c r="W266" s="996"/>
      <c r="X266" s="2957">
        <f t="shared" si="69"/>
        <v>0</v>
      </c>
      <c r="Y266" s="2957">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7">
        <f t="shared" si="67"/>
        <v>0</v>
      </c>
      <c r="V267" s="2957">
        <f t="shared" si="68"/>
        <v>0</v>
      </c>
      <c r="W267" s="996"/>
      <c r="X267" s="2957">
        <f t="shared" si="69"/>
        <v>0</v>
      </c>
      <c r="Y267" s="2957">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7">
        <f t="shared" si="67"/>
        <v>0</v>
      </c>
      <c r="V268" s="2957">
        <f t="shared" si="68"/>
        <v>0</v>
      </c>
      <c r="W268" s="996"/>
      <c r="X268" s="2957">
        <f t="shared" si="69"/>
        <v>0</v>
      </c>
      <c r="Y268" s="2957">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7">
        <f t="shared" si="67"/>
        <v>0</v>
      </c>
      <c r="V269" s="2957">
        <f t="shared" si="68"/>
        <v>0</v>
      </c>
      <c r="W269" s="996"/>
      <c r="X269" s="2957">
        <f t="shared" si="69"/>
        <v>0</v>
      </c>
      <c r="Y269" s="2957">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7">
        <f t="shared" si="67"/>
        <v>0</v>
      </c>
      <c r="V270" s="2957">
        <f t="shared" si="68"/>
        <v>0</v>
      </c>
      <c r="W270" s="996"/>
      <c r="X270" s="2957">
        <f t="shared" si="69"/>
        <v>0</v>
      </c>
      <c r="Y270" s="2957">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7">
        <f t="shared" si="67"/>
        <v>0</v>
      </c>
      <c r="V271" s="2957">
        <f t="shared" si="68"/>
        <v>0</v>
      </c>
      <c r="W271" s="996"/>
      <c r="X271" s="2957">
        <f t="shared" si="69"/>
        <v>0</v>
      </c>
      <c r="Y271" s="2957">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7">
        <f t="shared" si="67"/>
        <v>0</v>
      </c>
      <c r="V272" s="2957">
        <f t="shared" si="68"/>
        <v>0</v>
      </c>
      <c r="W272" s="996"/>
      <c r="X272" s="2957">
        <f t="shared" si="69"/>
        <v>0</v>
      </c>
      <c r="Y272" s="2957">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7">
        <f t="shared" si="67"/>
        <v>0</v>
      </c>
      <c r="V273" s="2957">
        <f t="shared" si="68"/>
        <v>0</v>
      </c>
      <c r="W273" s="996"/>
      <c r="X273" s="2957">
        <f t="shared" si="69"/>
        <v>0</v>
      </c>
      <c r="Y273" s="2957">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7">
        <f t="shared" si="67"/>
        <v>0</v>
      </c>
      <c r="V274" s="2957">
        <f t="shared" si="68"/>
        <v>0</v>
      </c>
      <c r="W274" s="996"/>
      <c r="X274" s="2957">
        <f t="shared" si="69"/>
        <v>0</v>
      </c>
      <c r="Y274" s="2957">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7">
        <f t="shared" si="67"/>
        <v>0</v>
      </c>
      <c r="V275" s="2957">
        <f t="shared" si="68"/>
        <v>0</v>
      </c>
      <c r="W275" s="996"/>
      <c r="X275" s="2957">
        <f t="shared" si="69"/>
        <v>0</v>
      </c>
      <c r="Y275" s="2957">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7">
        <f t="shared" si="67"/>
        <v>0</v>
      </c>
      <c r="V276" s="2957">
        <f t="shared" si="68"/>
        <v>0</v>
      </c>
      <c r="W276" s="996"/>
      <c r="X276" s="2957">
        <f t="shared" si="69"/>
        <v>0</v>
      </c>
      <c r="Y276" s="2957">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7">
        <f t="shared" si="67"/>
        <v>0</v>
      </c>
      <c r="V277" s="2957">
        <f t="shared" si="68"/>
        <v>0</v>
      </c>
      <c r="W277" s="996"/>
      <c r="X277" s="2957">
        <f t="shared" si="69"/>
        <v>0</v>
      </c>
      <c r="Y277" s="2957">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7">
        <f t="shared" si="67"/>
        <v>0</v>
      </c>
      <c r="V278" s="2957">
        <f t="shared" si="68"/>
        <v>0</v>
      </c>
      <c r="W278" s="996"/>
      <c r="X278" s="2957">
        <f t="shared" si="69"/>
        <v>0</v>
      </c>
      <c r="Y278" s="2957">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7">
        <f t="shared" si="67"/>
        <v>0</v>
      </c>
      <c r="V279" s="2957">
        <f t="shared" si="68"/>
        <v>0</v>
      </c>
      <c r="W279" s="996"/>
      <c r="X279" s="2957">
        <f t="shared" si="69"/>
        <v>0</v>
      </c>
      <c r="Y279" s="2957">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7">
        <f t="shared" si="67"/>
        <v>0</v>
      </c>
      <c r="V280" s="2957">
        <f t="shared" si="68"/>
        <v>0</v>
      </c>
      <c r="W280" s="996"/>
      <c r="X280" s="2957">
        <f t="shared" si="69"/>
        <v>0</v>
      </c>
      <c r="Y280" s="2957">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7">
        <f t="shared" si="67"/>
        <v>0</v>
      </c>
      <c r="V281" s="2957">
        <f t="shared" si="68"/>
        <v>0</v>
      </c>
      <c r="W281" s="996"/>
      <c r="X281" s="2957">
        <f t="shared" si="69"/>
        <v>0</v>
      </c>
      <c r="Y281" s="2957">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7">
        <f t="shared" si="67"/>
        <v>0</v>
      </c>
      <c r="V282" s="2957">
        <f t="shared" si="68"/>
        <v>0</v>
      </c>
      <c r="W282" s="996"/>
      <c r="X282" s="2957">
        <f t="shared" si="69"/>
        <v>0</v>
      </c>
      <c r="Y282" s="2957">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7">
        <f t="shared" si="67"/>
        <v>0</v>
      </c>
      <c r="V283" s="2957">
        <f t="shared" si="68"/>
        <v>0</v>
      </c>
      <c r="W283" s="996"/>
      <c r="X283" s="2957">
        <f t="shared" si="69"/>
        <v>0</v>
      </c>
      <c r="Y283" s="2957">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7">
        <f t="shared" ref="U284:U347" si="82">ROUND(W284*B284,0)</f>
        <v>0</v>
      </c>
      <c r="V284" s="2957">
        <f t="shared" ref="V284:V347" si="83">ROUND(W284*B284/10000,0)</f>
        <v>0</v>
      </c>
      <c r="W284" s="996"/>
      <c r="X284" s="2957">
        <f t="shared" ref="X284:X347" si="84">ROUND(Z284*B284,0)</f>
        <v>0</v>
      </c>
      <c r="Y284" s="2957">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7">
        <f t="shared" si="82"/>
        <v>0</v>
      </c>
      <c r="V285" s="2957">
        <f t="shared" si="83"/>
        <v>0</v>
      </c>
      <c r="W285" s="996"/>
      <c r="X285" s="2957">
        <f t="shared" si="84"/>
        <v>0</v>
      </c>
      <c r="Y285" s="2957">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7">
        <f t="shared" si="82"/>
        <v>0</v>
      </c>
      <c r="V286" s="2957">
        <f t="shared" si="83"/>
        <v>0</v>
      </c>
      <c r="W286" s="996"/>
      <c r="X286" s="2957">
        <f t="shared" si="84"/>
        <v>0</v>
      </c>
      <c r="Y286" s="2957">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7">
        <f t="shared" si="82"/>
        <v>0</v>
      </c>
      <c r="V287" s="2957">
        <f t="shared" si="83"/>
        <v>0</v>
      </c>
      <c r="W287" s="996"/>
      <c r="X287" s="2957">
        <f t="shared" si="84"/>
        <v>0</v>
      </c>
      <c r="Y287" s="2957">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7">
        <f t="shared" si="82"/>
        <v>0</v>
      </c>
      <c r="V288" s="2957">
        <f t="shared" si="83"/>
        <v>0</v>
      </c>
      <c r="W288" s="996"/>
      <c r="X288" s="2957">
        <f t="shared" si="84"/>
        <v>0</v>
      </c>
      <c r="Y288" s="2957">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7">
        <f t="shared" si="82"/>
        <v>0</v>
      </c>
      <c r="V289" s="2957">
        <f t="shared" si="83"/>
        <v>0</v>
      </c>
      <c r="W289" s="996"/>
      <c r="X289" s="2957">
        <f t="shared" si="84"/>
        <v>0</v>
      </c>
      <c r="Y289" s="2957">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7">
        <f t="shared" si="82"/>
        <v>0</v>
      </c>
      <c r="V290" s="2957">
        <f t="shared" si="83"/>
        <v>0</v>
      </c>
      <c r="W290" s="996"/>
      <c r="X290" s="2957">
        <f t="shared" si="84"/>
        <v>0</v>
      </c>
      <c r="Y290" s="2957">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7">
        <f t="shared" si="82"/>
        <v>0</v>
      </c>
      <c r="V291" s="2957">
        <f t="shared" si="83"/>
        <v>0</v>
      </c>
      <c r="W291" s="996"/>
      <c r="X291" s="2957">
        <f t="shared" si="84"/>
        <v>0</v>
      </c>
      <c r="Y291" s="2957">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7">
        <f t="shared" si="82"/>
        <v>0</v>
      </c>
      <c r="V292" s="2957">
        <f t="shared" si="83"/>
        <v>0</v>
      </c>
      <c r="W292" s="996"/>
      <c r="X292" s="2957">
        <f t="shared" si="84"/>
        <v>0</v>
      </c>
      <c r="Y292" s="2957">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7">
        <f t="shared" si="82"/>
        <v>0</v>
      </c>
      <c r="V293" s="2957">
        <f t="shared" si="83"/>
        <v>0</v>
      </c>
      <c r="W293" s="996"/>
      <c r="X293" s="2957">
        <f t="shared" si="84"/>
        <v>0</v>
      </c>
      <c r="Y293" s="2957">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7">
        <f t="shared" si="82"/>
        <v>0</v>
      </c>
      <c r="V294" s="2957">
        <f t="shared" si="83"/>
        <v>0</v>
      </c>
      <c r="W294" s="996"/>
      <c r="X294" s="2957">
        <f t="shared" si="84"/>
        <v>0</v>
      </c>
      <c r="Y294" s="2957">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7">
        <f t="shared" si="82"/>
        <v>0</v>
      </c>
      <c r="V295" s="2957">
        <f t="shared" si="83"/>
        <v>0</v>
      </c>
      <c r="W295" s="996"/>
      <c r="X295" s="2957">
        <f t="shared" si="84"/>
        <v>0</v>
      </c>
      <c r="Y295" s="2957">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7">
        <f t="shared" si="82"/>
        <v>0</v>
      </c>
      <c r="V296" s="2957">
        <f t="shared" si="83"/>
        <v>0</v>
      </c>
      <c r="W296" s="996"/>
      <c r="X296" s="2957">
        <f t="shared" si="84"/>
        <v>0</v>
      </c>
      <c r="Y296" s="2957">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7">
        <f t="shared" si="82"/>
        <v>0</v>
      </c>
      <c r="V297" s="2957">
        <f t="shared" si="83"/>
        <v>0</v>
      </c>
      <c r="W297" s="996"/>
      <c r="X297" s="2957">
        <f t="shared" si="84"/>
        <v>0</v>
      </c>
      <c r="Y297" s="2957">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7">
        <f t="shared" si="82"/>
        <v>0</v>
      </c>
      <c r="V298" s="2957">
        <f t="shared" si="83"/>
        <v>0</v>
      </c>
      <c r="W298" s="996"/>
      <c r="X298" s="2957">
        <f t="shared" si="84"/>
        <v>0</v>
      </c>
      <c r="Y298" s="2957">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7">
        <f t="shared" si="82"/>
        <v>0</v>
      </c>
      <c r="V299" s="2957">
        <f t="shared" si="83"/>
        <v>0</v>
      </c>
      <c r="W299" s="996"/>
      <c r="X299" s="2957">
        <f t="shared" si="84"/>
        <v>0</v>
      </c>
      <c r="Y299" s="2957">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7">
        <f t="shared" si="82"/>
        <v>0</v>
      </c>
      <c r="V300" s="2957">
        <f t="shared" si="83"/>
        <v>0</v>
      </c>
      <c r="W300" s="996"/>
      <c r="X300" s="2957">
        <f t="shared" si="84"/>
        <v>0</v>
      </c>
      <c r="Y300" s="2957">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7">
        <f t="shared" si="82"/>
        <v>0</v>
      </c>
      <c r="V301" s="2957">
        <f t="shared" si="83"/>
        <v>0</v>
      </c>
      <c r="W301" s="996"/>
      <c r="X301" s="2957">
        <f t="shared" si="84"/>
        <v>0</v>
      </c>
      <c r="Y301" s="2957">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7">
        <f t="shared" si="82"/>
        <v>0</v>
      </c>
      <c r="V302" s="2957">
        <f t="shared" si="83"/>
        <v>0</v>
      </c>
      <c r="W302" s="996"/>
      <c r="X302" s="2957">
        <f t="shared" si="84"/>
        <v>0</v>
      </c>
      <c r="Y302" s="2957">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7">
        <f t="shared" si="82"/>
        <v>0</v>
      </c>
      <c r="V303" s="2957">
        <f t="shared" si="83"/>
        <v>0</v>
      </c>
      <c r="W303" s="996"/>
      <c r="X303" s="2957">
        <f t="shared" si="84"/>
        <v>0</v>
      </c>
      <c r="Y303" s="2957">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7">
        <f t="shared" si="82"/>
        <v>0</v>
      </c>
      <c r="V304" s="2957">
        <f t="shared" si="83"/>
        <v>0</v>
      </c>
      <c r="W304" s="996"/>
      <c r="X304" s="2957">
        <f t="shared" si="84"/>
        <v>0</v>
      </c>
      <c r="Y304" s="2957">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7">
        <f t="shared" si="82"/>
        <v>0</v>
      </c>
      <c r="V305" s="2957">
        <f t="shared" si="83"/>
        <v>0</v>
      </c>
      <c r="W305" s="996"/>
      <c r="X305" s="2957">
        <f t="shared" si="84"/>
        <v>0</v>
      </c>
      <c r="Y305" s="2957">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7">
        <f t="shared" si="82"/>
        <v>0</v>
      </c>
      <c r="V306" s="2957">
        <f t="shared" si="83"/>
        <v>0</v>
      </c>
      <c r="W306" s="996"/>
      <c r="X306" s="2957">
        <f t="shared" si="84"/>
        <v>0</v>
      </c>
      <c r="Y306" s="2957">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7">
        <f t="shared" si="82"/>
        <v>0</v>
      </c>
      <c r="V307" s="2957">
        <f t="shared" si="83"/>
        <v>0</v>
      </c>
      <c r="W307" s="996"/>
      <c r="X307" s="2957">
        <f t="shared" si="84"/>
        <v>0</v>
      </c>
      <c r="Y307" s="2957">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7">
        <f t="shared" si="82"/>
        <v>0</v>
      </c>
      <c r="V308" s="2957">
        <f t="shared" si="83"/>
        <v>0</v>
      </c>
      <c r="W308" s="996"/>
      <c r="X308" s="2957">
        <f t="shared" si="84"/>
        <v>0</v>
      </c>
      <c r="Y308" s="2957">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7">
        <f t="shared" si="82"/>
        <v>0</v>
      </c>
      <c r="V309" s="2957">
        <f t="shared" si="83"/>
        <v>0</v>
      </c>
      <c r="W309" s="996"/>
      <c r="X309" s="2957">
        <f t="shared" si="84"/>
        <v>0</v>
      </c>
      <c r="Y309" s="2957">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7">
        <f t="shared" si="82"/>
        <v>0</v>
      </c>
      <c r="V310" s="2957">
        <f t="shared" si="83"/>
        <v>0</v>
      </c>
      <c r="W310" s="996"/>
      <c r="X310" s="2957">
        <f t="shared" si="84"/>
        <v>0</v>
      </c>
      <c r="Y310" s="2957">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7">
        <f t="shared" si="82"/>
        <v>0</v>
      </c>
      <c r="V311" s="2957">
        <f t="shared" si="83"/>
        <v>0</v>
      </c>
      <c r="W311" s="996"/>
      <c r="X311" s="2957">
        <f t="shared" si="84"/>
        <v>0</v>
      </c>
      <c r="Y311" s="2957">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7">
        <f t="shared" si="82"/>
        <v>0</v>
      </c>
      <c r="V312" s="2957">
        <f t="shared" si="83"/>
        <v>0</v>
      </c>
      <c r="W312" s="996"/>
      <c r="X312" s="2957">
        <f t="shared" si="84"/>
        <v>0</v>
      </c>
      <c r="Y312" s="2957">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7">
        <f t="shared" si="82"/>
        <v>0</v>
      </c>
      <c r="V313" s="2957">
        <f t="shared" si="83"/>
        <v>0</v>
      </c>
      <c r="W313" s="996"/>
      <c r="X313" s="2957">
        <f t="shared" si="84"/>
        <v>0</v>
      </c>
      <c r="Y313" s="2957">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7">
        <f t="shared" si="82"/>
        <v>0</v>
      </c>
      <c r="V314" s="2957">
        <f t="shared" si="83"/>
        <v>0</v>
      </c>
      <c r="W314" s="996"/>
      <c r="X314" s="2957">
        <f t="shared" si="84"/>
        <v>0</v>
      </c>
      <c r="Y314" s="2957">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7">
        <f t="shared" si="82"/>
        <v>0</v>
      </c>
      <c r="V315" s="2957">
        <f t="shared" si="83"/>
        <v>0</v>
      </c>
      <c r="W315" s="996"/>
      <c r="X315" s="2957">
        <f t="shared" si="84"/>
        <v>0</v>
      </c>
      <c r="Y315" s="2957">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7">
        <f t="shared" si="82"/>
        <v>0</v>
      </c>
      <c r="V316" s="2957">
        <f t="shared" si="83"/>
        <v>0</v>
      </c>
      <c r="W316" s="996"/>
      <c r="X316" s="2957">
        <f t="shared" si="84"/>
        <v>0</v>
      </c>
      <c r="Y316" s="2957">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7">
        <f t="shared" si="82"/>
        <v>0</v>
      </c>
      <c r="V317" s="2957">
        <f t="shared" si="83"/>
        <v>0</v>
      </c>
      <c r="W317" s="996"/>
      <c r="X317" s="2957">
        <f t="shared" si="84"/>
        <v>0</v>
      </c>
      <c r="Y317" s="2957">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7">
        <f t="shared" si="82"/>
        <v>0</v>
      </c>
      <c r="V318" s="2957">
        <f t="shared" si="83"/>
        <v>0</v>
      </c>
      <c r="W318" s="996"/>
      <c r="X318" s="2957">
        <f t="shared" si="84"/>
        <v>0</v>
      </c>
      <c r="Y318" s="2957">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7">
        <f t="shared" si="82"/>
        <v>0</v>
      </c>
      <c r="V319" s="2957">
        <f t="shared" si="83"/>
        <v>0</v>
      </c>
      <c r="W319" s="996"/>
      <c r="X319" s="2957">
        <f t="shared" si="84"/>
        <v>0</v>
      </c>
      <c r="Y319" s="2957">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7">
        <f t="shared" si="82"/>
        <v>0</v>
      </c>
      <c r="V320" s="2957">
        <f t="shared" si="83"/>
        <v>0</v>
      </c>
      <c r="W320" s="996"/>
      <c r="X320" s="2957">
        <f t="shared" si="84"/>
        <v>0</v>
      </c>
      <c r="Y320" s="2957">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7">
        <f t="shared" si="82"/>
        <v>0</v>
      </c>
      <c r="V321" s="2957">
        <f t="shared" si="83"/>
        <v>0</v>
      </c>
      <c r="W321" s="996"/>
      <c r="X321" s="2957">
        <f t="shared" si="84"/>
        <v>0</v>
      </c>
      <c r="Y321" s="2957">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7">
        <f t="shared" si="82"/>
        <v>0</v>
      </c>
      <c r="V322" s="2957">
        <f t="shared" si="83"/>
        <v>0</v>
      </c>
      <c r="W322" s="996"/>
      <c r="X322" s="2957">
        <f t="shared" si="84"/>
        <v>0</v>
      </c>
      <c r="Y322" s="2957">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7">
        <f t="shared" si="82"/>
        <v>0</v>
      </c>
      <c r="V323" s="2957">
        <f t="shared" si="83"/>
        <v>0</v>
      </c>
      <c r="W323" s="996"/>
      <c r="X323" s="2957">
        <f t="shared" si="84"/>
        <v>0</v>
      </c>
      <c r="Y323" s="2957">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7">
        <f t="shared" si="82"/>
        <v>0</v>
      </c>
      <c r="V324" s="2957">
        <f t="shared" si="83"/>
        <v>0</v>
      </c>
      <c r="W324" s="996"/>
      <c r="X324" s="2957">
        <f t="shared" si="84"/>
        <v>0</v>
      </c>
      <c r="Y324" s="2957">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7">
        <f t="shared" si="82"/>
        <v>0</v>
      </c>
      <c r="V325" s="2957">
        <f t="shared" si="83"/>
        <v>0</v>
      </c>
      <c r="W325" s="996"/>
      <c r="X325" s="2957">
        <f t="shared" si="84"/>
        <v>0</v>
      </c>
      <c r="Y325" s="2957">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7">
        <f t="shared" si="82"/>
        <v>0</v>
      </c>
      <c r="V326" s="2957">
        <f t="shared" si="83"/>
        <v>0</v>
      </c>
      <c r="W326" s="996"/>
      <c r="X326" s="2957">
        <f t="shared" si="84"/>
        <v>0</v>
      </c>
      <c r="Y326" s="2957">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7">
        <f t="shared" si="82"/>
        <v>0</v>
      </c>
      <c r="V327" s="2957">
        <f t="shared" si="83"/>
        <v>0</v>
      </c>
      <c r="W327" s="996"/>
      <c r="X327" s="2957">
        <f t="shared" si="84"/>
        <v>0</v>
      </c>
      <c r="Y327" s="2957">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7">
        <f t="shared" si="82"/>
        <v>0</v>
      </c>
      <c r="V328" s="2957">
        <f t="shared" si="83"/>
        <v>0</v>
      </c>
      <c r="W328" s="996"/>
      <c r="X328" s="2957">
        <f t="shared" si="84"/>
        <v>0</v>
      </c>
      <c r="Y328" s="2957">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7">
        <f t="shared" si="82"/>
        <v>0</v>
      </c>
      <c r="V329" s="2957">
        <f t="shared" si="83"/>
        <v>0</v>
      </c>
      <c r="W329" s="996"/>
      <c r="X329" s="2957">
        <f t="shared" si="84"/>
        <v>0</v>
      </c>
      <c r="Y329" s="2957">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7">
        <f t="shared" si="82"/>
        <v>0</v>
      </c>
      <c r="V330" s="2957">
        <f t="shared" si="83"/>
        <v>0</v>
      </c>
      <c r="W330" s="996"/>
      <c r="X330" s="2957">
        <f t="shared" si="84"/>
        <v>0</v>
      </c>
      <c r="Y330" s="2957">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7">
        <f t="shared" si="82"/>
        <v>0</v>
      </c>
      <c r="V331" s="2957">
        <f t="shared" si="83"/>
        <v>0</v>
      </c>
      <c r="W331" s="996"/>
      <c r="X331" s="2957">
        <f t="shared" si="84"/>
        <v>0</v>
      </c>
      <c r="Y331" s="2957">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7">
        <f t="shared" si="82"/>
        <v>0</v>
      </c>
      <c r="V332" s="2957">
        <f t="shared" si="83"/>
        <v>0</v>
      </c>
      <c r="W332" s="996"/>
      <c r="X332" s="2957">
        <f t="shared" si="84"/>
        <v>0</v>
      </c>
      <c r="Y332" s="2957">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7">
        <f t="shared" si="82"/>
        <v>0</v>
      </c>
      <c r="V333" s="2957">
        <f t="shared" si="83"/>
        <v>0</v>
      </c>
      <c r="W333" s="996"/>
      <c r="X333" s="2957">
        <f t="shared" si="84"/>
        <v>0</v>
      </c>
      <c r="Y333" s="2957">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7">
        <f t="shared" si="82"/>
        <v>0</v>
      </c>
      <c r="V334" s="2957">
        <f t="shared" si="83"/>
        <v>0</v>
      </c>
      <c r="W334" s="996"/>
      <c r="X334" s="2957">
        <f t="shared" si="84"/>
        <v>0</v>
      </c>
      <c r="Y334" s="2957">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7">
        <f t="shared" si="82"/>
        <v>0</v>
      </c>
      <c r="V335" s="2957">
        <f t="shared" si="83"/>
        <v>0</v>
      </c>
      <c r="W335" s="996"/>
      <c r="X335" s="2957">
        <f t="shared" si="84"/>
        <v>0</v>
      </c>
      <c r="Y335" s="2957">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7">
        <f t="shared" si="82"/>
        <v>0</v>
      </c>
      <c r="V336" s="2957">
        <f t="shared" si="83"/>
        <v>0</v>
      </c>
      <c r="W336" s="996"/>
      <c r="X336" s="2957">
        <f t="shared" si="84"/>
        <v>0</v>
      </c>
      <c r="Y336" s="2957">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7">
        <f t="shared" si="82"/>
        <v>0</v>
      </c>
      <c r="V337" s="2957">
        <f t="shared" si="83"/>
        <v>0</v>
      </c>
      <c r="W337" s="996"/>
      <c r="X337" s="2957">
        <f t="shared" si="84"/>
        <v>0</v>
      </c>
      <c r="Y337" s="2957">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7">
        <f t="shared" si="82"/>
        <v>0</v>
      </c>
      <c r="V338" s="2957">
        <f t="shared" si="83"/>
        <v>0</v>
      </c>
      <c r="W338" s="996"/>
      <c r="X338" s="2957">
        <f t="shared" si="84"/>
        <v>0</v>
      </c>
      <c r="Y338" s="2957">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7">
        <f t="shared" si="82"/>
        <v>0</v>
      </c>
      <c r="V339" s="2957">
        <f t="shared" si="83"/>
        <v>0</v>
      </c>
      <c r="W339" s="996"/>
      <c r="X339" s="2957">
        <f t="shared" si="84"/>
        <v>0</v>
      </c>
      <c r="Y339" s="2957">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7">
        <f t="shared" si="82"/>
        <v>0</v>
      </c>
      <c r="V340" s="2957">
        <f t="shared" si="83"/>
        <v>0</v>
      </c>
      <c r="W340" s="996"/>
      <c r="X340" s="2957">
        <f t="shared" si="84"/>
        <v>0</v>
      </c>
      <c r="Y340" s="2957">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7">
        <f t="shared" si="82"/>
        <v>0</v>
      </c>
      <c r="V341" s="2957">
        <f t="shared" si="83"/>
        <v>0</v>
      </c>
      <c r="W341" s="996"/>
      <c r="X341" s="2957">
        <f t="shared" si="84"/>
        <v>0</v>
      </c>
      <c r="Y341" s="2957">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7">
        <f t="shared" si="82"/>
        <v>0</v>
      </c>
      <c r="V342" s="2957">
        <f t="shared" si="83"/>
        <v>0</v>
      </c>
      <c r="W342" s="996"/>
      <c r="X342" s="2957">
        <f t="shared" si="84"/>
        <v>0</v>
      </c>
      <c r="Y342" s="2957">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7">
        <f t="shared" si="82"/>
        <v>0</v>
      </c>
      <c r="V343" s="2957">
        <f t="shared" si="83"/>
        <v>0</v>
      </c>
      <c r="W343" s="996"/>
      <c r="X343" s="2957">
        <f t="shared" si="84"/>
        <v>0</v>
      </c>
      <c r="Y343" s="2957">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7">
        <f t="shared" si="82"/>
        <v>0</v>
      </c>
      <c r="V344" s="2957">
        <f t="shared" si="83"/>
        <v>0</v>
      </c>
      <c r="W344" s="996"/>
      <c r="X344" s="2957">
        <f t="shared" si="84"/>
        <v>0</v>
      </c>
      <c r="Y344" s="2957">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7">
        <f t="shared" si="82"/>
        <v>0</v>
      </c>
      <c r="V345" s="2957">
        <f t="shared" si="83"/>
        <v>0</v>
      </c>
      <c r="W345" s="996"/>
      <c r="X345" s="2957">
        <f t="shared" si="84"/>
        <v>0</v>
      </c>
      <c r="Y345" s="2957">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7">
        <f t="shared" si="82"/>
        <v>0</v>
      </c>
      <c r="V346" s="2957">
        <f t="shared" si="83"/>
        <v>0</v>
      </c>
      <c r="W346" s="996"/>
      <c r="X346" s="2957">
        <f t="shared" si="84"/>
        <v>0</v>
      </c>
      <c r="Y346" s="2957">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7">
        <f t="shared" si="82"/>
        <v>0</v>
      </c>
      <c r="V347" s="2957">
        <f t="shared" si="83"/>
        <v>0</v>
      </c>
      <c r="W347" s="996"/>
      <c r="X347" s="2957">
        <f t="shared" si="84"/>
        <v>0</v>
      </c>
      <c r="Y347" s="2957">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7">
        <f t="shared" ref="U348:U411" si="97">ROUND(W348*B348,0)</f>
        <v>0</v>
      </c>
      <c r="V348" s="2957">
        <f t="shared" ref="V348:V411" si="98">ROUND(W348*B348/10000,0)</f>
        <v>0</v>
      </c>
      <c r="W348" s="996"/>
      <c r="X348" s="2957">
        <f t="shared" ref="X348:X411" si="99">ROUND(Z348*B348,0)</f>
        <v>0</v>
      </c>
      <c r="Y348" s="2957">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7">
        <f t="shared" si="97"/>
        <v>0</v>
      </c>
      <c r="V349" s="2957">
        <f t="shared" si="98"/>
        <v>0</v>
      </c>
      <c r="W349" s="996"/>
      <c r="X349" s="2957">
        <f t="shared" si="99"/>
        <v>0</v>
      </c>
      <c r="Y349" s="2957">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7">
        <f t="shared" si="97"/>
        <v>0</v>
      </c>
      <c r="V350" s="2957">
        <f t="shared" si="98"/>
        <v>0</v>
      </c>
      <c r="W350" s="996"/>
      <c r="X350" s="2957">
        <f t="shared" si="99"/>
        <v>0</v>
      </c>
      <c r="Y350" s="2957">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7">
        <f t="shared" si="97"/>
        <v>0</v>
      </c>
      <c r="V351" s="2957">
        <f t="shared" si="98"/>
        <v>0</v>
      </c>
      <c r="W351" s="996"/>
      <c r="X351" s="2957">
        <f t="shared" si="99"/>
        <v>0</v>
      </c>
      <c r="Y351" s="2957">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7">
        <f t="shared" si="97"/>
        <v>0</v>
      </c>
      <c r="V352" s="2957">
        <f t="shared" si="98"/>
        <v>0</v>
      </c>
      <c r="W352" s="996"/>
      <c r="X352" s="2957">
        <f t="shared" si="99"/>
        <v>0</v>
      </c>
      <c r="Y352" s="2957">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7">
        <f t="shared" si="97"/>
        <v>0</v>
      </c>
      <c r="V353" s="2957">
        <f t="shared" si="98"/>
        <v>0</v>
      </c>
      <c r="W353" s="996"/>
      <c r="X353" s="2957">
        <f t="shared" si="99"/>
        <v>0</v>
      </c>
      <c r="Y353" s="2957">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7">
        <f t="shared" si="97"/>
        <v>0</v>
      </c>
      <c r="V354" s="2957">
        <f t="shared" si="98"/>
        <v>0</v>
      </c>
      <c r="W354" s="996"/>
      <c r="X354" s="2957">
        <f t="shared" si="99"/>
        <v>0</v>
      </c>
      <c r="Y354" s="2957">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7">
        <f t="shared" si="97"/>
        <v>0</v>
      </c>
      <c r="V355" s="2957">
        <f t="shared" si="98"/>
        <v>0</v>
      </c>
      <c r="W355" s="996"/>
      <c r="X355" s="2957">
        <f t="shared" si="99"/>
        <v>0</v>
      </c>
      <c r="Y355" s="2957">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7">
        <f t="shared" si="97"/>
        <v>0</v>
      </c>
      <c r="V356" s="2957">
        <f t="shared" si="98"/>
        <v>0</v>
      </c>
      <c r="W356" s="996"/>
      <c r="X356" s="2957">
        <f t="shared" si="99"/>
        <v>0</v>
      </c>
      <c r="Y356" s="2957">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7">
        <f t="shared" si="97"/>
        <v>0</v>
      </c>
      <c r="V357" s="2957">
        <f t="shared" si="98"/>
        <v>0</v>
      </c>
      <c r="W357" s="996"/>
      <c r="X357" s="2957">
        <f t="shared" si="99"/>
        <v>0</v>
      </c>
      <c r="Y357" s="2957">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7">
        <f t="shared" si="97"/>
        <v>0</v>
      </c>
      <c r="V358" s="2957">
        <f t="shared" si="98"/>
        <v>0</v>
      </c>
      <c r="W358" s="996"/>
      <c r="X358" s="2957">
        <f t="shared" si="99"/>
        <v>0</v>
      </c>
      <c r="Y358" s="2957">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7">
        <f t="shared" si="97"/>
        <v>0</v>
      </c>
      <c r="V359" s="2957">
        <f t="shared" si="98"/>
        <v>0</v>
      </c>
      <c r="W359" s="996"/>
      <c r="X359" s="2957">
        <f t="shared" si="99"/>
        <v>0</v>
      </c>
      <c r="Y359" s="2957">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7">
        <f t="shared" si="97"/>
        <v>0</v>
      </c>
      <c r="V360" s="2957">
        <f t="shared" si="98"/>
        <v>0</v>
      </c>
      <c r="W360" s="996"/>
      <c r="X360" s="2957">
        <f t="shared" si="99"/>
        <v>0</v>
      </c>
      <c r="Y360" s="2957">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7">
        <f t="shared" si="97"/>
        <v>0</v>
      </c>
      <c r="V361" s="2957">
        <f t="shared" si="98"/>
        <v>0</v>
      </c>
      <c r="W361" s="996"/>
      <c r="X361" s="2957">
        <f t="shared" si="99"/>
        <v>0</v>
      </c>
      <c r="Y361" s="2957">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7">
        <f t="shared" si="97"/>
        <v>0</v>
      </c>
      <c r="V362" s="2957">
        <f t="shared" si="98"/>
        <v>0</v>
      </c>
      <c r="W362" s="996"/>
      <c r="X362" s="2957">
        <f t="shared" si="99"/>
        <v>0</v>
      </c>
      <c r="Y362" s="2957">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7">
        <f t="shared" si="97"/>
        <v>0</v>
      </c>
      <c r="V363" s="2957">
        <f t="shared" si="98"/>
        <v>0</v>
      </c>
      <c r="W363" s="996"/>
      <c r="X363" s="2957">
        <f t="shared" si="99"/>
        <v>0</v>
      </c>
      <c r="Y363" s="2957">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7">
        <f t="shared" si="97"/>
        <v>0</v>
      </c>
      <c r="V364" s="2957">
        <f t="shared" si="98"/>
        <v>0</v>
      </c>
      <c r="W364" s="996"/>
      <c r="X364" s="2957">
        <f t="shared" si="99"/>
        <v>0</v>
      </c>
      <c r="Y364" s="2957">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7">
        <f t="shared" si="97"/>
        <v>0</v>
      </c>
      <c r="V365" s="2957">
        <f t="shared" si="98"/>
        <v>0</v>
      </c>
      <c r="W365" s="996"/>
      <c r="X365" s="2957">
        <f t="shared" si="99"/>
        <v>0</v>
      </c>
      <c r="Y365" s="2957">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7">
        <f t="shared" si="97"/>
        <v>0</v>
      </c>
      <c r="V366" s="2957">
        <f t="shared" si="98"/>
        <v>0</v>
      </c>
      <c r="W366" s="996"/>
      <c r="X366" s="2957">
        <f t="shared" si="99"/>
        <v>0</v>
      </c>
      <c r="Y366" s="2957">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7">
        <f t="shared" si="97"/>
        <v>0</v>
      </c>
      <c r="V367" s="2957">
        <f t="shared" si="98"/>
        <v>0</v>
      </c>
      <c r="W367" s="996"/>
      <c r="X367" s="2957">
        <f t="shared" si="99"/>
        <v>0</v>
      </c>
      <c r="Y367" s="2957">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7">
        <f t="shared" si="97"/>
        <v>0</v>
      </c>
      <c r="V368" s="2957">
        <f t="shared" si="98"/>
        <v>0</v>
      </c>
      <c r="W368" s="996"/>
      <c r="X368" s="2957">
        <f t="shared" si="99"/>
        <v>0</v>
      </c>
      <c r="Y368" s="2957">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7">
        <f t="shared" si="97"/>
        <v>0</v>
      </c>
      <c r="V369" s="2957">
        <f t="shared" si="98"/>
        <v>0</v>
      </c>
      <c r="W369" s="996"/>
      <c r="X369" s="2957">
        <f t="shared" si="99"/>
        <v>0</v>
      </c>
      <c r="Y369" s="2957">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7">
        <f t="shared" si="97"/>
        <v>0</v>
      </c>
      <c r="V370" s="2957">
        <f t="shared" si="98"/>
        <v>0</v>
      </c>
      <c r="W370" s="996"/>
      <c r="X370" s="2957">
        <f t="shared" si="99"/>
        <v>0</v>
      </c>
      <c r="Y370" s="2957">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7">
        <f t="shared" si="97"/>
        <v>0</v>
      </c>
      <c r="V371" s="2957">
        <f t="shared" si="98"/>
        <v>0</v>
      </c>
      <c r="W371" s="996"/>
      <c r="X371" s="2957">
        <f t="shared" si="99"/>
        <v>0</v>
      </c>
      <c r="Y371" s="2957">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7">
        <f t="shared" si="97"/>
        <v>0</v>
      </c>
      <c r="V372" s="2957">
        <f t="shared" si="98"/>
        <v>0</v>
      </c>
      <c r="W372" s="996"/>
      <c r="X372" s="2957">
        <f t="shared" si="99"/>
        <v>0</v>
      </c>
      <c r="Y372" s="2957">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7">
        <f t="shared" si="97"/>
        <v>0</v>
      </c>
      <c r="V373" s="2957">
        <f t="shared" si="98"/>
        <v>0</v>
      </c>
      <c r="W373" s="996"/>
      <c r="X373" s="2957">
        <f t="shared" si="99"/>
        <v>0</v>
      </c>
      <c r="Y373" s="2957">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7">
        <f t="shared" si="97"/>
        <v>0</v>
      </c>
      <c r="V374" s="2957">
        <f t="shared" si="98"/>
        <v>0</v>
      </c>
      <c r="W374" s="996"/>
      <c r="X374" s="2957">
        <f t="shared" si="99"/>
        <v>0</v>
      </c>
      <c r="Y374" s="2957">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7">
        <f t="shared" si="97"/>
        <v>0</v>
      </c>
      <c r="V375" s="2957">
        <f t="shared" si="98"/>
        <v>0</v>
      </c>
      <c r="W375" s="996"/>
      <c r="X375" s="2957">
        <f t="shared" si="99"/>
        <v>0</v>
      </c>
      <c r="Y375" s="2957">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7">
        <f t="shared" si="97"/>
        <v>0</v>
      </c>
      <c r="V376" s="2957">
        <f t="shared" si="98"/>
        <v>0</v>
      </c>
      <c r="W376" s="996"/>
      <c r="X376" s="2957">
        <f t="shared" si="99"/>
        <v>0</v>
      </c>
      <c r="Y376" s="2957">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7">
        <f t="shared" si="97"/>
        <v>0</v>
      </c>
      <c r="V377" s="2957">
        <f t="shared" si="98"/>
        <v>0</v>
      </c>
      <c r="W377" s="996"/>
      <c r="X377" s="2957">
        <f t="shared" si="99"/>
        <v>0</v>
      </c>
      <c r="Y377" s="2957">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7">
        <f t="shared" si="97"/>
        <v>0</v>
      </c>
      <c r="V378" s="2957">
        <f t="shared" si="98"/>
        <v>0</v>
      </c>
      <c r="W378" s="996"/>
      <c r="X378" s="2957">
        <f t="shared" si="99"/>
        <v>0</v>
      </c>
      <c r="Y378" s="2957">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7">
        <f t="shared" si="97"/>
        <v>0</v>
      </c>
      <c r="V379" s="2957">
        <f t="shared" si="98"/>
        <v>0</v>
      </c>
      <c r="W379" s="996"/>
      <c r="X379" s="2957">
        <f t="shared" si="99"/>
        <v>0</v>
      </c>
      <c r="Y379" s="2957">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7">
        <f t="shared" si="97"/>
        <v>0</v>
      </c>
      <c r="V380" s="2957">
        <f t="shared" si="98"/>
        <v>0</v>
      </c>
      <c r="W380" s="996"/>
      <c r="X380" s="2957">
        <f t="shared" si="99"/>
        <v>0</v>
      </c>
      <c r="Y380" s="2957">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7">
        <f t="shared" si="97"/>
        <v>0</v>
      </c>
      <c r="V381" s="2957">
        <f t="shared" si="98"/>
        <v>0</v>
      </c>
      <c r="W381" s="996"/>
      <c r="X381" s="2957">
        <f t="shared" si="99"/>
        <v>0</v>
      </c>
      <c r="Y381" s="2957">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7">
        <f t="shared" si="97"/>
        <v>0</v>
      </c>
      <c r="V382" s="2957">
        <f t="shared" si="98"/>
        <v>0</v>
      </c>
      <c r="W382" s="996"/>
      <c r="X382" s="2957">
        <f t="shared" si="99"/>
        <v>0</v>
      </c>
      <c r="Y382" s="2957">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7">
        <f t="shared" si="97"/>
        <v>0</v>
      </c>
      <c r="V383" s="2957">
        <f t="shared" si="98"/>
        <v>0</v>
      </c>
      <c r="W383" s="996"/>
      <c r="X383" s="2957">
        <f t="shared" si="99"/>
        <v>0</v>
      </c>
      <c r="Y383" s="2957">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7">
        <f t="shared" si="97"/>
        <v>0</v>
      </c>
      <c r="V384" s="2957">
        <f t="shared" si="98"/>
        <v>0</v>
      </c>
      <c r="W384" s="996"/>
      <c r="X384" s="2957">
        <f t="shared" si="99"/>
        <v>0</v>
      </c>
      <c r="Y384" s="2957">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7">
        <f t="shared" si="97"/>
        <v>0</v>
      </c>
      <c r="V385" s="2957">
        <f t="shared" si="98"/>
        <v>0</v>
      </c>
      <c r="W385" s="996"/>
      <c r="X385" s="2957">
        <f t="shared" si="99"/>
        <v>0</v>
      </c>
      <c r="Y385" s="2957">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7">
        <f t="shared" si="97"/>
        <v>0</v>
      </c>
      <c r="V386" s="2957">
        <f t="shared" si="98"/>
        <v>0</v>
      </c>
      <c r="W386" s="996"/>
      <c r="X386" s="2957">
        <f t="shared" si="99"/>
        <v>0</v>
      </c>
      <c r="Y386" s="2957">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7">
        <f t="shared" si="97"/>
        <v>0</v>
      </c>
      <c r="V387" s="2957">
        <f t="shared" si="98"/>
        <v>0</v>
      </c>
      <c r="W387" s="996"/>
      <c r="X387" s="2957">
        <f t="shared" si="99"/>
        <v>0</v>
      </c>
      <c r="Y387" s="2957">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7">
        <f t="shared" si="97"/>
        <v>0</v>
      </c>
      <c r="V388" s="2957">
        <f t="shared" si="98"/>
        <v>0</v>
      </c>
      <c r="W388" s="996"/>
      <c r="X388" s="2957">
        <f t="shared" si="99"/>
        <v>0</v>
      </c>
      <c r="Y388" s="2957">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7">
        <f t="shared" si="97"/>
        <v>0</v>
      </c>
      <c r="V389" s="2957">
        <f t="shared" si="98"/>
        <v>0</v>
      </c>
      <c r="W389" s="996"/>
      <c r="X389" s="2957">
        <f t="shared" si="99"/>
        <v>0</v>
      </c>
      <c r="Y389" s="2957">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7">
        <f t="shared" si="97"/>
        <v>0</v>
      </c>
      <c r="V390" s="2957">
        <f t="shared" si="98"/>
        <v>0</v>
      </c>
      <c r="W390" s="996"/>
      <c r="X390" s="2957">
        <f t="shared" si="99"/>
        <v>0</v>
      </c>
      <c r="Y390" s="2957">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7">
        <f t="shared" si="97"/>
        <v>0</v>
      </c>
      <c r="V391" s="2957">
        <f t="shared" si="98"/>
        <v>0</v>
      </c>
      <c r="W391" s="996"/>
      <c r="X391" s="2957">
        <f t="shared" si="99"/>
        <v>0</v>
      </c>
      <c r="Y391" s="2957">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7">
        <f t="shared" si="97"/>
        <v>0</v>
      </c>
      <c r="V392" s="2957">
        <f t="shared" si="98"/>
        <v>0</v>
      </c>
      <c r="W392" s="996"/>
      <c r="X392" s="2957">
        <f t="shared" si="99"/>
        <v>0</v>
      </c>
      <c r="Y392" s="2957">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7">
        <f t="shared" si="97"/>
        <v>0</v>
      </c>
      <c r="V393" s="2957">
        <f t="shared" si="98"/>
        <v>0</v>
      </c>
      <c r="W393" s="996"/>
      <c r="X393" s="2957">
        <f t="shared" si="99"/>
        <v>0</v>
      </c>
      <c r="Y393" s="2957">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7">
        <f t="shared" si="97"/>
        <v>0</v>
      </c>
      <c r="V394" s="2957">
        <f t="shared" si="98"/>
        <v>0</v>
      </c>
      <c r="W394" s="996"/>
      <c r="X394" s="2957">
        <f t="shared" si="99"/>
        <v>0</v>
      </c>
      <c r="Y394" s="2957">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7">
        <f t="shared" si="97"/>
        <v>0</v>
      </c>
      <c r="V395" s="2957">
        <f t="shared" si="98"/>
        <v>0</v>
      </c>
      <c r="W395" s="996"/>
      <c r="X395" s="2957">
        <f t="shared" si="99"/>
        <v>0</v>
      </c>
      <c r="Y395" s="2957">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7">
        <f t="shared" si="97"/>
        <v>0</v>
      </c>
      <c r="V396" s="2957">
        <f t="shared" si="98"/>
        <v>0</v>
      </c>
      <c r="W396" s="996"/>
      <c r="X396" s="2957">
        <f t="shared" si="99"/>
        <v>0</v>
      </c>
      <c r="Y396" s="2957">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7">
        <f t="shared" si="97"/>
        <v>0</v>
      </c>
      <c r="V397" s="2957">
        <f t="shared" si="98"/>
        <v>0</v>
      </c>
      <c r="W397" s="996"/>
      <c r="X397" s="2957">
        <f t="shared" si="99"/>
        <v>0</v>
      </c>
      <c r="Y397" s="2957">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7">
        <f t="shared" si="97"/>
        <v>0</v>
      </c>
      <c r="V398" s="2957">
        <f t="shared" si="98"/>
        <v>0</v>
      </c>
      <c r="W398" s="996"/>
      <c r="X398" s="2957">
        <f t="shared" si="99"/>
        <v>0</v>
      </c>
      <c r="Y398" s="2957">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7">
        <f t="shared" si="97"/>
        <v>0</v>
      </c>
      <c r="V399" s="2957">
        <f t="shared" si="98"/>
        <v>0</v>
      </c>
      <c r="W399" s="996"/>
      <c r="X399" s="2957">
        <f t="shared" si="99"/>
        <v>0</v>
      </c>
      <c r="Y399" s="2957">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7">
        <f t="shared" si="97"/>
        <v>0</v>
      </c>
      <c r="V400" s="2957">
        <f t="shared" si="98"/>
        <v>0</v>
      </c>
      <c r="W400" s="996"/>
      <c r="X400" s="2957">
        <f t="shared" si="99"/>
        <v>0</v>
      </c>
      <c r="Y400" s="2957">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7">
        <f t="shared" si="97"/>
        <v>0</v>
      </c>
      <c r="V401" s="2957">
        <f t="shared" si="98"/>
        <v>0</v>
      </c>
      <c r="W401" s="996"/>
      <c r="X401" s="2957">
        <f t="shared" si="99"/>
        <v>0</v>
      </c>
      <c r="Y401" s="2957">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7">
        <f t="shared" si="97"/>
        <v>0</v>
      </c>
      <c r="V402" s="2957">
        <f t="shared" si="98"/>
        <v>0</v>
      </c>
      <c r="W402" s="996"/>
      <c r="X402" s="2957">
        <f t="shared" si="99"/>
        <v>0</v>
      </c>
      <c r="Y402" s="2957">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7">
        <f t="shared" si="97"/>
        <v>0</v>
      </c>
      <c r="V403" s="2957">
        <f t="shared" si="98"/>
        <v>0</v>
      </c>
      <c r="W403" s="996"/>
      <c r="X403" s="2957">
        <f t="shared" si="99"/>
        <v>0</v>
      </c>
      <c r="Y403" s="2957">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7">
        <f t="shared" si="97"/>
        <v>0</v>
      </c>
      <c r="V404" s="2957">
        <f t="shared" si="98"/>
        <v>0</v>
      </c>
      <c r="W404" s="996"/>
      <c r="X404" s="2957">
        <f t="shared" si="99"/>
        <v>0</v>
      </c>
      <c r="Y404" s="2957">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7">
        <f t="shared" si="97"/>
        <v>0</v>
      </c>
      <c r="V405" s="2957">
        <f t="shared" si="98"/>
        <v>0</v>
      </c>
      <c r="W405" s="996"/>
      <c r="X405" s="2957">
        <f t="shared" si="99"/>
        <v>0</v>
      </c>
      <c r="Y405" s="2957">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7">
        <f t="shared" si="97"/>
        <v>0</v>
      </c>
      <c r="V406" s="2957">
        <f t="shared" si="98"/>
        <v>0</v>
      </c>
      <c r="W406" s="996"/>
      <c r="X406" s="2957">
        <f t="shared" si="99"/>
        <v>0</v>
      </c>
      <c r="Y406" s="2957">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7">
        <f t="shared" si="97"/>
        <v>0</v>
      </c>
      <c r="V407" s="2957">
        <f t="shared" si="98"/>
        <v>0</v>
      </c>
      <c r="W407" s="996"/>
      <c r="X407" s="2957">
        <f t="shared" si="99"/>
        <v>0</v>
      </c>
      <c r="Y407" s="2957">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7">
        <f t="shared" si="97"/>
        <v>0</v>
      </c>
      <c r="V408" s="2957">
        <f t="shared" si="98"/>
        <v>0</v>
      </c>
      <c r="W408" s="996"/>
      <c r="X408" s="2957">
        <f t="shared" si="99"/>
        <v>0</v>
      </c>
      <c r="Y408" s="2957">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7">
        <f t="shared" si="97"/>
        <v>0</v>
      </c>
      <c r="V409" s="2957">
        <f t="shared" si="98"/>
        <v>0</v>
      </c>
      <c r="W409" s="996"/>
      <c r="X409" s="2957">
        <f t="shared" si="99"/>
        <v>0</v>
      </c>
      <c r="Y409" s="2957">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7">
        <f t="shared" si="97"/>
        <v>0</v>
      </c>
      <c r="V410" s="2957">
        <f t="shared" si="98"/>
        <v>0</v>
      </c>
      <c r="W410" s="996"/>
      <c r="X410" s="2957">
        <f t="shared" si="99"/>
        <v>0</v>
      </c>
      <c r="Y410" s="2957">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7">
        <f t="shared" si="97"/>
        <v>0</v>
      </c>
      <c r="V411" s="2957">
        <f t="shared" si="98"/>
        <v>0</v>
      </c>
      <c r="W411" s="996"/>
      <c r="X411" s="2957">
        <f t="shared" si="99"/>
        <v>0</v>
      </c>
      <c r="Y411" s="2957">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7">
        <f t="shared" ref="U412:U475" si="112">ROUND(W412*B412,0)</f>
        <v>0</v>
      </c>
      <c r="V412" s="2957">
        <f t="shared" ref="V412:V475" si="113">ROUND(W412*B412/10000,0)</f>
        <v>0</v>
      </c>
      <c r="W412" s="996"/>
      <c r="X412" s="2957">
        <f t="shared" ref="X412:X475" si="114">ROUND(Z412*B412,0)</f>
        <v>0</v>
      </c>
      <c r="Y412" s="2957">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7">
        <f t="shared" si="112"/>
        <v>0</v>
      </c>
      <c r="V413" s="2957">
        <f t="shared" si="113"/>
        <v>0</v>
      </c>
      <c r="W413" s="996"/>
      <c r="X413" s="2957">
        <f t="shared" si="114"/>
        <v>0</v>
      </c>
      <c r="Y413" s="2957">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7">
        <f t="shared" si="112"/>
        <v>0</v>
      </c>
      <c r="V414" s="2957">
        <f t="shared" si="113"/>
        <v>0</v>
      </c>
      <c r="W414" s="996"/>
      <c r="X414" s="2957">
        <f t="shared" si="114"/>
        <v>0</v>
      </c>
      <c r="Y414" s="2957">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7">
        <f t="shared" si="112"/>
        <v>0</v>
      </c>
      <c r="V415" s="2957">
        <f t="shared" si="113"/>
        <v>0</v>
      </c>
      <c r="W415" s="996"/>
      <c r="X415" s="2957">
        <f t="shared" si="114"/>
        <v>0</v>
      </c>
      <c r="Y415" s="2957">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7">
        <f t="shared" si="112"/>
        <v>0</v>
      </c>
      <c r="V416" s="2957">
        <f t="shared" si="113"/>
        <v>0</v>
      </c>
      <c r="W416" s="996"/>
      <c r="X416" s="2957">
        <f t="shared" si="114"/>
        <v>0</v>
      </c>
      <c r="Y416" s="2957">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7">
        <f t="shared" si="112"/>
        <v>0</v>
      </c>
      <c r="V417" s="2957">
        <f t="shared" si="113"/>
        <v>0</v>
      </c>
      <c r="W417" s="996"/>
      <c r="X417" s="2957">
        <f t="shared" si="114"/>
        <v>0</v>
      </c>
      <c r="Y417" s="2957">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7">
        <f t="shared" si="112"/>
        <v>0</v>
      </c>
      <c r="V418" s="2957">
        <f t="shared" si="113"/>
        <v>0</v>
      </c>
      <c r="W418" s="996"/>
      <c r="X418" s="2957">
        <f t="shared" si="114"/>
        <v>0</v>
      </c>
      <c r="Y418" s="2957">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7">
        <f t="shared" si="112"/>
        <v>0</v>
      </c>
      <c r="V419" s="2957">
        <f t="shared" si="113"/>
        <v>0</v>
      </c>
      <c r="W419" s="996"/>
      <c r="X419" s="2957">
        <f t="shared" si="114"/>
        <v>0</v>
      </c>
      <c r="Y419" s="2957">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7">
        <f t="shared" si="112"/>
        <v>0</v>
      </c>
      <c r="V420" s="2957">
        <f t="shared" si="113"/>
        <v>0</v>
      </c>
      <c r="W420" s="996"/>
      <c r="X420" s="2957">
        <f t="shared" si="114"/>
        <v>0</v>
      </c>
      <c r="Y420" s="2957">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7">
        <f t="shared" si="112"/>
        <v>0</v>
      </c>
      <c r="V421" s="2957">
        <f t="shared" si="113"/>
        <v>0</v>
      </c>
      <c r="W421" s="996"/>
      <c r="X421" s="2957">
        <f t="shared" si="114"/>
        <v>0</v>
      </c>
      <c r="Y421" s="2957">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7">
        <f t="shared" si="112"/>
        <v>0</v>
      </c>
      <c r="V422" s="2957">
        <f t="shared" si="113"/>
        <v>0</v>
      </c>
      <c r="W422" s="996"/>
      <c r="X422" s="2957">
        <f t="shared" si="114"/>
        <v>0</v>
      </c>
      <c r="Y422" s="2957">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7">
        <f t="shared" si="112"/>
        <v>0</v>
      </c>
      <c r="V423" s="2957">
        <f t="shared" si="113"/>
        <v>0</v>
      </c>
      <c r="W423" s="996"/>
      <c r="X423" s="2957">
        <f t="shared" si="114"/>
        <v>0</v>
      </c>
      <c r="Y423" s="2957">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7">
        <f t="shared" si="112"/>
        <v>0</v>
      </c>
      <c r="V424" s="2957">
        <f t="shared" si="113"/>
        <v>0</v>
      </c>
      <c r="W424" s="996"/>
      <c r="X424" s="2957">
        <f t="shared" si="114"/>
        <v>0</v>
      </c>
      <c r="Y424" s="2957">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7">
        <f t="shared" si="112"/>
        <v>0</v>
      </c>
      <c r="V425" s="2957">
        <f t="shared" si="113"/>
        <v>0</v>
      </c>
      <c r="W425" s="996"/>
      <c r="X425" s="2957">
        <f t="shared" si="114"/>
        <v>0</v>
      </c>
      <c r="Y425" s="2957">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7">
        <f t="shared" si="112"/>
        <v>0</v>
      </c>
      <c r="V426" s="2957">
        <f t="shared" si="113"/>
        <v>0</v>
      </c>
      <c r="W426" s="996"/>
      <c r="X426" s="2957">
        <f t="shared" si="114"/>
        <v>0</v>
      </c>
      <c r="Y426" s="2957">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7">
        <f t="shared" si="112"/>
        <v>0</v>
      </c>
      <c r="V427" s="2957">
        <f t="shared" si="113"/>
        <v>0</v>
      </c>
      <c r="W427" s="996"/>
      <c r="X427" s="2957">
        <f t="shared" si="114"/>
        <v>0</v>
      </c>
      <c r="Y427" s="2957">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7">
        <f t="shared" si="112"/>
        <v>0</v>
      </c>
      <c r="V428" s="2957">
        <f t="shared" si="113"/>
        <v>0</v>
      </c>
      <c r="W428" s="996"/>
      <c r="X428" s="2957">
        <f t="shared" si="114"/>
        <v>0</v>
      </c>
      <c r="Y428" s="2957">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7">
        <f t="shared" si="112"/>
        <v>0</v>
      </c>
      <c r="V429" s="2957">
        <f t="shared" si="113"/>
        <v>0</v>
      </c>
      <c r="W429" s="996"/>
      <c r="X429" s="2957">
        <f t="shared" si="114"/>
        <v>0</v>
      </c>
      <c r="Y429" s="2957">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7">
        <f t="shared" si="112"/>
        <v>0</v>
      </c>
      <c r="V430" s="2957">
        <f t="shared" si="113"/>
        <v>0</v>
      </c>
      <c r="W430" s="996"/>
      <c r="X430" s="2957">
        <f t="shared" si="114"/>
        <v>0</v>
      </c>
      <c r="Y430" s="2957">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7">
        <f t="shared" si="112"/>
        <v>0</v>
      </c>
      <c r="V431" s="2957">
        <f t="shared" si="113"/>
        <v>0</v>
      </c>
      <c r="W431" s="996"/>
      <c r="X431" s="2957">
        <f t="shared" si="114"/>
        <v>0</v>
      </c>
      <c r="Y431" s="2957">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7">
        <f t="shared" si="112"/>
        <v>0</v>
      </c>
      <c r="V432" s="2957">
        <f t="shared" si="113"/>
        <v>0</v>
      </c>
      <c r="W432" s="996"/>
      <c r="X432" s="2957">
        <f t="shared" si="114"/>
        <v>0</v>
      </c>
      <c r="Y432" s="2957">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7">
        <f t="shared" si="112"/>
        <v>0</v>
      </c>
      <c r="V433" s="2957">
        <f t="shared" si="113"/>
        <v>0</v>
      </c>
      <c r="W433" s="996"/>
      <c r="X433" s="2957">
        <f t="shared" si="114"/>
        <v>0</v>
      </c>
      <c r="Y433" s="2957">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7">
        <f t="shared" si="112"/>
        <v>0</v>
      </c>
      <c r="V434" s="2957">
        <f t="shared" si="113"/>
        <v>0</v>
      </c>
      <c r="W434" s="996"/>
      <c r="X434" s="2957">
        <f t="shared" si="114"/>
        <v>0</v>
      </c>
      <c r="Y434" s="2957">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7">
        <f t="shared" si="112"/>
        <v>0</v>
      </c>
      <c r="V435" s="2957">
        <f t="shared" si="113"/>
        <v>0</v>
      </c>
      <c r="W435" s="996"/>
      <c r="X435" s="2957">
        <f t="shared" si="114"/>
        <v>0</v>
      </c>
      <c r="Y435" s="2957">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7">
        <f t="shared" si="112"/>
        <v>0</v>
      </c>
      <c r="V436" s="2957">
        <f t="shared" si="113"/>
        <v>0</v>
      </c>
      <c r="W436" s="996"/>
      <c r="X436" s="2957">
        <f t="shared" si="114"/>
        <v>0</v>
      </c>
      <c r="Y436" s="2957">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7">
        <f t="shared" si="112"/>
        <v>0</v>
      </c>
      <c r="V437" s="2957">
        <f t="shared" si="113"/>
        <v>0</v>
      </c>
      <c r="W437" s="996"/>
      <c r="X437" s="2957">
        <f t="shared" si="114"/>
        <v>0</v>
      </c>
      <c r="Y437" s="2957">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7">
        <f t="shared" si="112"/>
        <v>0</v>
      </c>
      <c r="V438" s="2957">
        <f t="shared" si="113"/>
        <v>0</v>
      </c>
      <c r="W438" s="996"/>
      <c r="X438" s="2957">
        <f t="shared" si="114"/>
        <v>0</v>
      </c>
      <c r="Y438" s="2957">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7">
        <f t="shared" si="112"/>
        <v>0</v>
      </c>
      <c r="V439" s="2957">
        <f t="shared" si="113"/>
        <v>0</v>
      </c>
      <c r="W439" s="996"/>
      <c r="X439" s="2957">
        <f t="shared" si="114"/>
        <v>0</v>
      </c>
      <c r="Y439" s="2957">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7">
        <f t="shared" si="112"/>
        <v>0</v>
      </c>
      <c r="V440" s="2957">
        <f t="shared" si="113"/>
        <v>0</v>
      </c>
      <c r="W440" s="996"/>
      <c r="X440" s="2957">
        <f t="shared" si="114"/>
        <v>0</v>
      </c>
      <c r="Y440" s="2957">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7">
        <f t="shared" si="112"/>
        <v>0</v>
      </c>
      <c r="V441" s="2957">
        <f t="shared" si="113"/>
        <v>0</v>
      </c>
      <c r="W441" s="996"/>
      <c r="X441" s="2957">
        <f t="shared" si="114"/>
        <v>0</v>
      </c>
      <c r="Y441" s="2957">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7">
        <f t="shared" si="112"/>
        <v>0</v>
      </c>
      <c r="V442" s="2957">
        <f t="shared" si="113"/>
        <v>0</v>
      </c>
      <c r="W442" s="996"/>
      <c r="X442" s="2957">
        <f t="shared" si="114"/>
        <v>0</v>
      </c>
      <c r="Y442" s="2957">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7">
        <f t="shared" si="112"/>
        <v>0</v>
      </c>
      <c r="V443" s="2957">
        <f t="shared" si="113"/>
        <v>0</v>
      </c>
      <c r="W443" s="996"/>
      <c r="X443" s="2957">
        <f t="shared" si="114"/>
        <v>0</v>
      </c>
      <c r="Y443" s="2957">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7">
        <f t="shared" si="112"/>
        <v>0</v>
      </c>
      <c r="V444" s="2957">
        <f t="shared" si="113"/>
        <v>0</v>
      </c>
      <c r="W444" s="996"/>
      <c r="X444" s="2957">
        <f t="shared" si="114"/>
        <v>0</v>
      </c>
      <c r="Y444" s="2957">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7">
        <f t="shared" si="112"/>
        <v>0</v>
      </c>
      <c r="V445" s="2957">
        <f t="shared" si="113"/>
        <v>0</v>
      </c>
      <c r="W445" s="996"/>
      <c r="X445" s="2957">
        <f t="shared" si="114"/>
        <v>0</v>
      </c>
      <c r="Y445" s="2957">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7">
        <f t="shared" si="112"/>
        <v>0</v>
      </c>
      <c r="V446" s="2957">
        <f t="shared" si="113"/>
        <v>0</v>
      </c>
      <c r="W446" s="996"/>
      <c r="X446" s="2957">
        <f t="shared" si="114"/>
        <v>0</v>
      </c>
      <c r="Y446" s="2957">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7">
        <f t="shared" si="112"/>
        <v>0</v>
      </c>
      <c r="V447" s="2957">
        <f t="shared" si="113"/>
        <v>0</v>
      </c>
      <c r="W447" s="996"/>
      <c r="X447" s="2957">
        <f t="shared" si="114"/>
        <v>0</v>
      </c>
      <c r="Y447" s="2957">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7">
        <f t="shared" si="112"/>
        <v>0</v>
      </c>
      <c r="V448" s="2957">
        <f t="shared" si="113"/>
        <v>0</v>
      </c>
      <c r="W448" s="996"/>
      <c r="X448" s="2957">
        <f t="shared" si="114"/>
        <v>0</v>
      </c>
      <c r="Y448" s="2957">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7">
        <f t="shared" si="112"/>
        <v>0</v>
      </c>
      <c r="V449" s="2957">
        <f t="shared" si="113"/>
        <v>0</v>
      </c>
      <c r="W449" s="996"/>
      <c r="X449" s="2957">
        <f t="shared" si="114"/>
        <v>0</v>
      </c>
      <c r="Y449" s="2957">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7">
        <f t="shared" si="112"/>
        <v>0</v>
      </c>
      <c r="V450" s="2957">
        <f t="shared" si="113"/>
        <v>0</v>
      </c>
      <c r="W450" s="996"/>
      <c r="X450" s="2957">
        <f t="shared" si="114"/>
        <v>0</v>
      </c>
      <c r="Y450" s="2957">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7">
        <f t="shared" si="112"/>
        <v>0</v>
      </c>
      <c r="V451" s="2957">
        <f t="shared" si="113"/>
        <v>0</v>
      </c>
      <c r="W451" s="996"/>
      <c r="X451" s="2957">
        <f t="shared" si="114"/>
        <v>0</v>
      </c>
      <c r="Y451" s="2957">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7">
        <f t="shared" si="112"/>
        <v>0</v>
      </c>
      <c r="V452" s="2957">
        <f t="shared" si="113"/>
        <v>0</v>
      </c>
      <c r="W452" s="996"/>
      <c r="X452" s="2957">
        <f t="shared" si="114"/>
        <v>0</v>
      </c>
      <c r="Y452" s="2957">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7">
        <f t="shared" si="112"/>
        <v>0</v>
      </c>
      <c r="V453" s="2957">
        <f t="shared" si="113"/>
        <v>0</v>
      </c>
      <c r="W453" s="996"/>
      <c r="X453" s="2957">
        <f t="shared" si="114"/>
        <v>0</v>
      </c>
      <c r="Y453" s="2957">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7">
        <f t="shared" si="112"/>
        <v>0</v>
      </c>
      <c r="V454" s="2957">
        <f t="shared" si="113"/>
        <v>0</v>
      </c>
      <c r="W454" s="996"/>
      <c r="X454" s="2957">
        <f t="shared" si="114"/>
        <v>0</v>
      </c>
      <c r="Y454" s="2957">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7">
        <f t="shared" si="112"/>
        <v>0</v>
      </c>
      <c r="V455" s="2957">
        <f t="shared" si="113"/>
        <v>0</v>
      </c>
      <c r="W455" s="996"/>
      <c r="X455" s="2957">
        <f t="shared" si="114"/>
        <v>0</v>
      </c>
      <c r="Y455" s="2957">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7">
        <f t="shared" si="112"/>
        <v>0</v>
      </c>
      <c r="V456" s="2957">
        <f t="shared" si="113"/>
        <v>0</v>
      </c>
      <c r="W456" s="996"/>
      <c r="X456" s="2957">
        <f t="shared" si="114"/>
        <v>0</v>
      </c>
      <c r="Y456" s="2957">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7">
        <f t="shared" si="112"/>
        <v>0</v>
      </c>
      <c r="V457" s="2957">
        <f t="shared" si="113"/>
        <v>0</v>
      </c>
      <c r="W457" s="996"/>
      <c r="X457" s="2957">
        <f t="shared" si="114"/>
        <v>0</v>
      </c>
      <c r="Y457" s="2957">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7">
        <f t="shared" si="112"/>
        <v>0</v>
      </c>
      <c r="V458" s="2957">
        <f t="shared" si="113"/>
        <v>0</v>
      </c>
      <c r="W458" s="996"/>
      <c r="X458" s="2957">
        <f t="shared" si="114"/>
        <v>0</v>
      </c>
      <c r="Y458" s="2957">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7">
        <f t="shared" si="112"/>
        <v>0</v>
      </c>
      <c r="V459" s="2957">
        <f t="shared" si="113"/>
        <v>0</v>
      </c>
      <c r="W459" s="996"/>
      <c r="X459" s="2957">
        <f t="shared" si="114"/>
        <v>0</v>
      </c>
      <c r="Y459" s="2957">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7">
        <f t="shared" si="112"/>
        <v>0</v>
      </c>
      <c r="V460" s="2957">
        <f t="shared" si="113"/>
        <v>0</v>
      </c>
      <c r="W460" s="996"/>
      <c r="X460" s="2957">
        <f t="shared" si="114"/>
        <v>0</v>
      </c>
      <c r="Y460" s="2957">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7">
        <f t="shared" si="112"/>
        <v>0</v>
      </c>
      <c r="V461" s="2957">
        <f t="shared" si="113"/>
        <v>0</v>
      </c>
      <c r="W461" s="996"/>
      <c r="X461" s="2957">
        <f t="shared" si="114"/>
        <v>0</v>
      </c>
      <c r="Y461" s="2957">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7">
        <f t="shared" si="112"/>
        <v>0</v>
      </c>
      <c r="V462" s="2957">
        <f t="shared" si="113"/>
        <v>0</v>
      </c>
      <c r="W462" s="996"/>
      <c r="X462" s="2957">
        <f t="shared" si="114"/>
        <v>0</v>
      </c>
      <c r="Y462" s="2957">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7">
        <f t="shared" si="112"/>
        <v>0</v>
      </c>
      <c r="V463" s="2957">
        <f t="shared" si="113"/>
        <v>0</v>
      </c>
      <c r="W463" s="996"/>
      <c r="X463" s="2957">
        <f t="shared" si="114"/>
        <v>0</v>
      </c>
      <c r="Y463" s="2957">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7">
        <f t="shared" si="112"/>
        <v>0</v>
      </c>
      <c r="V464" s="2957">
        <f t="shared" si="113"/>
        <v>0</v>
      </c>
      <c r="W464" s="996"/>
      <c r="X464" s="2957">
        <f t="shared" si="114"/>
        <v>0</v>
      </c>
      <c r="Y464" s="2957">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7">
        <f t="shared" si="112"/>
        <v>0</v>
      </c>
      <c r="V465" s="2957">
        <f t="shared" si="113"/>
        <v>0</v>
      </c>
      <c r="W465" s="996"/>
      <c r="X465" s="2957">
        <f t="shared" si="114"/>
        <v>0</v>
      </c>
      <c r="Y465" s="2957">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7">
        <f t="shared" si="112"/>
        <v>0</v>
      </c>
      <c r="V466" s="2957">
        <f t="shared" si="113"/>
        <v>0</v>
      </c>
      <c r="W466" s="996"/>
      <c r="X466" s="2957">
        <f t="shared" si="114"/>
        <v>0</v>
      </c>
      <c r="Y466" s="2957">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7">
        <f t="shared" si="112"/>
        <v>0</v>
      </c>
      <c r="V467" s="2957">
        <f t="shared" si="113"/>
        <v>0</v>
      </c>
      <c r="W467" s="996"/>
      <c r="X467" s="2957">
        <f t="shared" si="114"/>
        <v>0</v>
      </c>
      <c r="Y467" s="2957">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7">
        <f t="shared" si="112"/>
        <v>0</v>
      </c>
      <c r="V468" s="2957">
        <f t="shared" si="113"/>
        <v>0</v>
      </c>
      <c r="W468" s="996"/>
      <c r="X468" s="2957">
        <f t="shared" si="114"/>
        <v>0</v>
      </c>
      <c r="Y468" s="2957">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7">
        <f t="shared" si="112"/>
        <v>0</v>
      </c>
      <c r="V469" s="2957">
        <f t="shared" si="113"/>
        <v>0</v>
      </c>
      <c r="W469" s="996"/>
      <c r="X469" s="2957">
        <f t="shared" si="114"/>
        <v>0</v>
      </c>
      <c r="Y469" s="2957">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7">
        <f t="shared" si="112"/>
        <v>0</v>
      </c>
      <c r="V470" s="2957">
        <f t="shared" si="113"/>
        <v>0</v>
      </c>
      <c r="W470" s="996"/>
      <c r="X470" s="2957">
        <f t="shared" si="114"/>
        <v>0</v>
      </c>
      <c r="Y470" s="2957">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7">
        <f t="shared" si="112"/>
        <v>0</v>
      </c>
      <c r="V471" s="2957">
        <f t="shared" si="113"/>
        <v>0</v>
      </c>
      <c r="W471" s="996"/>
      <c r="X471" s="2957">
        <f t="shared" si="114"/>
        <v>0</v>
      </c>
      <c r="Y471" s="2957">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7">
        <f t="shared" si="112"/>
        <v>0</v>
      </c>
      <c r="V472" s="2957">
        <f t="shared" si="113"/>
        <v>0</v>
      </c>
      <c r="W472" s="996"/>
      <c r="X472" s="2957">
        <f t="shared" si="114"/>
        <v>0</v>
      </c>
      <c r="Y472" s="2957">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7">
        <f t="shared" si="112"/>
        <v>0</v>
      </c>
      <c r="V473" s="2957">
        <f t="shared" si="113"/>
        <v>0</v>
      </c>
      <c r="W473" s="996"/>
      <c r="X473" s="2957">
        <f t="shared" si="114"/>
        <v>0</v>
      </c>
      <c r="Y473" s="2957">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7">
        <f t="shared" si="112"/>
        <v>0</v>
      </c>
      <c r="V474" s="2957">
        <f t="shared" si="113"/>
        <v>0</v>
      </c>
      <c r="W474" s="996"/>
      <c r="X474" s="2957">
        <f t="shared" si="114"/>
        <v>0</v>
      </c>
      <c r="Y474" s="2957">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7">
        <f t="shared" si="112"/>
        <v>0</v>
      </c>
      <c r="V475" s="2957">
        <f t="shared" si="113"/>
        <v>0</v>
      </c>
      <c r="W475" s="996"/>
      <c r="X475" s="2957">
        <f t="shared" si="114"/>
        <v>0</v>
      </c>
      <c r="Y475" s="2957">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7">
        <f t="shared" ref="U476:U527" si="127">ROUND(W476*B476,0)</f>
        <v>0</v>
      </c>
      <c r="V476" s="2957">
        <f t="shared" ref="V476:V527" si="128">ROUND(W476*B476/10000,0)</f>
        <v>0</v>
      </c>
      <c r="W476" s="996"/>
      <c r="X476" s="2957">
        <f t="shared" ref="X476:X527" si="129">ROUND(Z476*B476,0)</f>
        <v>0</v>
      </c>
      <c r="Y476" s="2957">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7">
        <f t="shared" si="127"/>
        <v>0</v>
      </c>
      <c r="V477" s="2957">
        <f t="shared" si="128"/>
        <v>0</v>
      </c>
      <c r="W477" s="996"/>
      <c r="X477" s="2957">
        <f t="shared" si="129"/>
        <v>0</v>
      </c>
      <c r="Y477" s="2957">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7">
        <f t="shared" si="127"/>
        <v>0</v>
      </c>
      <c r="V478" s="2957">
        <f t="shared" si="128"/>
        <v>0</v>
      </c>
      <c r="W478" s="996"/>
      <c r="X478" s="2957">
        <f t="shared" si="129"/>
        <v>0</v>
      </c>
      <c r="Y478" s="2957">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7">
        <f t="shared" si="127"/>
        <v>0</v>
      </c>
      <c r="V479" s="2957">
        <f t="shared" si="128"/>
        <v>0</v>
      </c>
      <c r="W479" s="996"/>
      <c r="X479" s="2957">
        <f t="shared" si="129"/>
        <v>0</v>
      </c>
      <c r="Y479" s="2957">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7">
        <f t="shared" si="127"/>
        <v>0</v>
      </c>
      <c r="V480" s="2957">
        <f t="shared" si="128"/>
        <v>0</v>
      </c>
      <c r="W480" s="996"/>
      <c r="X480" s="2957">
        <f t="shared" si="129"/>
        <v>0</v>
      </c>
      <c r="Y480" s="2957">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7">
        <f t="shared" si="127"/>
        <v>0</v>
      </c>
      <c r="V481" s="2957">
        <f t="shared" si="128"/>
        <v>0</v>
      </c>
      <c r="W481" s="996"/>
      <c r="X481" s="2957">
        <f t="shared" si="129"/>
        <v>0</v>
      </c>
      <c r="Y481" s="2957">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7">
        <f t="shared" si="127"/>
        <v>0</v>
      </c>
      <c r="V482" s="2957">
        <f t="shared" si="128"/>
        <v>0</v>
      </c>
      <c r="W482" s="996"/>
      <c r="X482" s="2957">
        <f t="shared" si="129"/>
        <v>0</v>
      </c>
      <c r="Y482" s="2957">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7">
        <f t="shared" si="127"/>
        <v>0</v>
      </c>
      <c r="V483" s="2957">
        <f t="shared" si="128"/>
        <v>0</v>
      </c>
      <c r="W483" s="996"/>
      <c r="X483" s="2957">
        <f t="shared" si="129"/>
        <v>0</v>
      </c>
      <c r="Y483" s="2957">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7">
        <f t="shared" si="127"/>
        <v>0</v>
      </c>
      <c r="V484" s="2957">
        <f t="shared" si="128"/>
        <v>0</v>
      </c>
      <c r="W484" s="996"/>
      <c r="X484" s="2957">
        <f t="shared" si="129"/>
        <v>0</v>
      </c>
      <c r="Y484" s="2957">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7">
        <f t="shared" si="127"/>
        <v>0</v>
      </c>
      <c r="V485" s="2957">
        <f t="shared" si="128"/>
        <v>0</v>
      </c>
      <c r="W485" s="996"/>
      <c r="X485" s="2957">
        <f t="shared" si="129"/>
        <v>0</v>
      </c>
      <c r="Y485" s="2957">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7">
        <f t="shared" si="127"/>
        <v>0</v>
      </c>
      <c r="V486" s="2957">
        <f t="shared" si="128"/>
        <v>0</v>
      </c>
      <c r="W486" s="996"/>
      <c r="X486" s="2957">
        <f t="shared" si="129"/>
        <v>0</v>
      </c>
      <c r="Y486" s="2957">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7">
        <f t="shared" si="127"/>
        <v>0</v>
      </c>
      <c r="V487" s="2957">
        <f t="shared" si="128"/>
        <v>0</v>
      </c>
      <c r="W487" s="996"/>
      <c r="X487" s="2957">
        <f t="shared" si="129"/>
        <v>0</v>
      </c>
      <c r="Y487" s="2957">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7">
        <f t="shared" si="127"/>
        <v>0</v>
      </c>
      <c r="V488" s="2957">
        <f t="shared" si="128"/>
        <v>0</v>
      </c>
      <c r="W488" s="996"/>
      <c r="X488" s="2957">
        <f t="shared" si="129"/>
        <v>0</v>
      </c>
      <c r="Y488" s="2957">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7">
        <f t="shared" si="127"/>
        <v>0</v>
      </c>
      <c r="V489" s="2957">
        <f t="shared" si="128"/>
        <v>0</v>
      </c>
      <c r="W489" s="996"/>
      <c r="X489" s="2957">
        <f t="shared" si="129"/>
        <v>0</v>
      </c>
      <c r="Y489" s="2957">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7">
        <f t="shared" si="127"/>
        <v>0</v>
      </c>
      <c r="V490" s="2957">
        <f t="shared" si="128"/>
        <v>0</v>
      </c>
      <c r="W490" s="996"/>
      <c r="X490" s="2957">
        <f t="shared" si="129"/>
        <v>0</v>
      </c>
      <c r="Y490" s="2957">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7">
        <f t="shared" si="127"/>
        <v>0</v>
      </c>
      <c r="V491" s="2957">
        <f t="shared" si="128"/>
        <v>0</v>
      </c>
      <c r="W491" s="996"/>
      <c r="X491" s="2957">
        <f t="shared" si="129"/>
        <v>0</v>
      </c>
      <c r="Y491" s="2957">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7">
        <f t="shared" si="127"/>
        <v>0</v>
      </c>
      <c r="V492" s="2957">
        <f t="shared" si="128"/>
        <v>0</v>
      </c>
      <c r="W492" s="996"/>
      <c r="X492" s="2957">
        <f t="shared" si="129"/>
        <v>0</v>
      </c>
      <c r="Y492" s="2957">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7">
        <f t="shared" si="127"/>
        <v>0</v>
      </c>
      <c r="V493" s="2957">
        <f t="shared" si="128"/>
        <v>0</v>
      </c>
      <c r="W493" s="996"/>
      <c r="X493" s="2957">
        <f t="shared" si="129"/>
        <v>0</v>
      </c>
      <c r="Y493" s="2957">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7">
        <f t="shared" si="127"/>
        <v>0</v>
      </c>
      <c r="V494" s="2957">
        <f t="shared" si="128"/>
        <v>0</v>
      </c>
      <c r="W494" s="996"/>
      <c r="X494" s="2957">
        <f t="shared" si="129"/>
        <v>0</v>
      </c>
      <c r="Y494" s="2957">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7">
        <f t="shared" si="127"/>
        <v>0</v>
      </c>
      <c r="V495" s="2957">
        <f t="shared" si="128"/>
        <v>0</v>
      </c>
      <c r="W495" s="996"/>
      <c r="X495" s="2957">
        <f t="shared" si="129"/>
        <v>0</v>
      </c>
      <c r="Y495" s="2957">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7">
        <f t="shared" si="127"/>
        <v>0</v>
      </c>
      <c r="V496" s="2957">
        <f t="shared" si="128"/>
        <v>0</v>
      </c>
      <c r="W496" s="996"/>
      <c r="X496" s="2957">
        <f t="shared" si="129"/>
        <v>0</v>
      </c>
      <c r="Y496" s="2957">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7">
        <f t="shared" si="127"/>
        <v>0</v>
      </c>
      <c r="V497" s="2957">
        <f t="shared" si="128"/>
        <v>0</v>
      </c>
      <c r="W497" s="996"/>
      <c r="X497" s="2957">
        <f t="shared" si="129"/>
        <v>0</v>
      </c>
      <c r="Y497" s="2957">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7">
        <f t="shared" si="127"/>
        <v>0</v>
      </c>
      <c r="V498" s="2957">
        <f t="shared" si="128"/>
        <v>0</v>
      </c>
      <c r="W498" s="996"/>
      <c r="X498" s="2957">
        <f t="shared" si="129"/>
        <v>0</v>
      </c>
      <c r="Y498" s="2957">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7">
        <f t="shared" si="127"/>
        <v>0</v>
      </c>
      <c r="V499" s="2957">
        <f t="shared" si="128"/>
        <v>0</v>
      </c>
      <c r="W499" s="996"/>
      <c r="X499" s="2957">
        <f t="shared" si="129"/>
        <v>0</v>
      </c>
      <c r="Y499" s="2957">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7">
        <f t="shared" si="127"/>
        <v>0</v>
      </c>
      <c r="V500" s="2957">
        <f t="shared" si="128"/>
        <v>0</v>
      </c>
      <c r="W500" s="996"/>
      <c r="X500" s="2957">
        <f t="shared" si="129"/>
        <v>0</v>
      </c>
      <c r="Y500" s="2957">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7">
        <f t="shared" si="127"/>
        <v>0</v>
      </c>
      <c r="V501" s="2957">
        <f t="shared" si="128"/>
        <v>0</v>
      </c>
      <c r="W501" s="996"/>
      <c r="X501" s="2957">
        <f t="shared" si="129"/>
        <v>0</v>
      </c>
      <c r="Y501" s="2957">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7">
        <f t="shared" si="127"/>
        <v>0</v>
      </c>
      <c r="V502" s="2957">
        <f t="shared" si="128"/>
        <v>0</v>
      </c>
      <c r="W502" s="996"/>
      <c r="X502" s="2957">
        <f t="shared" si="129"/>
        <v>0</v>
      </c>
      <c r="Y502" s="2957">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7">
        <f t="shared" si="127"/>
        <v>0</v>
      </c>
      <c r="V503" s="2957">
        <f t="shared" si="128"/>
        <v>0</v>
      </c>
      <c r="W503" s="996"/>
      <c r="X503" s="2957">
        <f t="shared" si="129"/>
        <v>0</v>
      </c>
      <c r="Y503" s="2957">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7">
        <f t="shared" si="127"/>
        <v>0</v>
      </c>
      <c r="V504" s="2957">
        <f t="shared" si="128"/>
        <v>0</v>
      </c>
      <c r="W504" s="996"/>
      <c r="X504" s="2957">
        <f t="shared" si="129"/>
        <v>0</v>
      </c>
      <c r="Y504" s="2957">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7">
        <f t="shared" si="127"/>
        <v>0</v>
      </c>
      <c r="V505" s="2957">
        <f t="shared" si="128"/>
        <v>0</v>
      </c>
      <c r="W505" s="996"/>
      <c r="X505" s="2957">
        <f t="shared" si="129"/>
        <v>0</v>
      </c>
      <c r="Y505" s="2957">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7">
        <f t="shared" si="127"/>
        <v>0</v>
      </c>
      <c r="V506" s="2957">
        <f t="shared" si="128"/>
        <v>0</v>
      </c>
      <c r="W506" s="996"/>
      <c r="X506" s="2957">
        <f t="shared" si="129"/>
        <v>0</v>
      </c>
      <c r="Y506" s="2957">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7">
        <f t="shared" si="127"/>
        <v>0</v>
      </c>
      <c r="V507" s="2957">
        <f t="shared" si="128"/>
        <v>0</v>
      </c>
      <c r="W507" s="996"/>
      <c r="X507" s="2957">
        <f t="shared" si="129"/>
        <v>0</v>
      </c>
      <c r="Y507" s="2957">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7">
        <f t="shared" si="127"/>
        <v>0</v>
      </c>
      <c r="V508" s="2957">
        <f t="shared" si="128"/>
        <v>0</v>
      </c>
      <c r="W508" s="996"/>
      <c r="X508" s="2957">
        <f t="shared" si="129"/>
        <v>0</v>
      </c>
      <c r="Y508" s="2957">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7">
        <f t="shared" si="127"/>
        <v>0</v>
      </c>
      <c r="V509" s="2957">
        <f t="shared" si="128"/>
        <v>0</v>
      </c>
      <c r="W509" s="996"/>
      <c r="X509" s="2957">
        <f t="shared" si="129"/>
        <v>0</v>
      </c>
      <c r="Y509" s="2957">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7">
        <f t="shared" si="127"/>
        <v>0</v>
      </c>
      <c r="V510" s="2957">
        <f t="shared" si="128"/>
        <v>0</v>
      </c>
      <c r="W510" s="996"/>
      <c r="X510" s="2957">
        <f t="shared" si="129"/>
        <v>0</v>
      </c>
      <c r="Y510" s="2957">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7">
        <f t="shared" si="127"/>
        <v>0</v>
      </c>
      <c r="V511" s="2957">
        <f t="shared" si="128"/>
        <v>0</v>
      </c>
      <c r="W511" s="996"/>
      <c r="X511" s="2957">
        <f t="shared" si="129"/>
        <v>0</v>
      </c>
      <c r="Y511" s="2957">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7">
        <f t="shared" si="127"/>
        <v>0</v>
      </c>
      <c r="V512" s="2957">
        <f t="shared" si="128"/>
        <v>0</v>
      </c>
      <c r="W512" s="996"/>
      <c r="X512" s="2957">
        <f t="shared" si="129"/>
        <v>0</v>
      </c>
      <c r="Y512" s="2957">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7">
        <f t="shared" si="127"/>
        <v>0</v>
      </c>
      <c r="V513" s="2957">
        <f t="shared" si="128"/>
        <v>0</v>
      </c>
      <c r="W513" s="996"/>
      <c r="X513" s="2957">
        <f t="shared" si="129"/>
        <v>0</v>
      </c>
      <c r="Y513" s="2957">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7">
        <f t="shared" si="127"/>
        <v>0</v>
      </c>
      <c r="V514" s="2957">
        <f t="shared" si="128"/>
        <v>0</v>
      </c>
      <c r="W514" s="996"/>
      <c r="X514" s="2957">
        <f t="shared" si="129"/>
        <v>0</v>
      </c>
      <c r="Y514" s="2957">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7">
        <f t="shared" si="127"/>
        <v>0</v>
      </c>
      <c r="V515" s="2957">
        <f t="shared" si="128"/>
        <v>0</v>
      </c>
      <c r="W515" s="996"/>
      <c r="X515" s="2957">
        <f t="shared" si="129"/>
        <v>0</v>
      </c>
      <c r="Y515" s="2957">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7">
        <f t="shared" si="127"/>
        <v>0</v>
      </c>
      <c r="V516" s="2957">
        <f t="shared" si="128"/>
        <v>0</v>
      </c>
      <c r="W516" s="996"/>
      <c r="X516" s="2957">
        <f t="shared" si="129"/>
        <v>0</v>
      </c>
      <c r="Y516" s="2957">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7">
        <f t="shared" si="127"/>
        <v>0</v>
      </c>
      <c r="V517" s="2957">
        <f t="shared" si="128"/>
        <v>0</v>
      </c>
      <c r="W517" s="996"/>
      <c r="X517" s="2957">
        <f t="shared" si="129"/>
        <v>0</v>
      </c>
      <c r="Y517" s="2957">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7">
        <f t="shared" si="127"/>
        <v>0</v>
      </c>
      <c r="V518" s="2957">
        <f t="shared" si="128"/>
        <v>0</v>
      </c>
      <c r="W518" s="996"/>
      <c r="X518" s="2957">
        <f t="shared" si="129"/>
        <v>0</v>
      </c>
      <c r="Y518" s="2957">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7">
        <f t="shared" si="127"/>
        <v>0</v>
      </c>
      <c r="V519" s="2957">
        <f t="shared" si="128"/>
        <v>0</v>
      </c>
      <c r="W519" s="996"/>
      <c r="X519" s="2957">
        <f t="shared" si="129"/>
        <v>0</v>
      </c>
      <c r="Y519" s="2957">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7">
        <f t="shared" si="127"/>
        <v>0</v>
      </c>
      <c r="V520" s="2957">
        <f t="shared" si="128"/>
        <v>0</v>
      </c>
      <c r="W520" s="996"/>
      <c r="X520" s="2957">
        <f t="shared" si="129"/>
        <v>0</v>
      </c>
      <c r="Y520" s="2957">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7">
        <f t="shared" si="127"/>
        <v>0</v>
      </c>
      <c r="V521" s="2957">
        <f t="shared" si="128"/>
        <v>0</v>
      </c>
      <c r="W521" s="996"/>
      <c r="X521" s="2957">
        <f t="shared" si="129"/>
        <v>0</v>
      </c>
      <c r="Y521" s="2957">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7">
        <f t="shared" si="127"/>
        <v>0</v>
      </c>
      <c r="V522" s="2957">
        <f t="shared" si="128"/>
        <v>0</v>
      </c>
      <c r="W522" s="996"/>
      <c r="X522" s="2957">
        <f t="shared" si="129"/>
        <v>0</v>
      </c>
      <c r="Y522" s="2957">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7">
        <f t="shared" si="127"/>
        <v>0</v>
      </c>
      <c r="V523" s="2957">
        <f t="shared" si="128"/>
        <v>0</v>
      </c>
      <c r="W523" s="996"/>
      <c r="X523" s="2957">
        <f t="shared" si="129"/>
        <v>0</v>
      </c>
      <c r="Y523" s="2957">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7">
        <f t="shared" si="127"/>
        <v>0</v>
      </c>
      <c r="V524" s="2957">
        <f t="shared" si="128"/>
        <v>0</v>
      </c>
      <c r="W524" s="996"/>
      <c r="X524" s="2957">
        <f t="shared" si="129"/>
        <v>0</v>
      </c>
      <c r="Y524" s="2957">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7">
        <f t="shared" si="127"/>
        <v>0</v>
      </c>
      <c r="V525" s="2957">
        <f t="shared" si="128"/>
        <v>0</v>
      </c>
      <c r="W525" s="996"/>
      <c r="X525" s="2957">
        <f t="shared" si="129"/>
        <v>0</v>
      </c>
      <c r="Y525" s="2957">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7">
        <f t="shared" si="127"/>
        <v>0</v>
      </c>
      <c r="V526" s="2957">
        <f t="shared" si="128"/>
        <v>0</v>
      </c>
      <c r="W526" s="996"/>
      <c r="X526" s="2957">
        <f t="shared" si="129"/>
        <v>0</v>
      </c>
      <c r="Y526" s="2957">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7">
        <f t="shared" si="127"/>
        <v>0</v>
      </c>
      <c r="V527" s="2957">
        <f t="shared" si="128"/>
        <v>0</v>
      </c>
      <c r="W527" s="996"/>
      <c r="X527" s="2957">
        <f t="shared" si="129"/>
        <v>0</v>
      </c>
      <c r="Y527" s="2957">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21"/>
  <sheetViews>
    <sheetView workbookViewId="0">
      <selection activeCell="O127" sqref="O127"/>
    </sheetView>
  </sheetViews>
  <sheetFormatPr defaultRowHeight="13.5"/>
  <sheetData>
    <row r="121" spans="15:15">
      <c r="O121" s="1309" t="s">
        <v>3103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330"/>
      <c r="B3" s="1330"/>
      <c r="C3" s="1330"/>
      <c r="D3" s="1330"/>
      <c r="E3" s="1330"/>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327"/>
      <c r="B5" s="1331" t="s">
        <v>742</v>
      </c>
      <c r="C5" s="3363" t="s">
        <v>775</v>
      </c>
      <c r="D5" s="3364"/>
      <c r="E5" s="1327"/>
    </row>
    <row r="6" spans="1:5" ht="14.25">
      <c r="A6" s="1327"/>
      <c r="B6" s="1332" t="str">
        <f>项目基本情况!I1</f>
        <v>北京市房地产</v>
      </c>
      <c r="C6" s="3365">
        <f>项目基本情况!C12</f>
        <v>70.739999999999995</v>
      </c>
      <c r="D6" s="3365"/>
      <c r="E6" s="1327"/>
    </row>
    <row r="7" spans="1:5" ht="14.25">
      <c r="A7" s="1327"/>
      <c r="B7" s="3359" t="s">
        <v>776</v>
      </c>
      <c r="C7" s="1333" t="str">
        <f>IF('数据-取费表'!B3="万元","总价（万元）","总价（元）")</f>
        <v>总价（万元）</v>
      </c>
      <c r="D7" s="1334">
        <f ca="1">IF('数据-取费表'!E3="否",结果表!I102,'结果表 (1修多)'!I104)</f>
        <v>129</v>
      </c>
      <c r="E7" s="1327"/>
    </row>
    <row r="8" spans="1:5" ht="14.25">
      <c r="A8" s="1327"/>
      <c r="B8" s="3359"/>
      <c r="C8" s="1335" t="s">
        <v>1106</v>
      </c>
      <c r="D8" s="1336" t="str">
        <f ca="1">IF('数据-取费表'!B3="万元",NUMBERSTRING(INT(D7*10000),2)&amp;"元整",NUMBERSTRING(INT(D7),2)&amp;"元整")</f>
        <v>壹佰贰拾玖万元整</v>
      </c>
      <c r="E8" s="1327"/>
    </row>
    <row r="9" spans="1:5" ht="14.25">
      <c r="A9" s="1327"/>
      <c r="B9" s="3359"/>
      <c r="C9" s="1337" t="s">
        <v>1202</v>
      </c>
      <c r="D9" s="1334">
        <f ca="1">IF('数据-取费表'!E3="否",结果表!I103,'结果表 (1修多)'!I105)</f>
        <v>18236</v>
      </c>
      <c r="E9" s="1327"/>
    </row>
    <row r="10" spans="1:5" ht="14.25">
      <c r="A10" s="1327"/>
      <c r="B10" s="3366"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66"/>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66" t="str">
        <f>IF('数据-取费表'!E3="否",结果表!F110,'结果表 (1修多)'!F112)</f>
        <v>3.房地产抵押价值</v>
      </c>
      <c r="C15" s="1328" t="str">
        <f>C7</f>
        <v>总价（万元）</v>
      </c>
      <c r="D15" s="1334">
        <f ca="1">IF('数据-取费表'!E3="否",结果表!I110,'结果表 (1修多)'!I112)</f>
        <v>129</v>
      </c>
      <c r="E15" s="1327"/>
    </row>
    <row r="16" spans="1:5" ht="14.25">
      <c r="A16" s="1327"/>
      <c r="B16" s="3366"/>
      <c r="C16" s="1335" t="s">
        <v>1106</v>
      </c>
      <c r="D16" s="1334" t="str">
        <f ca="1">IF('数据-取费表'!B3="万元",NUMBERSTRING(INT(D15*10000),2)&amp;"元整",NUMBERSTRING(INT(D15),2)&amp;"元整")</f>
        <v>壹佰贰拾玖万元整</v>
      </c>
      <c r="E16" s="1327"/>
    </row>
    <row r="17" spans="1:5" ht="14.25">
      <c r="A17" s="1327"/>
      <c r="B17" s="3366"/>
      <c r="C17" s="1337" t="s">
        <v>1202</v>
      </c>
      <c r="D17" s="1334">
        <f ca="1">IF('数据-取费表'!E3="否",结果表!I111,'结果表 (1修多)'!I113)</f>
        <v>18236</v>
      </c>
      <c r="E17" s="1327"/>
    </row>
    <row r="18" spans="1:5" ht="14.25">
      <c r="A18" s="1327"/>
      <c r="B18" s="3366" t="str">
        <f>IF('数据-取费表'!E3="否",结果表!F112,'结果表 (1修多)'!F114)</f>
        <v>——</v>
      </c>
      <c r="C18" s="1328" t="str">
        <f>C7</f>
        <v>总价（万元）</v>
      </c>
      <c r="D18" s="1334" t="str">
        <f>IF('数据-取费表'!E3="否",结果表!I112,'结果表 (1修多)'!I114)</f>
        <v>——</v>
      </c>
      <c r="E18" s="1327"/>
    </row>
    <row r="19" spans="1:5" ht="14.25">
      <c r="A19" s="1327"/>
      <c r="B19" s="3366"/>
      <c r="C19" s="1335" t="s">
        <v>1106</v>
      </c>
      <c r="D19" s="1334" t="e">
        <f>IF('数据-取费表'!B3="万元",NUMBERSTRING(INT(D18*10000),2)&amp;"元整",NUMBERSTRING(INT(D18),2)&amp;"元整")</f>
        <v>#VALUE!</v>
      </c>
      <c r="E19" s="1327"/>
    </row>
    <row r="20" spans="1:5" ht="14.25">
      <c r="A20" s="1327"/>
      <c r="B20" s="3366"/>
      <c r="C20" s="1337" t="s">
        <v>1202</v>
      </c>
      <c r="D20" s="1334" t="str">
        <f>IF('数据-取费表'!E3="否",结果表!I113,'结果表 (1修多)'!I115)</f>
        <v>——</v>
      </c>
      <c r="E20" s="1327"/>
    </row>
    <row r="21" spans="1:5" ht="14.25">
      <c r="A21" s="1327"/>
      <c r="B21" s="3359" t="str">
        <f>IF('数据-取费表'!E3="否",结果表!F114,'结果表 (1修多)'!F116)</f>
        <v>——</v>
      </c>
      <c r="C21" s="1333" t="str">
        <f>C7</f>
        <v>总价（万元）</v>
      </c>
      <c r="D21" s="1334" t="str">
        <f>IF('数据-取费表'!E3="否",结果表!I114,'结果表 (1修多)'!I116)</f>
        <v>——</v>
      </c>
      <c r="E21" s="1327"/>
    </row>
    <row r="22" spans="1:5" ht="14.25">
      <c r="A22" s="1327"/>
      <c r="B22" s="3359"/>
      <c r="C22" s="1335" t="s">
        <v>1106</v>
      </c>
      <c r="D22" s="1336" t="e">
        <f>IF('数据-取费表'!B3="万元",NUMBERSTRING(INT(D21*10000),2)&amp;"元整",NUMBERSTRING(INT(D21),2)&amp;"元整")</f>
        <v>#VALUE!</v>
      </c>
      <c r="E22" s="1327"/>
    </row>
    <row r="23" spans="1:5" ht="15" thickBot="1">
      <c r="A23" s="1327"/>
      <c r="B23" s="3360"/>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1" t="s">
        <v>1203</v>
      </c>
      <c r="C25" s="3351"/>
      <c r="D25" s="3351"/>
      <c r="E25" s="1327"/>
    </row>
    <row r="26" spans="1:5" ht="18.75" customHeight="1" thickTop="1">
      <c r="A26" s="1327"/>
      <c r="B26" s="3354" t="s">
        <v>1105</v>
      </c>
      <c r="C26" s="3355"/>
      <c r="D26" s="3352" t="s">
        <v>1104</v>
      </c>
      <c r="E26" s="1327"/>
    </row>
    <row r="27" spans="1:5" ht="18.75" customHeight="1">
      <c r="A27" s="1327"/>
      <c r="B27" s="3356"/>
      <c r="C27" s="3357"/>
      <c r="D27" s="3353"/>
      <c r="E27" s="1327"/>
    </row>
    <row r="28" spans="1:5" ht="14.25">
      <c r="A28" s="1327"/>
      <c r="B28" s="3344" t="s">
        <v>776</v>
      </c>
      <c r="C28" s="1344" t="s">
        <v>1107</v>
      </c>
      <c r="D28" s="1345">
        <f ca="1">IF('数据-取费表'!E3="否",结果表!I102,'结果表 (1修多)'!I104)</f>
        <v>129</v>
      </c>
      <c r="E28" s="1327"/>
    </row>
    <row r="29" spans="1:5" ht="14.25">
      <c r="A29" s="1327"/>
      <c r="B29" s="3345"/>
      <c r="C29" s="1346" t="s">
        <v>1106</v>
      </c>
      <c r="D29" s="1347" t="str">
        <f ca="1">IF('数据-取费表'!B3="万元",NUMBERSTRING(INT(D28*10000),2)&amp;"元整",NUMBERSTRING(INT(D28),2)&amp;"元整")</f>
        <v>壹佰贰拾玖万元整</v>
      </c>
      <c r="E29" s="1327"/>
    </row>
    <row r="30" spans="1:5" ht="14.25">
      <c r="A30" s="1327"/>
      <c r="B30" s="3346"/>
      <c r="C30" s="1337" t="s">
        <v>1109</v>
      </c>
      <c r="D30" s="1348">
        <f ca="1">IF('数据-取费表'!E3="否",结果表!I103,'结果表 (1修多)'!I105)</f>
        <v>18236</v>
      </c>
      <c r="E30" s="1327"/>
    </row>
    <row r="31" spans="1:5" ht="14.25">
      <c r="A31" s="1327"/>
      <c r="B31" s="3349" t="str">
        <f>B10</f>
        <v>2.估价师所知悉的法定优先受偿款</v>
      </c>
      <c r="C31" s="1349" t="s">
        <v>1108</v>
      </c>
      <c r="D31" s="1350">
        <f>IF('数据-取费表'!E3="否",结果表!I105,'结果表 (1修多)'!I107)</f>
        <v>0</v>
      </c>
      <c r="E31" s="1327"/>
    </row>
    <row r="32" spans="1:5" ht="14.25">
      <c r="A32" s="1327"/>
      <c r="B32" s="3358"/>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47" t="str">
        <f>B15</f>
        <v>3.房地产抵押价值</v>
      </c>
      <c r="C36" s="1349" t="str">
        <f>C28</f>
        <v>总价</v>
      </c>
      <c r="D36" s="1350">
        <f ca="1">IF('数据-取费表'!E3="否",结果表!I110,'结果表 (1修多)'!I112)</f>
        <v>129</v>
      </c>
      <c r="E36" s="1327"/>
    </row>
    <row r="37" spans="1:5" ht="14.25">
      <c r="A37" s="1327"/>
      <c r="B37" s="3347"/>
      <c r="C37" s="1346" t="s">
        <v>1106</v>
      </c>
      <c r="D37" s="1351" t="str">
        <f ca="1">IF('数据-取费表'!B3="万元",NUMBERSTRING(INT(D36*10000),2)&amp;"元整",NUMBERSTRING(INT(D36),2)&amp;"元整")</f>
        <v>壹佰贰拾玖万元整</v>
      </c>
      <c r="E37" s="1327"/>
    </row>
    <row r="38" spans="1:5" ht="14.25">
      <c r="A38" s="1327"/>
      <c r="B38" s="3347"/>
      <c r="C38" s="1337" t="s">
        <v>1110</v>
      </c>
      <c r="D38" s="1348">
        <f ca="1">IF('数据-取费表'!E3="否",结果表!D113,'结果表 (1修多)'!D117)</f>
        <v>18236</v>
      </c>
      <c r="E38" s="1327"/>
    </row>
    <row r="39" spans="1:5" ht="14.25">
      <c r="A39" s="1327"/>
      <c r="B39" s="3348" t="str">
        <f>B18</f>
        <v>——</v>
      </c>
      <c r="C39" s="1349" t="str">
        <f>C28</f>
        <v>总价</v>
      </c>
      <c r="D39" s="1350" t="str">
        <f>IF('数据-取费表'!E3="否",结果表!I112,'结果表 (1修多)'!I114)</f>
        <v>——</v>
      </c>
      <c r="E39" s="1327"/>
    </row>
    <row r="40" spans="1:5" ht="14.25">
      <c r="A40" s="1327"/>
      <c r="B40" s="3348"/>
      <c r="C40" s="1346" t="s">
        <v>1106</v>
      </c>
      <c r="D40" s="1351" t="e">
        <f>IF('数据-取费表'!B3="万元",NUMBERSTRING(INT(D39*10000),2)&amp;"元整",NUMBERSTRING(INT(D39),2)&amp;"元整")</f>
        <v>#VALUE!</v>
      </c>
      <c r="E40" s="1327"/>
    </row>
    <row r="41" spans="1:5" ht="14.25">
      <c r="A41" s="1327"/>
      <c r="B41" s="3348"/>
      <c r="C41" s="1337" t="s">
        <v>1110</v>
      </c>
      <c r="D41" s="1348" t="str">
        <f>IF('数据-取费表'!E3="否",结果表!D115,'结果表 (1修多)'!D119)</f>
        <v>——</v>
      </c>
      <c r="E41" s="1327"/>
    </row>
    <row r="42" spans="1:5" ht="14.25">
      <c r="A42" s="1327"/>
      <c r="B42" s="3347" t="str">
        <f>B21</f>
        <v>——</v>
      </c>
      <c r="C42" s="1349" t="str">
        <f>C28</f>
        <v>总价</v>
      </c>
      <c r="D42" s="1350" t="str">
        <f>IF('数据-取费表'!E3="否",结果表!I114,'结果表 (1修多)'!I116)</f>
        <v>——</v>
      </c>
      <c r="E42" s="1327"/>
    </row>
    <row r="43" spans="1:5" ht="14.25">
      <c r="A43" s="1327"/>
      <c r="B43" s="3349"/>
      <c r="C43" s="1346" t="s">
        <v>1106</v>
      </c>
      <c r="D43" s="1352" t="e">
        <f>IF('数据-取费表'!B3="万元",NUMBERSTRING(INT(D42*10000),2)&amp;"元整",NUMBERSTRING(INT(D42),2)&amp;"元整")</f>
        <v>#VALUE!</v>
      </c>
      <c r="E43" s="1327"/>
    </row>
    <row r="44" spans="1:5" ht="15" thickBot="1">
      <c r="A44" s="1327"/>
      <c r="B44" s="3350"/>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1204</v>
      </c>
      <c r="B2" s="3374" t="s">
        <v>1205</v>
      </c>
      <c r="C2" s="3374" t="s">
        <v>1206</v>
      </c>
      <c r="D2" s="3374" t="str">
        <f>IF('数据-取费表'!E3="否",结果表!D119,'结果表 (1修多)'!D123)</f>
        <v>出让国有建设用地使用权价值</v>
      </c>
      <c r="E2" s="3374"/>
      <c r="F2" s="3374" t="s">
        <v>1207</v>
      </c>
      <c r="G2" s="3374"/>
      <c r="H2" s="3374" t="s">
        <v>1208</v>
      </c>
      <c r="I2" s="3374"/>
    </row>
    <row r="3" spans="1:9" ht="15">
      <c r="A3" s="3367"/>
      <c r="B3" s="3367"/>
      <c r="C3" s="3367"/>
      <c r="D3" s="817" t="s">
        <v>1209</v>
      </c>
      <c r="E3" s="817" t="s">
        <v>1210</v>
      </c>
      <c r="F3" s="817" t="s">
        <v>1209</v>
      </c>
      <c r="G3" s="817" t="s">
        <v>1211</v>
      </c>
      <c r="H3" s="817" t="s">
        <v>1209</v>
      </c>
      <c r="I3" s="817" t="s">
        <v>1211</v>
      </c>
    </row>
    <row r="4" spans="1:9" ht="46.5" customHeight="1">
      <c r="A4" s="817" t="str">
        <f>项目基本情况!I1</f>
        <v>北京市房地产</v>
      </c>
      <c r="B4" s="817">
        <f>结果表!B121</f>
        <v>70.739999999999995</v>
      </c>
      <c r="C4" s="817">
        <f>结果表!C121</f>
        <v>0</v>
      </c>
      <c r="D4" s="817">
        <f ca="1">IF('数据-取费表'!E3="否",结果表!D121,'结果表 (1修多)'!D125)</f>
        <v>92</v>
      </c>
      <c r="E4" s="817">
        <f ca="1">IF('数据-取费表'!E3="否",结果表!E121,'结果表 (1修多)'!E125)</f>
        <v>13005</v>
      </c>
      <c r="F4" s="817">
        <f ca="1">IF('数据-取费表'!E3="否",结果表!F121,'结果表 (1修多)'!F125)</f>
        <v>37</v>
      </c>
      <c r="G4" s="817">
        <f ca="1">IF('数据-取费表'!E3="否",结果表!G121,'结果表 (1修多)'!G125)</f>
        <v>5230</v>
      </c>
      <c r="H4" s="817">
        <f ca="1">IF('数据-取费表'!E3="否",结果表!H121,'结果表 (1修多)'!H125)</f>
        <v>129</v>
      </c>
      <c r="I4" s="817">
        <f ca="1">IF('数据-取费表'!E3="否",结果表!I121,'结果表 (1修多)'!I125)</f>
        <v>18236</v>
      </c>
    </row>
    <row r="5" spans="1:9" ht="15">
      <c r="A5" s="3367" t="s">
        <v>1212</v>
      </c>
      <c r="B5" s="3367"/>
      <c r="C5" s="3367"/>
      <c r="D5" s="3368" t="str">
        <f ca="1">IF('数据-取费表'!E3="否",结果表!D122,'结果表 (1修多)'!D126)</f>
        <v>玖拾贰万元整</v>
      </c>
      <c r="E5" s="3368"/>
      <c r="F5" s="3368" t="str">
        <f ca="1">IF('数据-取费表'!E3="否",结果表!F122,'结果表 (1修多)'!F126)</f>
        <v>叁拾柒万元整</v>
      </c>
      <c r="G5" s="3368"/>
      <c r="H5" s="3368" t="str">
        <f ca="1">IF('数据-取费表'!E3="否",结果表!H122,'结果表 (1修多)'!H126)</f>
        <v>壹佰贰拾玖万元整</v>
      </c>
      <c r="I5" s="3368"/>
    </row>
    <row r="6" spans="1:9" ht="15.75">
      <c r="A6" s="3369" t="str">
        <f>IF('数据-取费表'!E3="否",结果表!A123,'结果表 (1修多)'!A127)</f>
        <v>估价师所知悉的法定优先受偿款</v>
      </c>
      <c r="B6" s="3369"/>
      <c r="C6" s="3369"/>
      <c r="D6" s="3369">
        <f>IF('数据-取费表'!E3="否",结果表!D123,'结果表 (1修多)'!D127)</f>
        <v>0</v>
      </c>
      <c r="E6" s="3369"/>
      <c r="F6" s="3369"/>
      <c r="G6" s="3369"/>
      <c r="H6" s="3369"/>
      <c r="I6" s="3369"/>
    </row>
    <row r="7" spans="1:9" ht="15">
      <c r="A7" s="3367" t="s">
        <v>1212</v>
      </c>
      <c r="B7" s="3367"/>
      <c r="C7" s="3367"/>
      <c r="D7" s="3375">
        <f>IF('数据-取费表'!E3="否",结果表!D124,'结果表 (1修多)'!D128)</f>
        <v>0</v>
      </c>
      <c r="E7" s="3376"/>
      <c r="F7" s="3376"/>
      <c r="G7" s="3376"/>
      <c r="H7" s="3376"/>
      <c r="I7" s="3377"/>
    </row>
    <row r="8" spans="1:9" ht="15.75">
      <c r="A8" s="3369" t="str">
        <f>IF('数据-取费表'!E3="否",结果表!A125,'结果表 (1修多)'!A129)</f>
        <v>房地产抵押价值</v>
      </c>
      <c r="B8" s="3369"/>
      <c r="C8" s="3369"/>
      <c r="D8" s="3369">
        <f ca="1">IF('数据-取费表'!E3="否",结果表!D125,'结果表 (1修多)'!D129)</f>
        <v>129</v>
      </c>
      <c r="E8" s="3369"/>
      <c r="F8" s="3369"/>
      <c r="G8" s="3369"/>
      <c r="H8" s="3369"/>
      <c r="I8" s="3369"/>
    </row>
    <row r="9" spans="1:9" ht="15">
      <c r="A9" s="3367" t="s">
        <v>1212</v>
      </c>
      <c r="B9" s="3367"/>
      <c r="C9" s="3367"/>
      <c r="D9" s="3368">
        <f ca="1">IF('数据-取费表'!E3="否",结果表!D126,'结果表 (1修多)'!D130)</f>
        <v>18236</v>
      </c>
      <c r="E9" s="3368"/>
      <c r="F9" s="3368"/>
      <c r="G9" s="3368"/>
      <c r="H9" s="3368"/>
      <c r="I9" s="3368"/>
    </row>
    <row r="10" spans="1:9" ht="15.75">
      <c r="A10" s="3369" t="str">
        <f>IF('数据-取费表'!E3="否",结果表!A127,'结果表 (1修多)'!A131)</f>
        <v/>
      </c>
      <c r="B10" s="3369"/>
      <c r="C10" s="3369"/>
      <c r="D10" s="3369" t="str">
        <f>IF('数据-取费表'!E3="否",结果表!D127,'结果表 (1修多)'!D130)</f>
        <v>——</v>
      </c>
      <c r="E10" s="3369"/>
      <c r="F10" s="3369"/>
      <c r="G10" s="3369"/>
      <c r="H10" s="3369"/>
      <c r="I10" s="3369"/>
    </row>
    <row r="11" spans="1:9" ht="15">
      <c r="A11" s="3367" t="s">
        <v>1212</v>
      </c>
      <c r="B11" s="3367"/>
      <c r="C11" s="3367"/>
      <c r="D11" s="3368" t="str">
        <f>IF('数据-取费表'!E3="否",结果表!D128,'结果表 (1修多)'!D132)</f>
        <v>——</v>
      </c>
      <c r="E11" s="3368"/>
      <c r="F11" s="3368"/>
      <c r="G11" s="3368"/>
      <c r="H11" s="3368"/>
      <c r="I11" s="3368"/>
    </row>
    <row r="12" spans="1:9" ht="15.75">
      <c r="A12" s="3369" t="str">
        <f>IF('数据-取费表'!E3="否",结果表!A129,'结果表 (1修多)'!A133)</f>
        <v/>
      </c>
      <c r="B12" s="3369"/>
      <c r="C12" s="3369"/>
      <c r="D12" s="3369" t="str">
        <f>IF('数据-取费表'!E3="否",结果表!D129,'结果表 (1修多)'!D133)</f>
        <v>——</v>
      </c>
      <c r="E12" s="3369"/>
      <c r="F12" s="3369"/>
      <c r="G12" s="3369"/>
      <c r="H12" s="3369"/>
      <c r="I12" s="3369"/>
    </row>
    <row r="13" spans="1:9" ht="15.75" thickBot="1">
      <c r="A13" s="3370" t="s">
        <v>1212</v>
      </c>
      <c r="B13" s="3370"/>
      <c r="C13" s="3370"/>
      <c r="D13" s="3371">
        <f>IF('数据-取费表'!E3="否",结果表!D130,'结果表 (1修多)'!D134)</f>
        <v>0</v>
      </c>
      <c r="E13" s="3371"/>
      <c r="F13" s="3371"/>
      <c r="G13" s="3371"/>
      <c r="H13" s="3371"/>
      <c r="I13" s="3371"/>
    </row>
    <row r="14" spans="1:9" ht="15" thickTop="1">
      <c r="A14" s="3372" t="str">
        <f>IF('数据-取费表'!E3="否",结果表!A131,'结果表 (1修多)'!A135)</f>
        <v>单位：平方米、万元、元/平方米（币种：人民币）</v>
      </c>
      <c r="B14" s="3372"/>
      <c r="C14" s="3372"/>
      <c r="D14" s="3372"/>
      <c r="E14" s="3372"/>
      <c r="F14" s="3372"/>
      <c r="G14" s="3372"/>
      <c r="H14" s="3372"/>
      <c r="I14" s="3372"/>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79" t="s">
        <v>1225</v>
      </c>
      <c r="B1" s="3379"/>
      <c r="C1" s="3379"/>
      <c r="D1" s="3379"/>
    </row>
    <row r="2" spans="1:4" ht="18">
      <c r="A2" s="3378" t="s">
        <v>1214</v>
      </c>
      <c r="B2" s="3378"/>
      <c r="C2" s="3378"/>
      <c r="D2" s="3378"/>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78" t="s">
        <v>1219</v>
      </c>
      <c r="B7" s="3378"/>
      <c r="C7" s="3378"/>
      <c r="D7" s="3378"/>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0" t="s">
        <v>2677</v>
      </c>
      <c r="B12" s="3381"/>
      <c r="C12" s="3381"/>
      <c r="D12" s="3381"/>
    </row>
    <row r="13" spans="1:4" ht="15.75">
      <c r="A13" s="33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1"/>
      <c r="C13" s="3381"/>
      <c r="D13" s="3381"/>
    </row>
    <row r="14" spans="1:4" ht="30" customHeight="1">
      <c r="A14" s="33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1"/>
      <c r="C14" s="3381"/>
      <c r="D14" s="3381"/>
    </row>
    <row r="15" spans="1:4" ht="15.75" customHeight="1">
      <c r="A15" s="3380" t="str">
        <f>IF(项目基本情况!D4="抵押","4.本次评估估价师所知悉的法定优先受偿款情况说明如下：","——")</f>
        <v>4.本次评估估价师所知悉的法定优先受偿款情况说明如下：</v>
      </c>
      <c r="B15" s="3381"/>
      <c r="C15" s="3381"/>
      <c r="D15" s="3381"/>
    </row>
    <row r="16" spans="1:4" ht="75" customHeight="1">
      <c r="A16" s="3380"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0"/>
      <c r="C16" s="3380"/>
      <c r="D16" s="3380"/>
    </row>
    <row r="17" spans="1:4" ht="63.75" customHeight="1">
      <c r="A17" s="3382" t="s">
        <v>1227</v>
      </c>
      <c r="B17" s="3382"/>
      <c r="C17" s="3382"/>
      <c r="D17" s="3382"/>
    </row>
    <row r="18" spans="1:4" ht="15.75" customHeight="1">
      <c r="A18" s="3380" t="str">
        <f>IF(项目基本情况!D4="抵押",结果表!L106,"——")</f>
        <v>本次评估不存在估价师所知悉的法定优先受偿款。</v>
      </c>
      <c r="B18" s="3380"/>
      <c r="C18" s="3380"/>
      <c r="D18" s="3380"/>
    </row>
    <row r="19" spans="1:4" ht="46.5" customHeight="1">
      <c r="A19" s="33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0"/>
      <c r="C19" s="3380"/>
      <c r="D19" s="3380"/>
    </row>
    <row r="20" spans="1:4" ht="15">
      <c r="A20" s="3382" t="s">
        <v>2678</v>
      </c>
      <c r="B20" s="3382"/>
      <c r="C20" s="3382"/>
      <c r="D20" s="3382"/>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8" t="s">
        <v>1306</v>
      </c>
      <c r="B15" s="3383" t="s">
        <v>1307</v>
      </c>
      <c r="C15" s="3384"/>
    </row>
    <row r="16" spans="1:7" ht="14.25">
      <c r="A16" s="3389"/>
      <c r="B16" s="3383" t="s">
        <v>1308</v>
      </c>
      <c r="C16" s="3384"/>
    </row>
    <row r="17" spans="1:3" ht="14.25">
      <c r="A17" s="3389"/>
      <c r="B17" s="3383" t="s">
        <v>1309</v>
      </c>
      <c r="C17" s="3384"/>
    </row>
    <row r="18" spans="1:3" ht="14.25">
      <c r="A18" s="3390"/>
      <c r="B18" s="3385" t="s">
        <v>1310</v>
      </c>
      <c r="C18" s="3384"/>
    </row>
    <row r="19" spans="1:3" ht="14.25">
      <c r="A19" s="1380" t="s">
        <v>1311</v>
      </c>
      <c r="B19" s="1381"/>
      <c r="C19" s="1382"/>
    </row>
    <row r="20" spans="1:3" ht="14.25">
      <c r="A20" s="3386" t="s">
        <v>1312</v>
      </c>
      <c r="B20" s="3385" t="s">
        <v>1313</v>
      </c>
      <c r="C20" s="3384"/>
    </row>
    <row r="21" spans="1:3" ht="14.25">
      <c r="A21" s="3386"/>
      <c r="B21" s="3385" t="s">
        <v>1314</v>
      </c>
      <c r="C21" s="3384"/>
    </row>
    <row r="22" spans="1:3" ht="14.25">
      <c r="A22" s="3386"/>
      <c r="B22" s="3385" t="s">
        <v>1315</v>
      </c>
      <c r="C22" s="3384"/>
    </row>
    <row r="23" spans="1:3" ht="14.25">
      <c r="A23" s="3386"/>
      <c r="B23" s="3387" t="s">
        <v>1316</v>
      </c>
      <c r="C23" s="1383" t="s">
        <v>1317</v>
      </c>
    </row>
    <row r="24" spans="1:3" ht="14.25">
      <c r="A24" s="3386"/>
      <c r="B24" s="3387"/>
      <c r="C24" s="1383" t="s">
        <v>1318</v>
      </c>
    </row>
    <row r="25" spans="1:3" ht="14.25">
      <c r="A25" s="3386"/>
      <c r="B25" s="3387"/>
      <c r="C25" s="1383" t="s">
        <v>1319</v>
      </c>
    </row>
    <row r="26" spans="1:3" ht="14.25">
      <c r="A26" s="3386"/>
      <c r="B26" s="3387"/>
      <c r="C26" s="1383" t="s">
        <v>1320</v>
      </c>
    </row>
    <row r="27" spans="1:3" ht="14.25">
      <c r="A27" s="3386"/>
      <c r="B27" s="3387"/>
      <c r="C27" s="1383" t="s">
        <v>1321</v>
      </c>
    </row>
    <row r="28" spans="1:3" ht="14.25">
      <c r="A28" s="3386"/>
      <c r="B28" s="3387"/>
      <c r="C28" s="1383" t="s">
        <v>1322</v>
      </c>
    </row>
    <row r="29" spans="1:3" ht="14.25">
      <c r="A29" s="3386"/>
      <c r="B29" s="3387"/>
      <c r="C29" s="1383" t="s">
        <v>1323</v>
      </c>
    </row>
    <row r="30" spans="1:3" ht="14.25">
      <c r="A30" s="3386"/>
      <c r="B30" s="3387"/>
      <c r="C30" s="1383" t="s">
        <v>1324</v>
      </c>
    </row>
    <row r="31" spans="1:3" ht="14.25">
      <c r="A31" s="3386"/>
      <c r="B31" s="338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44782</v>
      </c>
      <c r="C2" s="3032" t="s">
        <v>747</v>
      </c>
      <c r="D2" s="3032"/>
      <c r="E2" s="3032"/>
      <c r="F2" s="3029"/>
      <c r="G2" s="3029"/>
      <c r="H2" s="3029"/>
    </row>
    <row r="3" spans="1:8" ht="24" customHeight="1">
      <c r="A3" s="3033" t="s">
        <v>748</v>
      </c>
      <c r="B3" s="3034" t="s">
        <v>749</v>
      </c>
      <c r="C3" s="3034" t="s">
        <v>750</v>
      </c>
      <c r="D3" s="3035" t="s">
        <v>772</v>
      </c>
      <c r="E3" s="3048" t="s">
        <v>751</v>
      </c>
      <c r="F3" s="1270" t="s">
        <v>752</v>
      </c>
      <c r="G3" s="3034" t="s">
        <v>750</v>
      </c>
      <c r="H3" s="3035" t="s">
        <v>773</v>
      </c>
    </row>
    <row r="4" spans="1:8" ht="24" customHeight="1">
      <c r="A4" s="1270" t="s">
        <v>753</v>
      </c>
      <c r="B4" s="1270">
        <f ca="1">IF(C4&lt;B2,"已过期",1119970066)</f>
        <v>1119970066</v>
      </c>
      <c r="C4" s="3036">
        <v>44876</v>
      </c>
      <c r="D4" s="3047" t="str">
        <f ca="1">A4&amp;"（注册号："&amp;B4&amp;"）"</f>
        <v>梁津（注册号：1119970066）</v>
      </c>
      <c r="E4" s="3049" t="s">
        <v>753</v>
      </c>
      <c r="F4" s="1270">
        <f ca="1">IF(G4&lt;B2,"已过期",96010014)</f>
        <v>96010014</v>
      </c>
      <c r="G4" s="3037">
        <v>47118</v>
      </c>
      <c r="H4" s="3038" t="str">
        <f ca="1">E4&amp;"（注册号："&amp;F4&amp;"）"</f>
        <v>梁津（注册号：96010014）</v>
      </c>
    </row>
    <row r="5" spans="1:8" ht="24" customHeight="1">
      <c r="A5" s="1270" t="s">
        <v>754</v>
      </c>
      <c r="B5" s="1270">
        <f ca="1">IF(C5&lt;B2,"已过期",1119970111)</f>
        <v>1119970111</v>
      </c>
      <c r="C5" s="3036">
        <v>44876</v>
      </c>
      <c r="D5" s="3047" t="str">
        <f t="shared" ref="D5:D14" ca="1" si="0">A5&amp;"（注册号："&amp;B5&amp;"）"</f>
        <v>叶凌（注册号：1119970111）</v>
      </c>
      <c r="E5" s="3049" t="s">
        <v>754</v>
      </c>
      <c r="F5" s="1270">
        <f ca="1">IF(G5&lt;B2,"已过期",94010078)</f>
        <v>94010078</v>
      </c>
      <c r="G5" s="3037">
        <v>46387</v>
      </c>
      <c r="H5" s="3038" t="str">
        <f t="shared" ref="H5:H16" ca="1" si="1">E5&amp;"（注册号："&amp;F5&amp;"）"</f>
        <v>叶凌（注册号：94010078）</v>
      </c>
    </row>
    <row r="6" spans="1:8" ht="24" customHeight="1">
      <c r="A6" s="1270" t="s">
        <v>755</v>
      </c>
      <c r="B6" s="1270" t="str">
        <f ca="1">IF(C6&lt;B2,"已过期",1120050019)</f>
        <v>已过期</v>
      </c>
      <c r="C6" s="3036">
        <v>44395</v>
      </c>
      <c r="D6" s="3047" t="str">
        <f t="shared" ca="1" si="0"/>
        <v>王鹏（注册号：已过期）</v>
      </c>
      <c r="E6" s="3049" t="s">
        <v>755</v>
      </c>
      <c r="F6" s="1270">
        <f ca="1">IF(G6&lt;B2,"已过期",2002110030)</f>
        <v>2002110030</v>
      </c>
      <c r="G6" s="3037">
        <v>46387</v>
      </c>
      <c r="H6" s="3038" t="str">
        <f t="shared" ca="1" si="1"/>
        <v>王鹏（注册号：2002110030）</v>
      </c>
    </row>
    <row r="7" spans="1:8" ht="24" customHeight="1">
      <c r="A7" s="1270" t="s">
        <v>756</v>
      </c>
      <c r="B7" s="1270">
        <f ca="1">IF(C7&lt;B2,"已过期",1120000080)</f>
        <v>1120000080</v>
      </c>
      <c r="C7" s="3036">
        <v>44876</v>
      </c>
      <c r="D7" s="3047" t="str">
        <f t="shared" ca="1" si="0"/>
        <v>欧红伟（注册号：1120000080）</v>
      </c>
      <c r="E7" s="3049" t="s">
        <v>756</v>
      </c>
      <c r="F7" s="1270">
        <f ca="1">IF(G7&lt;B2,"已过期",2000110082)</f>
        <v>2000110082</v>
      </c>
      <c r="G7" s="3037">
        <v>46387</v>
      </c>
      <c r="H7" s="3038" t="str">
        <f t="shared" ca="1" si="1"/>
        <v>欧红伟（注册号：2000110082）</v>
      </c>
    </row>
    <row r="8" spans="1:8" ht="24" customHeight="1">
      <c r="A8" s="1270" t="s">
        <v>757</v>
      </c>
      <c r="B8" s="1270">
        <f ca="1">IF(C8&lt;B2,"已过期",1419970001)</f>
        <v>1419970001</v>
      </c>
      <c r="C8" s="3036">
        <v>44899</v>
      </c>
      <c r="D8" s="3047" t="str">
        <f t="shared" ca="1" si="0"/>
        <v>吴薇（注册号：1419970001）</v>
      </c>
      <c r="E8" s="3049" t="s">
        <v>757</v>
      </c>
      <c r="F8" s="1270">
        <f ca="1">IF(G8&lt;B2,"已过期",2002110125)</f>
        <v>2002110125</v>
      </c>
      <c r="G8" s="3037">
        <v>47118</v>
      </c>
      <c r="H8" s="3038" t="str">
        <f t="shared" ca="1" si="1"/>
        <v>吴薇（注册号：2002110125）</v>
      </c>
    </row>
    <row r="9" spans="1:8" ht="24" customHeight="1">
      <c r="A9" s="1270" t="s">
        <v>758</v>
      </c>
      <c r="B9" s="1270" t="str">
        <f ca="1">IF(C9&lt;B2,"已过期",1120060040)</f>
        <v>已过期</v>
      </c>
      <c r="C9" s="3039">
        <v>44554</v>
      </c>
      <c r="D9" s="3047" t="str">
        <f t="shared" ca="1" si="0"/>
        <v>陈颖（注册号：已过期）</v>
      </c>
      <c r="E9" s="3049" t="s">
        <v>758</v>
      </c>
      <c r="F9" s="1270">
        <f ca="1">IF(G9&lt;B2,"已过期",2004110096)</f>
        <v>2004110096</v>
      </c>
      <c r="G9" s="3037">
        <v>47118</v>
      </c>
      <c r="H9" s="3038" t="str">
        <f t="shared" ca="1" si="1"/>
        <v>陈颖（注册号：2004110096）</v>
      </c>
    </row>
    <row r="10" spans="1:8" ht="24" customHeight="1">
      <c r="A10" s="1270" t="s">
        <v>759</v>
      </c>
      <c r="B10" s="1270" t="str">
        <f ca="1">IF(C10&lt;B2,"已过期",1120100036)</f>
        <v>已过期</v>
      </c>
      <c r="C10" s="3039">
        <v>44675</v>
      </c>
      <c r="D10" s="3047" t="str">
        <f t="shared" ca="1" si="0"/>
        <v>崔锴（注册号：已过期）</v>
      </c>
      <c r="E10" s="3049" t="s">
        <v>759</v>
      </c>
      <c r="F10" s="1270">
        <f ca="1">IF(G10&lt;B2,"已过期",2010110070)</f>
        <v>2010110070</v>
      </c>
      <c r="G10" s="3037">
        <v>47907</v>
      </c>
      <c r="H10" s="3038" t="str">
        <f t="shared" ca="1" si="1"/>
        <v>崔锴（注册号：2010110070）</v>
      </c>
    </row>
    <row r="11" spans="1:8" ht="24" customHeight="1">
      <c r="A11" s="1270" t="s">
        <v>760</v>
      </c>
      <c r="B11" s="1270">
        <f ca="1">IF(C11&lt;B2,"已过期",1120070131)</f>
        <v>1120070131</v>
      </c>
      <c r="C11" s="3036">
        <v>44849</v>
      </c>
      <c r="D11" s="3047" t="str">
        <f t="shared" ca="1" si="0"/>
        <v>郑燚（注册号：1120070131）</v>
      </c>
      <c r="E11" s="3049" t="s">
        <v>760</v>
      </c>
      <c r="F11" s="1270">
        <f ca="1">IF(G11&lt;B2,"已过期",2014110011)</f>
        <v>2014110011</v>
      </c>
      <c r="G11" s="3037">
        <v>49302</v>
      </c>
      <c r="H11" s="3038" t="str">
        <f t="shared" ca="1" si="1"/>
        <v>郑燚（注册号：2014110011）</v>
      </c>
    </row>
    <row r="12" spans="1:8" ht="24" customHeight="1">
      <c r="A12" s="1270" t="s">
        <v>2655</v>
      </c>
      <c r="B12" s="1270">
        <f ca="1">IF(C12&lt;B2,"已过期",1120040230)</f>
        <v>1120040230</v>
      </c>
      <c r="C12" s="3039">
        <v>44864</v>
      </c>
      <c r="D12" s="3047" t="str">
        <f t="shared" ca="1" si="0"/>
        <v>苏海（注册号：1120040230）</v>
      </c>
      <c r="E12" s="3049" t="s">
        <v>2655</v>
      </c>
      <c r="F12" s="1270">
        <f ca="1">IF(G12&lt;B2,"已过期",98030020)</f>
        <v>98030020</v>
      </c>
      <c r="G12" s="3037">
        <v>47118</v>
      </c>
      <c r="H12" s="3038" t="str">
        <f t="shared" ca="1" si="1"/>
        <v>苏海（注册号：98030020）</v>
      </c>
    </row>
    <row r="13" spans="1:8" ht="24" customHeight="1">
      <c r="A13" s="1270" t="s">
        <v>761</v>
      </c>
      <c r="B13" s="1270" t="str">
        <f ca="1">IF(C13&lt;B2,"已过期",1120020033)</f>
        <v>已过期</v>
      </c>
      <c r="C13" s="3036">
        <v>44339</v>
      </c>
      <c r="D13" s="3047" t="str">
        <f t="shared" ca="1" si="0"/>
        <v>刘敬东（注册号：已过期）</v>
      </c>
      <c r="E13" s="3049" t="s">
        <v>761</v>
      </c>
      <c r="F13" s="1270">
        <f ca="1">IF(G13&lt;B2,"已过期",2000110137)</f>
        <v>2000110137</v>
      </c>
      <c r="G13" s="3037">
        <v>46387</v>
      </c>
      <c r="H13" s="3038" t="str">
        <f t="shared" ca="1" si="1"/>
        <v>刘敬东（注册号：2000110137）</v>
      </c>
    </row>
    <row r="14" spans="1:8" ht="24" customHeight="1">
      <c r="A14" s="1270" t="s">
        <v>2670</v>
      </c>
      <c r="B14" s="1270">
        <f ca="1">IF(C14&lt;B2,"已过期",1119980106)</f>
        <v>1119980106</v>
      </c>
      <c r="C14" s="3039">
        <v>44969</v>
      </c>
      <c r="D14" s="3047" t="str">
        <f t="shared" ca="1" si="0"/>
        <v>刘俊财（注册号：1119980106）</v>
      </c>
      <c r="E14" s="3049" t="s">
        <v>2770</v>
      </c>
      <c r="F14" s="1270">
        <f ca="1">IF(G14&lt;B2,"已过期",96010063)</f>
        <v>96010063</v>
      </c>
      <c r="G14" s="3037">
        <v>47483</v>
      </c>
      <c r="H14" s="3038" t="str">
        <f t="shared" ca="1" si="1"/>
        <v>刘俊财（注册号：96010063）</v>
      </c>
    </row>
    <row r="15" spans="1:8" ht="24" customHeight="1">
      <c r="A15" s="1270"/>
      <c r="B15" s="1270"/>
      <c r="C15" s="3039"/>
      <c r="D15" s="3047" t="str">
        <f t="shared" ref="D15" si="2">A15&amp;"（注册号："&amp;B15&amp;"）"</f>
        <v>（注册号：）</v>
      </c>
      <c r="E15" s="3049" t="s">
        <v>2774</v>
      </c>
      <c r="F15" s="1270">
        <f ca="1">IF(G15&lt;B2,"已过期",2011110090)</f>
        <v>2011110090</v>
      </c>
      <c r="G15" s="3037">
        <v>48302</v>
      </c>
      <c r="H15" s="3038" t="str">
        <f t="shared" ref="H15" ca="1" si="3">E15&amp;"（注册号："&amp;F15&amp;"）"</f>
        <v>赵雯（注册号：2011110090）</v>
      </c>
    </row>
    <row r="16" spans="1:8" s="3027" customFormat="1" ht="24" customHeight="1">
      <c r="A16" s="1270"/>
      <c r="B16" s="1270"/>
      <c r="C16" s="1270"/>
      <c r="D16" s="3047" t="str">
        <f>A16&amp;"（注册号："&amp;B16&amp;"）"</f>
        <v>（注册号：）</v>
      </c>
      <c r="E16" s="3049"/>
      <c r="F16" s="1270"/>
      <c r="G16" s="1270"/>
      <c r="H16" s="3040"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5"/>
      <c r="E18" s="3393" t="s">
        <v>764</v>
      </c>
      <c r="F18" s="3392"/>
      <c r="G18" s="3392"/>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2771</v>
      </c>
      <c r="B20" s="3042" t="s">
        <v>2772</v>
      </c>
      <c r="C20" s="3037">
        <v>44820</v>
      </c>
      <c r="D20" s="3050"/>
      <c r="E20" s="3052" t="s">
        <v>768</v>
      </c>
      <c r="F20" s="3042" t="s">
        <v>769</v>
      </c>
      <c r="G20" s="3043">
        <v>44377</v>
      </c>
    </row>
    <row r="21" spans="1:8" s="3025" customFormat="1" ht="24" customHeight="1">
      <c r="A21" s="3042"/>
      <c r="B21" s="3042"/>
      <c r="C21" s="3044"/>
      <c r="D21" s="3051"/>
      <c r="E21" s="3052" t="s">
        <v>770</v>
      </c>
      <c r="F21" s="3045" t="s">
        <v>2669</v>
      </c>
      <c r="G21" s="3046">
        <v>44012</v>
      </c>
    </row>
    <row r="22" spans="1:8" ht="24" customHeight="1">
      <c r="C22" s="3028"/>
      <c r="D22" s="3028"/>
      <c r="E22" s="3053"/>
      <c r="F22" s="3054"/>
      <c r="G22" s="3055"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2972</v>
      </c>
      <c r="C20" s="1389"/>
    </row>
    <row r="21" spans="1:3">
      <c r="A21" s="1388" t="s">
        <v>1448</v>
      </c>
      <c r="B21" s="1388" t="s">
        <v>3009</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为估价委托人在向中国银行办理贷款手续过程中，确定房地产抵押贷款额度提供参考依据而评估房地产抵押价值。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中国银行办理贷款手续。中国银行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row>
    <row r="54" spans="1:4">
      <c r="A54" s="3394"/>
      <c r="B54" s="9" t="s">
        <v>1462</v>
      </c>
      <c r="C54" s="9" t="s">
        <v>1463</v>
      </c>
    </row>
    <row r="55" spans="1:4">
      <c r="A55" s="3394"/>
      <c r="B55" s="9" t="s">
        <v>1464</v>
      </c>
      <c r="C55" s="9" t="s">
        <v>1465</v>
      </c>
    </row>
    <row r="56" spans="1:4">
      <c r="A56" s="3394"/>
      <c r="B56" s="9" t="s">
        <v>1466</v>
      </c>
      <c r="C56" s="9" t="s">
        <v>1467</v>
      </c>
    </row>
    <row r="57" spans="1:4">
      <c r="A57" s="339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2022-08-09T08:25:13Z</dcterms:modified>
</cp:coreProperties>
</file>