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比较法-工业" sheetId="37" r:id="rId25"/>
    <sheet name="收益法配套办公" sheetId="77" state="hidden"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Sheet1" sheetId="79" r:id="rId47"/>
  </sheets>
  <externalReferences>
    <externalReference r:id="rId48"/>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4"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收益法工业!$A$1:$AK$69</definedName>
    <definedName name="_xlnm.Print_Area" localSheetId="25">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70" i="15" l="1"/>
  <c r="AC22" i="1" l="1"/>
  <c r="AD22" i="1" s="1"/>
  <c r="L26" i="1"/>
  <c r="L21" i="1"/>
  <c r="I41" i="37" l="1"/>
  <c r="G41" i="37"/>
  <c r="E41" i="37"/>
  <c r="AD6" i="1"/>
  <c r="K21" i="1"/>
  <c r="M26" i="1" s="1"/>
  <c r="N6" i="1" s="1"/>
  <c r="I13" i="3"/>
  <c r="M21" i="1" l="1"/>
  <c r="L6" i="1" s="1"/>
  <c r="C5" i="79"/>
  <c r="F15" i="15"/>
  <c r="F17" i="15"/>
  <c r="F18" i="15"/>
  <c r="F20" i="15"/>
  <c r="F23" i="15"/>
  <c r="F21" i="15"/>
  <c r="F33" i="15"/>
  <c r="F61" i="15" s="1"/>
  <c r="F15" i="77"/>
  <c r="F17" i="77"/>
  <c r="F18" i="77"/>
  <c r="F20" i="77"/>
  <c r="F23" i="77"/>
  <c r="F21" i="77"/>
  <c r="F33" i="77"/>
  <c r="F61" i="77" s="1"/>
  <c r="Q72" i="77"/>
  <c r="Q59" i="77"/>
  <c r="K59" i="77"/>
  <c r="P74" i="77" s="1"/>
  <c r="Q58" i="77"/>
  <c r="Q51" i="77"/>
  <c r="J50" i="77"/>
  <c r="M47" i="77"/>
  <c r="D46" i="77"/>
  <c r="D23" i="77"/>
  <c r="M19" i="77"/>
  <c r="Y6" i="1"/>
  <c r="D24" i="77"/>
  <c r="P61" i="77"/>
  <c r="D22" i="77"/>
  <c r="C34" i="34"/>
  <c r="F19" i="6"/>
  <c r="C30" i="37" s="1"/>
  <c r="AN13" i="3"/>
  <c r="I5" i="71"/>
  <c r="I4" i="71" s="1"/>
  <c r="AD3" i="71" s="1"/>
  <c r="L5" i="71"/>
  <c r="Q5" i="71" s="1"/>
  <c r="K5" i="71"/>
  <c r="J5" i="71"/>
  <c r="J4" i="71" s="1"/>
  <c r="O5" i="71"/>
  <c r="L4"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A120" i="9"/>
  <c r="H2" i="52"/>
  <c r="A1" i="52"/>
  <c r="A3" i="53"/>
  <c r="Q6" i="71"/>
  <c r="P6" i="71"/>
  <c r="O6" i="71"/>
  <c r="N6"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7" i="71"/>
  <c r="P7" i="71"/>
  <c r="Q7" i="71"/>
  <c r="N7" i="71"/>
  <c r="AD5" i="71"/>
  <c r="AE5" i="71"/>
  <c r="AF5" i="71" s="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E111" i="9"/>
  <c r="A126" i="9"/>
  <c r="E109" i="9"/>
  <c r="A124" i="9"/>
  <c r="B44" i="72"/>
  <c r="B42" i="72"/>
  <c r="B69" i="72"/>
  <c r="B68" i="72"/>
  <c r="B63" i="72"/>
  <c r="B62" i="72"/>
  <c r="B16" i="72"/>
  <c r="B60" i="72"/>
  <c r="B59" i="72"/>
  <c r="B58" i="72"/>
  <c r="B66" i="72"/>
  <c r="B12" i="72"/>
  <c r="B10" i="72"/>
  <c r="C53" i="10"/>
  <c r="B51" i="10"/>
  <c r="A18" i="51"/>
  <c r="B13" i="72" s="1"/>
  <c r="B49" i="48"/>
  <c r="B5" i="72" s="1"/>
  <c r="I19" i="43"/>
  <c r="D69" i="71"/>
  <c r="F68" i="71"/>
  <c r="F67" i="71" s="1"/>
  <c r="E68" i="71"/>
  <c r="E67" i="71"/>
  <c r="E66" i="71" s="1"/>
  <c r="C68" i="71"/>
  <c r="D68" i="71" s="1"/>
  <c r="B68" i="71"/>
  <c r="B67" i="71" s="1"/>
  <c r="F66" i="71"/>
  <c r="B66" i="71"/>
  <c r="D65" i="71"/>
  <c r="F64" i="71"/>
  <c r="F63" i="71" s="1"/>
  <c r="F62" i="71" s="1"/>
  <c r="E64" i="71"/>
  <c r="E63" i="71"/>
  <c r="E62" i="71" s="1"/>
  <c r="C64" i="71"/>
  <c r="B64" i="71"/>
  <c r="B63" i="71" s="1"/>
  <c r="B62"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F47" i="71"/>
  <c r="D45" i="71"/>
  <c r="Q44" i="71"/>
  <c r="P44" i="71"/>
  <c r="O44" i="71"/>
  <c r="N44" i="71"/>
  <c r="Q43" i="71"/>
  <c r="P43" i="71"/>
  <c r="O43" i="71"/>
  <c r="N43" i="71"/>
  <c r="Q42" i="71"/>
  <c r="P42" i="71"/>
  <c r="O42" i="71"/>
  <c r="N42" i="71"/>
  <c r="Q41" i="71"/>
  <c r="F42" i="71" s="1"/>
  <c r="F43" i="71" s="1"/>
  <c r="F44" i="71" s="1"/>
  <c r="V44" i="71" s="1"/>
  <c r="P41" i="71"/>
  <c r="E42" i="71" s="1"/>
  <c r="O41" i="71"/>
  <c r="C42" i="71"/>
  <c r="C43" i="71" s="1"/>
  <c r="C44" i="71" s="1"/>
  <c r="D44" i="71" s="1"/>
  <c r="N41" i="71"/>
  <c r="B42" i="71"/>
  <c r="D41" i="71"/>
  <c r="Q40" i="71"/>
  <c r="P40" i="71"/>
  <c r="O40" i="71"/>
  <c r="N40" i="71"/>
  <c r="Q39" i="71"/>
  <c r="P39" i="71"/>
  <c r="O39" i="71"/>
  <c r="N39" i="71"/>
  <c r="Q38" i="71"/>
  <c r="P38" i="71"/>
  <c r="O38" i="71"/>
  <c r="N38" i="71"/>
  <c r="Q37" i="71"/>
  <c r="F38" i="71" s="1"/>
  <c r="F39" i="71" s="1"/>
  <c r="F40" i="71" s="1"/>
  <c r="V40" i="71" s="1"/>
  <c r="P37" i="71"/>
  <c r="E38" i="71" s="1"/>
  <c r="E39" i="71" s="1"/>
  <c r="O37" i="71"/>
  <c r="C38" i="71" s="1"/>
  <c r="C39" i="71" s="1"/>
  <c r="D39"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C31" i="71" s="1"/>
  <c r="D31"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D22" i="71" s="1"/>
  <c r="N21" i="71"/>
  <c r="B22" i="71" s="1"/>
  <c r="B23" i="71" s="1"/>
  <c r="B24" i="71" s="1"/>
  <c r="S24" i="71" s="1"/>
  <c r="D21" i="71"/>
  <c r="Q20" i="71"/>
  <c r="P20" i="71"/>
  <c r="O20" i="71"/>
  <c r="N20" i="71"/>
  <c r="AB19" i="71"/>
  <c r="Q19" i="71"/>
  <c r="P19" i="71"/>
  <c r="O19" i="71"/>
  <c r="Y19" i="71" s="1"/>
  <c r="Z19" i="71"/>
  <c r="N19" i="71"/>
  <c r="X19" i="71"/>
  <c r="Q18" i="71"/>
  <c r="AB18" i="71"/>
  <c r="P18" i="71"/>
  <c r="O18" i="71"/>
  <c r="Y18" i="71" s="1"/>
  <c r="Z18" i="71" s="1"/>
  <c r="N18" i="71"/>
  <c r="Q17" i="71"/>
  <c r="F18" i="71" s="1"/>
  <c r="F19" i="71" s="1"/>
  <c r="F20" i="71" s="1"/>
  <c r="P17" i="71"/>
  <c r="O17" i="71"/>
  <c r="C18" i="71" s="1"/>
  <c r="D18" i="71" s="1"/>
  <c r="N17" i="71"/>
  <c r="D17" i="71"/>
  <c r="Q16" i="71"/>
  <c r="AB16" i="71"/>
  <c r="P16" i="71"/>
  <c r="O16" i="71"/>
  <c r="N16" i="71"/>
  <c r="Q15" i="71"/>
  <c r="AB15" i="71" s="1"/>
  <c r="P15" i="71"/>
  <c r="O15" i="71"/>
  <c r="N15" i="71"/>
  <c r="Q14" i="71"/>
  <c r="AB14" i="71" s="1"/>
  <c r="P14" i="71"/>
  <c r="O14" i="71"/>
  <c r="N14" i="71"/>
  <c r="Q13" i="71"/>
  <c r="F14" i="71" s="1"/>
  <c r="P13" i="71"/>
  <c r="O13" i="71"/>
  <c r="N13" i="71"/>
  <c r="D13" i="71"/>
  <c r="Q12" i="71"/>
  <c r="P12" i="71"/>
  <c r="O12" i="71"/>
  <c r="N12" i="71"/>
  <c r="Q11" i="71"/>
  <c r="AB11" i="71" s="1"/>
  <c r="P11" i="71"/>
  <c r="O11" i="71"/>
  <c r="N11" i="71"/>
  <c r="Q10" i="71"/>
  <c r="AB10" i="71" s="1"/>
  <c r="P10" i="71"/>
  <c r="O10" i="71"/>
  <c r="N10" i="71"/>
  <c r="Q9" i="71"/>
  <c r="P9" i="71"/>
  <c r="O9" i="71"/>
  <c r="N9" i="71"/>
  <c r="D9" i="71"/>
  <c r="O8" i="71"/>
  <c r="N8" i="71"/>
  <c r="B8" i="71" s="1"/>
  <c r="S8" i="71" s="1"/>
  <c r="B10" i="71"/>
  <c r="B11" i="71" s="1"/>
  <c r="E10" i="71"/>
  <c r="E11" i="71" s="1"/>
  <c r="E12" i="71" s="1"/>
  <c r="U12" i="71" s="1"/>
  <c r="B14" i="71"/>
  <c r="B15" i="71" s="1"/>
  <c r="B18" i="71"/>
  <c r="B19" i="71" s="1"/>
  <c r="B20" i="71" s="1"/>
  <c r="S20" i="71" s="1"/>
  <c r="X17" i="71"/>
  <c r="E18" i="71"/>
  <c r="E19" i="71"/>
  <c r="N48" i="71"/>
  <c r="E14" i="71"/>
  <c r="E15" i="71" s="1"/>
  <c r="E16" i="71" s="1"/>
  <c r="U16" i="71" s="1"/>
  <c r="C10" i="71"/>
  <c r="X11" i="71"/>
  <c r="C14" i="71"/>
  <c r="AB13" i="71"/>
  <c r="AA15" i="71"/>
  <c r="X16" i="71"/>
  <c r="AA16" i="71"/>
  <c r="AB17" i="71"/>
  <c r="X18" i="71"/>
  <c r="AA18" i="71"/>
  <c r="C8" i="71"/>
  <c r="T8" i="71" s="1"/>
  <c r="B7" i="71"/>
  <c r="B6" i="71" s="1"/>
  <c r="X8" i="71"/>
  <c r="D10" i="71"/>
  <c r="C19" i="71"/>
  <c r="D19" i="71" s="1"/>
  <c r="C23" i="71"/>
  <c r="D23" i="71" s="1"/>
  <c r="C27" i="71"/>
  <c r="D27" i="71" s="1"/>
  <c r="D30" i="71"/>
  <c r="P8" i="71"/>
  <c r="E40" i="71"/>
  <c r="U40" i="71" s="1"/>
  <c r="U48" i="71"/>
  <c r="E47" i="71"/>
  <c r="Q8" i="71"/>
  <c r="AB7" i="71" s="1"/>
  <c r="D42" i="71"/>
  <c r="T48" i="71"/>
  <c r="O48" i="71"/>
  <c r="D48" i="71"/>
  <c r="C47" i="71"/>
  <c r="C46" i="71" s="1"/>
  <c r="D46" i="71" s="1"/>
  <c r="Q48" i="71"/>
  <c r="C51" i="71"/>
  <c r="C50" i="71" s="1"/>
  <c r="D50" i="71" s="1"/>
  <c r="E51" i="71"/>
  <c r="E50" i="71" s="1"/>
  <c r="D52" i="71"/>
  <c r="C55" i="71"/>
  <c r="E55" i="71"/>
  <c r="E54" i="71" s="1"/>
  <c r="D56" i="71"/>
  <c r="C59" i="71"/>
  <c r="D59" i="71" s="1"/>
  <c r="E59" i="71"/>
  <c r="E58" i="71" s="1"/>
  <c r="D60" i="71"/>
  <c r="C67" i="71"/>
  <c r="D67" i="71" s="1"/>
  <c r="F8" i="71"/>
  <c r="F7" i="71" s="1"/>
  <c r="F6" i="71" s="1"/>
  <c r="E8" i="71"/>
  <c r="E7" i="71" s="1"/>
  <c r="E6" i="71" s="1"/>
  <c r="D8" i="71"/>
  <c r="U8" i="71" s="1"/>
  <c r="O47" i="71"/>
  <c r="D43" i="71"/>
  <c r="D55" i="71"/>
  <c r="C54" i="71"/>
  <c r="D54" i="71" s="1"/>
  <c r="C66" i="71"/>
  <c r="D66" i="71" s="1"/>
  <c r="C58" i="71"/>
  <c r="D58" i="71" s="1"/>
  <c r="D51" i="71"/>
  <c r="C40" i="71"/>
  <c r="D40" i="71" s="1"/>
  <c r="P47" i="71"/>
  <c r="E46" i="71"/>
  <c r="C32" i="71"/>
  <c r="D32" i="71" s="1"/>
  <c r="C24" i="71"/>
  <c r="D24" i="71" s="1"/>
  <c r="C20" i="71"/>
  <c r="D20" i="71" s="1"/>
  <c r="P45" i="71"/>
  <c r="P46" i="71"/>
  <c r="T24" i="71"/>
  <c r="T4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S21" i="34"/>
  <c r="H25" i="40"/>
  <c r="AB25" i="40" s="1"/>
  <c r="J25" i="40"/>
  <c r="AC25" i="40" s="1"/>
  <c r="F103" i="39"/>
  <c r="H29" i="39"/>
  <c r="AB29" i="39" s="1"/>
  <c r="G103" i="39"/>
  <c r="J29" i="39"/>
  <c r="AC29" i="39" s="1"/>
  <c r="J18" i="36"/>
  <c r="AC18" i="36" s="1"/>
  <c r="H18" i="35"/>
  <c r="AB18" i="35" s="1"/>
  <c r="J18" i="35"/>
  <c r="H21" i="37"/>
  <c r="F21" i="37"/>
  <c r="AA21" i="37" s="1"/>
  <c r="H21" i="34"/>
  <c r="AB21" i="34" s="1"/>
  <c r="H21" i="33"/>
  <c r="U21" i="33" s="1"/>
  <c r="F21" i="33"/>
  <c r="E83" i="21"/>
  <c r="F83" i="21" s="1"/>
  <c r="G83" i="21" s="1"/>
  <c r="H1" i="69"/>
  <c r="U25" i="40"/>
  <c r="W29" i="39"/>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AC21" i="21" s="1"/>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K100" i="43"/>
  <c r="B48" i="43"/>
  <c r="B84" i="43"/>
  <c r="B83" i="43"/>
  <c r="B72" i="43"/>
  <c r="B61" i="43"/>
  <c r="B50"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A12" i="1"/>
  <c r="A13" i="1"/>
  <c r="A6" i="1"/>
  <c r="G1" i="15" s="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c r="H59" i="40"/>
  <c r="I59" i="40"/>
  <c r="C59" i="40" s="1"/>
  <c r="H58" i="40"/>
  <c r="I58" i="40" s="1"/>
  <c r="C58" i="40"/>
  <c r="H57" i="40"/>
  <c r="I57" i="40"/>
  <c r="C57" i="40" s="1"/>
  <c r="H56" i="40"/>
  <c r="I56" i="40" s="1"/>
  <c r="C56" i="40"/>
  <c r="H55" i="40"/>
  <c r="I55" i="40"/>
  <c r="C55" i="40" s="1"/>
  <c r="H54" i="40"/>
  <c r="I54" i="40" s="1"/>
  <c r="C54" i="40"/>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M19" i="15"/>
  <c r="BR13" i="3"/>
  <c r="M10" i="1"/>
  <c r="O10" i="1"/>
  <c r="B22" i="1"/>
  <c r="E1" i="73" s="1"/>
  <c r="K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D24" i="15"/>
  <c r="O8" i="1"/>
  <c r="P8"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D3" i="35"/>
  <c r="E59" i="9"/>
  <c r="N55" i="9"/>
  <c r="K55" i="9"/>
  <c r="F59" i="9"/>
  <c r="O55" i="9" s="1"/>
  <c r="N54" i="9"/>
  <c r="N53" i="9"/>
  <c r="E48" i="9"/>
  <c r="N52" i="9"/>
  <c r="F56" i="9"/>
  <c r="O54" i="9" s="1"/>
  <c r="D101" i="9"/>
  <c r="C101" i="9"/>
  <c r="H104" i="9"/>
  <c r="D10" i="53" s="1"/>
  <c r="B26" i="72" s="1"/>
  <c r="C30" i="40"/>
  <c r="C28" i="40"/>
  <c r="C23" i="39"/>
  <c r="C19" i="40"/>
  <c r="D27" i="9"/>
  <c r="D30" i="9"/>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s="1"/>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c r="B73" i="35"/>
  <c r="H23" i="35"/>
  <c r="U23" i="35" s="1"/>
  <c r="B57" i="35"/>
  <c r="B61" i="35"/>
  <c r="B59" i="35"/>
  <c r="H12" i="35" s="1"/>
  <c r="B131" i="34"/>
  <c r="B129" i="34"/>
  <c r="B127" i="34"/>
  <c r="B99" i="34"/>
  <c r="B97" i="34"/>
  <c r="B95" i="34"/>
  <c r="B93" i="34"/>
  <c r="B75" i="34"/>
  <c r="B73" i="34"/>
  <c r="B71" i="34"/>
  <c r="J12"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D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s="1"/>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AA41" i="21"/>
  <c r="J45" i="39"/>
  <c r="W45" i="39" s="1"/>
  <c r="F36" i="39"/>
  <c r="S36" i="39" s="1"/>
  <c r="H36" i="39"/>
  <c r="AB36" i="39" s="1"/>
  <c r="J35" i="39"/>
  <c r="AC35" i="39" s="1"/>
  <c r="J36" i="39"/>
  <c r="AC36" i="39" s="1"/>
  <c r="W40" i="39"/>
  <c r="W25" i="37"/>
  <c r="W31" i="37"/>
  <c r="E103" i="37"/>
  <c r="F103" i="37" s="1"/>
  <c r="G103" i="37" s="1"/>
  <c r="H103" i="37" s="1"/>
  <c r="I103" i="37" s="1"/>
  <c r="J103" i="37" s="1"/>
  <c r="K103" i="37" s="1"/>
  <c r="L103" i="37" s="1"/>
  <c r="M103" i="37" s="1"/>
  <c r="F39" i="37"/>
  <c r="S39" i="37" s="1"/>
  <c r="U14" i="37"/>
  <c r="F29" i="36"/>
  <c r="AA29" i="36" s="1"/>
  <c r="W8" i="36"/>
  <c r="F16" i="36"/>
  <c r="AA16" i="36"/>
  <c r="W28" i="36"/>
  <c r="S30" i="36"/>
  <c r="AC31" i="36"/>
  <c r="W31" i="36"/>
  <c r="J33" i="36"/>
  <c r="W33" i="36" s="1"/>
  <c r="H22" i="35"/>
  <c r="AB22" i="35" s="1"/>
  <c r="AC27" i="35"/>
  <c r="W22" i="35"/>
  <c r="S31" i="35"/>
  <c r="F36" i="34"/>
  <c r="J35" i="34"/>
  <c r="H39" i="33"/>
  <c r="AB39" i="33"/>
  <c r="U33" i="33"/>
  <c r="U35" i="33"/>
  <c r="S40" i="33"/>
  <c r="W33" i="33"/>
  <c r="W39" i="33"/>
  <c r="F11" i="40"/>
  <c r="AA11" i="40"/>
  <c r="H11" i="40"/>
  <c r="AB11" i="40"/>
  <c r="AC40" i="40"/>
  <c r="AA9" i="40"/>
  <c r="AC9" i="40"/>
  <c r="U9" i="40"/>
  <c r="S34" i="40"/>
  <c r="S40" i="40"/>
  <c r="W31" i="40"/>
  <c r="U34" i="40"/>
  <c r="S38" i="40"/>
  <c r="U40" i="40"/>
  <c r="F42" i="39"/>
  <c r="AA42" i="39" s="1"/>
  <c r="F41" i="39"/>
  <c r="S41" i="39" s="1"/>
  <c r="H40" i="39"/>
  <c r="AB40" i="39" s="1"/>
  <c r="H39" i="39"/>
  <c r="U39" i="39" s="1"/>
  <c r="S38"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J34" i="36"/>
  <c r="U30" i="36"/>
  <c r="J30" i="35"/>
  <c r="W30" i="35" s="1"/>
  <c r="H30" i="35"/>
  <c r="AB30" i="35" s="1"/>
  <c r="F22" i="35"/>
  <c r="AA22" i="35" s="1"/>
  <c r="H10" i="35"/>
  <c r="U10" i="35" s="1"/>
  <c r="AC16" i="36"/>
  <c r="W30" i="36"/>
  <c r="H16" i="36"/>
  <c r="AB16" i="36"/>
  <c r="E85" i="36"/>
  <c r="F85" i="36"/>
  <c r="G85" i="36" s="1"/>
  <c r="H85" i="36" s="1"/>
  <c r="I85" i="36" s="1"/>
  <c r="J85" i="36" s="1"/>
  <c r="K85" i="36" s="1"/>
  <c r="L85" i="36" s="1"/>
  <c r="M85" i="36" s="1"/>
  <c r="J29" i="36"/>
  <c r="AC29" i="36" s="1"/>
  <c r="F12" i="36"/>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H17" i="34"/>
  <c r="U17" i="34" s="1"/>
  <c r="F15" i="34"/>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H29" i="35"/>
  <c r="AB29" i="35" s="1"/>
  <c r="H33" i="37"/>
  <c r="AB33" i="37" s="1"/>
  <c r="F33" i="37"/>
  <c r="AA33" i="37" s="1"/>
  <c r="U34" i="37"/>
  <c r="S34" i="37"/>
  <c r="AA34" i="37"/>
  <c r="J43" i="34"/>
  <c r="AB42" i="34"/>
  <c r="J40" i="34"/>
  <c r="H38" i="34"/>
  <c r="AB38" i="34"/>
  <c r="J36" i="34"/>
  <c r="W36" i="34"/>
  <c r="H25" i="34"/>
  <c r="AB25" i="34"/>
  <c r="J25" i="34"/>
  <c r="AC25" i="34"/>
  <c r="F23" i="34"/>
  <c r="AA23" i="34" s="1"/>
  <c r="F17" i="34"/>
  <c r="AA17" i="34" s="1"/>
  <c r="AB17" i="34"/>
  <c r="S41" i="33"/>
  <c r="H37" i="33"/>
  <c r="AB37" i="33"/>
  <c r="H15" i="33"/>
  <c r="AB15" i="33"/>
  <c r="H11" i="33"/>
  <c r="AB11" i="33"/>
  <c r="F28" i="40"/>
  <c r="AA28" i="40"/>
  <c r="AA42" i="34"/>
  <c r="S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c r="J27" i="37"/>
  <c r="AC27" i="37"/>
  <c r="U31" i="34"/>
  <c r="J36" i="37"/>
  <c r="AC36" i="37" s="1"/>
  <c r="AB11" i="36"/>
  <c r="J10" i="36"/>
  <c r="AC10" i="36" s="1"/>
  <c r="AB30" i="21"/>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BA554" i="3"/>
  <c r="BA552" i="3"/>
  <c r="AZ552" i="3"/>
  <c r="BA548" i="3"/>
  <c r="BA546" i="3"/>
  <c r="BA544" i="3"/>
  <c r="BA542" i="3"/>
  <c r="AZ542" i="3" s="1"/>
  <c r="BA540" i="3"/>
  <c r="AZ540" i="3" s="1"/>
  <c r="BA538" i="3"/>
  <c r="AZ538" i="3" s="1"/>
  <c r="BA536" i="3"/>
  <c r="BA534" i="3"/>
  <c r="AZ534" i="3" s="1"/>
  <c r="BA532" i="3"/>
  <c r="BA530" i="3"/>
  <c r="BA528" i="3"/>
  <c r="AZ528" i="3" s="1"/>
  <c r="BA526" i="3"/>
  <c r="AZ526" i="3" s="1"/>
  <c r="BA524" i="3"/>
  <c r="BA522" i="3"/>
  <c r="AZ522" i="3" s="1"/>
  <c r="BA520" i="3"/>
  <c r="AZ520" i="3" s="1"/>
  <c r="BA518" i="3"/>
  <c r="AZ518" i="3"/>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s="1"/>
  <c r="BQ581" i="3"/>
  <c r="BL581" i="3" s="1"/>
  <c r="BQ579" i="3"/>
  <c r="BL579" i="3" s="1"/>
  <c r="AZ579" i="3" s="1"/>
  <c r="BQ577" i="3"/>
  <c r="BL577" i="3"/>
  <c r="BQ575" i="3"/>
  <c r="BL575" i="3"/>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s="1"/>
  <c r="AZ547" i="3" s="1"/>
  <c r="BQ545" i="3"/>
  <c r="BL545" i="3" s="1"/>
  <c r="BQ543" i="3"/>
  <c r="BL543" i="3" s="1"/>
  <c r="AZ543" i="3" s="1"/>
  <c r="BQ541" i="3"/>
  <c r="BL541" i="3"/>
  <c r="BQ539" i="3"/>
  <c r="BL539" i="3" s="1"/>
  <c r="AZ539" i="3" s="1"/>
  <c r="BQ537" i="3"/>
  <c r="BL537" i="3" s="1"/>
  <c r="BQ535" i="3"/>
  <c r="BL535" i="3" s="1"/>
  <c r="AZ535" i="3" s="1"/>
  <c r="BQ533" i="3"/>
  <c r="BL533" i="3"/>
  <c r="BQ531" i="3"/>
  <c r="BL531" i="3" s="1"/>
  <c r="AZ531" i="3" s="1"/>
  <c r="BQ529" i="3"/>
  <c r="BL529" i="3" s="1"/>
  <c r="BQ527" i="3"/>
  <c r="BL527" i="3" s="1"/>
  <c r="AZ527" i="3" s="1"/>
  <c r="BQ525" i="3"/>
  <c r="BL525" i="3"/>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AZ508" i="3" s="1"/>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BQ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14" i="37"/>
  <c r="U33" i="37"/>
  <c r="W26" i="37"/>
  <c r="AC8" i="37"/>
  <c r="U26" i="37"/>
  <c r="AB13" i="34"/>
  <c r="W37" i="34"/>
  <c r="AC36" i="34"/>
  <c r="AA13" i="33"/>
  <c r="AC45"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24" i="72" s="1"/>
  <c r="B16" i="53"/>
  <c r="B33" i="72" s="1"/>
  <c r="C7" i="36"/>
  <c r="W35" i="40"/>
  <c r="A118" i="9"/>
  <c r="A4" i="52"/>
  <c r="B41" i="72" s="1"/>
  <c r="J11" i="39"/>
  <c r="W11" i="39" s="1"/>
  <c r="F11" i="39"/>
  <c r="AA11" i="39" s="1"/>
  <c r="A12" i="52"/>
  <c r="B56" i="72" s="1"/>
  <c r="S11" i="39"/>
  <c r="G4" i="4"/>
  <c r="I4" i="4"/>
  <c r="K5" i="4"/>
  <c r="B47" i="48" s="1"/>
  <c r="A2" i="9"/>
  <c r="N2" i="43"/>
  <c r="F59" i="43"/>
  <c r="AZ28" i="3"/>
  <c r="AZ494" i="3"/>
  <c r="AZ502" i="3"/>
  <c r="AZ514"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BL156" i="3"/>
  <c r="AZ156" i="3" s="1"/>
  <c r="G157" i="3"/>
  <c r="BA159" i="3"/>
  <c r="BL160" i="3"/>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BL184" i="3"/>
  <c r="G185" i="3"/>
  <c r="BA187" i="3"/>
  <c r="AZ187" i="3" s="1"/>
  <c r="BL188" i="3"/>
  <c r="AZ188" i="3" s="1"/>
  <c r="G189" i="3"/>
  <c r="BA191" i="3"/>
  <c r="AZ191" i="3" s="1"/>
  <c r="BL192" i="3"/>
  <c r="G193" i="3"/>
  <c r="BA195" i="3"/>
  <c r="AZ195" i="3" s="1"/>
  <c r="BL196" i="3"/>
  <c r="G197" i="3"/>
  <c r="BA199" i="3"/>
  <c r="AZ199" i="3" s="1"/>
  <c r="BL200" i="3"/>
  <c r="AZ200" i="3" s="1"/>
  <c r="G201" i="3"/>
  <c r="BA203" i="3"/>
  <c r="AZ203" i="3" s="1"/>
  <c r="BL204" i="3"/>
  <c r="AZ67" i="3"/>
  <c r="AZ71" i="3"/>
  <c r="AZ79" i="3"/>
  <c r="AZ89" i="3"/>
  <c r="AZ105" i="3"/>
  <c r="AZ12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c r="BL337" i="3"/>
  <c r="G338" i="3"/>
  <c r="G341" i="3"/>
  <c r="BA342" i="3"/>
  <c r="BL342" i="3"/>
  <c r="AZ342" i="3"/>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BA372" i="3"/>
  <c r="AZ372" i="3"/>
  <c r="BL372" i="3"/>
  <c r="G373" i="3"/>
  <c r="G376" i="3"/>
  <c r="BL377" i="3"/>
  <c r="BL379" i="3"/>
  <c r="BA381" i="3"/>
  <c r="BA382" i="3"/>
  <c r="AZ382" i="3"/>
  <c r="BL382" i="3"/>
  <c r="G383" i="3"/>
  <c r="G386" i="3"/>
  <c r="BL387" i="3"/>
  <c r="BA389" i="3"/>
  <c r="BA390" i="3"/>
  <c r="BL390" i="3"/>
  <c r="G391" i="3"/>
  <c r="G394" i="3"/>
  <c r="AZ138" i="3"/>
  <c r="AZ146" i="3"/>
  <c r="AZ150" i="3"/>
  <c r="AZ170" i="3"/>
  <c r="AZ174" i="3"/>
  <c r="AZ178" i="3"/>
  <c r="AZ194" i="3"/>
  <c r="AZ500" i="3"/>
  <c r="BA16" i="3"/>
  <c r="BL303" i="3"/>
  <c r="G304" i="3"/>
  <c r="BA306" i="3"/>
  <c r="BL307" i="3"/>
  <c r="G308" i="3"/>
  <c r="BA310" i="3"/>
  <c r="BL311" i="3"/>
  <c r="G312" i="3"/>
  <c r="BA314" i="3"/>
  <c r="AZ314" i="3"/>
  <c r="BL315" i="3"/>
  <c r="G316" i="3"/>
  <c r="BA318" i="3"/>
  <c r="AZ318" i="3" s="1"/>
  <c r="BL319" i="3"/>
  <c r="G320" i="3"/>
  <c r="BA322" i="3"/>
  <c r="BL323" i="3"/>
  <c r="G324" i="3"/>
  <c r="BA326" i="3"/>
  <c r="AZ326" i="3" s="1"/>
  <c r="BL327" i="3"/>
  <c r="AZ327" i="3" s="1"/>
  <c r="G328" i="3"/>
  <c r="BA330" i="3"/>
  <c r="AZ330" i="3" s="1"/>
  <c r="BL331" i="3"/>
  <c r="G332" i="3"/>
  <c r="BA334" i="3"/>
  <c r="AZ334" i="3" s="1"/>
  <c r="BL335" i="3"/>
  <c r="AZ335" i="3" s="1"/>
  <c r="G336" i="3"/>
  <c r="BA338" i="3"/>
  <c r="BL339" i="3"/>
  <c r="AZ339" i="3"/>
  <c r="G340" i="3"/>
  <c r="BL343" i="3"/>
  <c r="G344" i="3"/>
  <c r="G348" i="3"/>
  <c r="G355" i="3"/>
  <c r="AZ209" i="3"/>
  <c r="AZ218" i="3"/>
  <c r="G342" i="3"/>
  <c r="BL345" i="3"/>
  <c r="AZ345" i="3" s="1"/>
  <c r="G346"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41" i="3"/>
  <c r="AZ253" i="3"/>
  <c r="AZ269" i="3"/>
  <c r="BA379" i="3"/>
  <c r="AZ379" i="3" s="1"/>
  <c r="BL380" i="3"/>
  <c r="G381" i="3"/>
  <c r="BA383" i="3"/>
  <c r="AZ383" i="3" s="1"/>
  <c r="BL384" i="3"/>
  <c r="AZ384" i="3" s="1"/>
  <c r="G385" i="3"/>
  <c r="BA387" i="3"/>
  <c r="AZ387" i="3" s="1"/>
  <c r="BL388" i="3"/>
  <c r="G389" i="3"/>
  <c r="BA391" i="3"/>
  <c r="AZ391" i="3" s="1"/>
  <c r="BL392" i="3"/>
  <c r="G393" i="3"/>
  <c r="AZ291" i="3"/>
  <c r="AZ299" i="3"/>
  <c r="BO5" i="3"/>
  <c r="BM5" i="3"/>
  <c r="BJ5" i="3"/>
  <c r="BH5" i="3"/>
  <c r="BF5" i="3"/>
  <c r="BD5" i="3"/>
  <c r="AC5" i="3"/>
  <c r="AZ549" i="3"/>
  <c r="AZ506" i="3"/>
  <c r="AZ496" i="3"/>
  <c r="G548" i="3"/>
  <c r="G538" i="3"/>
  <c r="G520" i="3"/>
  <c r="G502" i="3"/>
  <c r="BS5" i="3"/>
  <c r="BP5" i="3"/>
  <c r="BN5" i="3"/>
  <c r="BK5" i="3"/>
  <c r="BI5" i="3"/>
  <c r="BG5" i="3"/>
  <c r="BE5" i="3"/>
  <c r="BC5" i="3"/>
  <c r="G17" i="3"/>
  <c r="BA17" i="3"/>
  <c r="BT5" i="3"/>
  <c r="AZ356" i="3"/>
  <c r="BA15" i="3"/>
  <c r="BB5" i="3"/>
  <c r="E8" i="6" s="1"/>
  <c r="F27" i="6" s="1"/>
  <c r="BR5" i="3"/>
  <c r="G28" i="6" s="1"/>
  <c r="AZ396" i="3"/>
  <c r="AZ509" i="3"/>
  <c r="G509" i="3"/>
  <c r="AZ390" i="3"/>
  <c r="U36" i="40"/>
  <c r="N4" i="43"/>
  <c r="F36" i="43"/>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Z563" i="3"/>
  <c r="W37" i="37"/>
  <c r="W44" i="34"/>
  <c r="AC44" i="34"/>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48" i="3"/>
  <c r="AZ271" i="3"/>
  <c r="AZ288" i="3"/>
  <c r="AZ117" i="3"/>
  <c r="AZ31" i="3"/>
  <c r="AZ33" i="3"/>
  <c r="AZ50" i="3"/>
  <c r="AZ8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c r="P9" i="1"/>
  <c r="AE9" i="1"/>
  <c r="S15" i="37"/>
  <c r="H49" i="43"/>
  <c r="AZ362" i="3"/>
  <c r="H48" i="43"/>
  <c r="H50" i="43"/>
  <c r="H75" i="43"/>
  <c r="BL493" i="3"/>
  <c r="AZ493" i="3" s="1"/>
  <c r="F29" i="6"/>
  <c r="AZ310" i="3"/>
  <c r="AZ371" i="3"/>
  <c r="AZ336" i="3"/>
  <c r="AZ329" i="3"/>
  <c r="AZ321" i="3"/>
  <c r="AZ304" i="3"/>
  <c r="AZ521" i="3"/>
  <c r="AZ581" i="3"/>
  <c r="AA14" i="40"/>
  <c r="S14" i="40"/>
  <c r="U28" i="37"/>
  <c r="AB28" i="37"/>
  <c r="S12" i="21"/>
  <c r="AA12" i="21"/>
  <c r="U27" i="37"/>
  <c r="AB27" i="37"/>
  <c r="W12" i="40"/>
  <c r="AC12" i="40"/>
  <c r="W12" i="34"/>
  <c r="AC12" i="34"/>
  <c r="U12" i="35"/>
  <c r="AB12" i="35"/>
  <c r="AB34" i="35"/>
  <c r="U34" i="35"/>
  <c r="BL586" i="3"/>
  <c r="G574" i="3"/>
  <c r="G558" i="3"/>
  <c r="C30" i="9"/>
  <c r="AZ402" i="3"/>
  <c r="AZ418" i="3"/>
  <c r="AZ446" i="3"/>
  <c r="AZ477" i="3"/>
  <c r="AZ481" i="3"/>
  <c r="BA482" i="3"/>
  <c r="AZ482" i="3" s="1"/>
  <c r="BA483" i="3"/>
  <c r="AZ483" i="3" s="1"/>
  <c r="G485" i="3"/>
  <c r="G486" i="3"/>
  <c r="BL486" i="3"/>
  <c r="AZ486" i="3" s="1"/>
  <c r="G489" i="3"/>
  <c r="G315" i="3"/>
  <c r="BA317" i="3"/>
  <c r="AZ317" i="3" s="1"/>
  <c r="G331" i="3"/>
  <c r="BL381" i="3"/>
  <c r="AZ381" i="3" s="1"/>
  <c r="BL386" i="3"/>
  <c r="AZ386" i="3" s="1"/>
  <c r="AZ228" i="3"/>
  <c r="BA229" i="3"/>
  <c r="AZ229" i="3" s="1"/>
  <c r="W40" i="37"/>
  <c r="AC31" i="33"/>
  <c r="W47" i="34"/>
  <c r="AC32" i="36"/>
  <c r="AZ569" i="3"/>
  <c r="AZ577" i="3"/>
  <c r="AZ557" i="3"/>
  <c r="AZ516" i="3"/>
  <c r="AZ524" i="3"/>
  <c r="AZ532" i="3"/>
  <c r="AZ536" i="3"/>
  <c r="AZ544" i="3"/>
  <c r="AZ554" i="3"/>
  <c r="AZ558" i="3"/>
  <c r="AZ582" i="3"/>
  <c r="S11" i="36"/>
  <c r="AB26" i="33"/>
  <c r="AB11" i="35"/>
  <c r="AA44" i="33"/>
  <c r="C25" i="39"/>
  <c r="S27" i="35"/>
  <c r="F26" i="33"/>
  <c r="W9" i="34"/>
  <c r="W28" i="35"/>
  <c r="U31" i="36"/>
  <c r="J12" i="21"/>
  <c r="AC12" i="21" s="1"/>
  <c r="F12" i="34"/>
  <c r="J23" i="35"/>
  <c r="J36" i="35"/>
  <c r="H12" i="36"/>
  <c r="H24" i="36"/>
  <c r="AB24" i="36" s="1"/>
  <c r="H39" i="40"/>
  <c r="BA551" i="3"/>
  <c r="AZ551" i="3" s="1"/>
  <c r="BL550" i="3"/>
  <c r="BA550" i="3"/>
  <c r="AZ550" i="3" s="1"/>
  <c r="BL548" i="3"/>
  <c r="AZ548" i="3" s="1"/>
  <c r="G526" i="3"/>
  <c r="BL15" i="3"/>
  <c r="AZ15" i="3"/>
  <c r="BA398" i="3"/>
  <c r="G401" i="3"/>
  <c r="BL401" i="3"/>
  <c r="BL403" i="3"/>
  <c r="AZ403" i="3"/>
  <c r="BA404" i="3"/>
  <c r="AZ404" i="3"/>
  <c r="BL406" i="3"/>
  <c r="AZ406" i="3"/>
  <c r="BA407" i="3"/>
  <c r="AZ407" i="3"/>
  <c r="G410" i="3"/>
  <c r="G411" i="3"/>
  <c r="G412" i="3"/>
  <c r="BL412" i="3"/>
  <c r="AZ412" i="3" s="1"/>
  <c r="BA413" i="3"/>
  <c r="AZ413" i="3"/>
  <c r="BA414" i="3"/>
  <c r="AZ414" i="3"/>
  <c r="G417" i="3"/>
  <c r="BL417" i="3"/>
  <c r="BL419" i="3"/>
  <c r="AZ419" i="3"/>
  <c r="BA420" i="3"/>
  <c r="AZ420" i="3"/>
  <c r="BL422" i="3"/>
  <c r="BA423" i="3"/>
  <c r="AZ423" i="3"/>
  <c r="BA424" i="3"/>
  <c r="G427" i="3"/>
  <c r="G428" i="3"/>
  <c r="BL428" i="3"/>
  <c r="BA429" i="3"/>
  <c r="AZ429" i="3" s="1"/>
  <c r="BA430" i="3"/>
  <c r="G433" i="3"/>
  <c r="BL433" i="3"/>
  <c r="BL435" i="3"/>
  <c r="AZ435" i="3" s="1"/>
  <c r="BA436" i="3"/>
  <c r="BL438" i="3"/>
  <c r="AZ438" i="3" s="1"/>
  <c r="BA439" i="3"/>
  <c r="AZ439" i="3" s="1"/>
  <c r="BA440" i="3"/>
  <c r="AZ440" i="3" s="1"/>
  <c r="BL442" i="3"/>
  <c r="AZ442" i="3" s="1"/>
  <c r="G445" i="3"/>
  <c r="BL445" i="3"/>
  <c r="AZ445" i="3"/>
  <c r="G448" i="3"/>
  <c r="G449" i="3"/>
  <c r="BL449" i="3"/>
  <c r="AZ449" i="3"/>
  <c r="BL451" i="3"/>
  <c r="AZ451" i="3"/>
  <c r="BA452" i="3"/>
  <c r="BL454" i="3"/>
  <c r="AZ454" i="3"/>
  <c r="BA455" i="3"/>
  <c r="AZ455" i="3"/>
  <c r="BA456" i="3"/>
  <c r="AZ456" i="3"/>
  <c r="BL458" i="3"/>
  <c r="AZ458" i="3"/>
  <c r="G461" i="3"/>
  <c r="BL461" i="3"/>
  <c r="AZ461" i="3" s="1"/>
  <c r="G464" i="3"/>
  <c r="G465" i="3"/>
  <c r="BL465" i="3"/>
  <c r="BA466" i="3"/>
  <c r="AZ466" i="3" s="1"/>
  <c r="BA467" i="3"/>
  <c r="BL469" i="3"/>
  <c r="BA470" i="3"/>
  <c r="AZ470" i="3" s="1"/>
  <c r="BA471" i="3"/>
  <c r="BA472" i="3"/>
  <c r="AZ472" i="3" s="1"/>
  <c r="G475" i="3"/>
  <c r="G476" i="3"/>
  <c r="BL476" i="3"/>
  <c r="G479" i="3"/>
  <c r="G480" i="3"/>
  <c r="BL480" i="3"/>
  <c r="AZ480" i="3" s="1"/>
  <c r="BL332" i="3"/>
  <c r="AZ332" i="3"/>
  <c r="BL346" i="3"/>
  <c r="AZ346" i="3"/>
  <c r="G349" i="3"/>
  <c r="BA350" i="3"/>
  <c r="BL353" i="3"/>
  <c r="G366" i="3"/>
  <c r="BA368" i="3"/>
  <c r="AZ368" i="3"/>
  <c r="BA392" i="3"/>
  <c r="AZ392" i="3" s="1"/>
  <c r="G395" i="3"/>
  <c r="BL395" i="3"/>
  <c r="G208" i="3"/>
  <c r="BL208" i="3"/>
  <c r="AZ208" i="3" s="1"/>
  <c r="G211" i="3"/>
  <c r="BL211" i="3"/>
  <c r="BA212" i="3"/>
  <c r="AZ212" i="3"/>
  <c r="BL214" i="3"/>
  <c r="G217" i="3"/>
  <c r="BL217" i="3"/>
  <c r="AZ217" i="3" s="1"/>
  <c r="G220" i="3"/>
  <c r="BL220" i="3"/>
  <c r="AZ220" i="3" s="1"/>
  <c r="BA221" i="3"/>
  <c r="AZ221" i="3" s="1"/>
  <c r="BA222" i="3"/>
  <c r="AZ222" i="3" s="1"/>
  <c r="BA223" i="3"/>
  <c r="AZ223" i="3" s="1"/>
  <c r="G226" i="3"/>
  <c r="BL226" i="3"/>
  <c r="AZ226" i="3" s="1"/>
  <c r="BA231" i="3"/>
  <c r="AZ231" i="3" s="1"/>
  <c r="BA232" i="3"/>
  <c r="BA233" i="3"/>
  <c r="AZ233" i="3" s="1"/>
  <c r="BA236" i="3"/>
  <c r="BA237" i="3"/>
  <c r="AZ237" i="3" s="1"/>
  <c r="G240" i="3"/>
  <c r="G241" i="3"/>
  <c r="BL197" i="3"/>
  <c r="AZ197" i="3" s="1"/>
  <c r="BL243" i="3"/>
  <c r="AZ243" i="3"/>
  <c r="BA244" i="3"/>
  <c r="AZ244" i="3"/>
  <c r="BA245" i="3"/>
  <c r="AZ245" i="3"/>
  <c r="G248" i="3"/>
  <c r="G249" i="3"/>
  <c r="G250" i="3"/>
  <c r="BL250" i="3"/>
  <c r="G253" i="3"/>
  <c r="G254" i="3"/>
  <c r="BL254" i="3"/>
  <c r="BA255" i="3"/>
  <c r="AZ255" i="3" s="1"/>
  <c r="BA256" i="3"/>
  <c r="BA257" i="3"/>
  <c r="AZ257" i="3" s="1"/>
  <c r="BL259" i="3"/>
  <c r="AZ259" i="3" s="1"/>
  <c r="BA260" i="3"/>
  <c r="AZ260" i="3" s="1"/>
  <c r="BA261" i="3"/>
  <c r="AZ261" i="3" s="1"/>
  <c r="BL263" i="3"/>
  <c r="AZ263" i="3" s="1"/>
  <c r="BA264" i="3"/>
  <c r="BA265" i="3"/>
  <c r="AZ265" i="3" s="1"/>
  <c r="G268" i="3"/>
  <c r="G269" i="3"/>
  <c r="G270" i="3"/>
  <c r="BL270" i="3"/>
  <c r="G273" i="3"/>
  <c r="G274" i="3"/>
  <c r="BL274" i="3"/>
  <c r="AZ274" i="3" s="1"/>
  <c r="G277" i="3"/>
  <c r="BL277" i="3"/>
  <c r="AZ277" i="3" s="1"/>
  <c r="BA278" i="3"/>
  <c r="BA279" i="3"/>
  <c r="AZ279" i="3" s="1"/>
  <c r="BA280" i="3"/>
  <c r="G283" i="3"/>
  <c r="G284" i="3"/>
  <c r="BL284" i="3"/>
  <c r="AZ284" i="3" s="1"/>
  <c r="BA285" i="3"/>
  <c r="AZ285" i="3" s="1"/>
  <c r="BL287" i="3"/>
  <c r="G290" i="3"/>
  <c r="BL290" i="3"/>
  <c r="AZ290" i="3" s="1"/>
  <c r="G293" i="3"/>
  <c r="BL293" i="3"/>
  <c r="AZ293" i="3" s="1"/>
  <c r="BA294" i="3"/>
  <c r="AZ294" i="3" s="1"/>
  <c r="BA295" i="3"/>
  <c r="AZ295" i="3" s="1"/>
  <c r="BA296" i="3"/>
  <c r="AZ296" i="3" s="1"/>
  <c r="BA113" i="3"/>
  <c r="AZ113" i="3" s="1"/>
  <c r="BA114" i="3"/>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A152" i="3"/>
  <c r="AZ152" i="3" s="1"/>
  <c r="BL153" i="3"/>
  <c r="AZ153" i="3" s="1"/>
  <c r="G156" i="3"/>
  <c r="BA160" i="3"/>
  <c r="AZ160" i="3" s="1"/>
  <c r="BL161" i="3"/>
  <c r="AZ161" i="3" s="1"/>
  <c r="G164" i="3"/>
  <c r="BA168" i="3"/>
  <c r="AZ168" i="3" s="1"/>
  <c r="BL169" i="3"/>
  <c r="AZ169" i="3" s="1"/>
  <c r="G172" i="3"/>
  <c r="BA176" i="3"/>
  <c r="AZ176" i="3" s="1"/>
  <c r="BL177" i="3"/>
  <c r="G180" i="3"/>
  <c r="BL182" i="3"/>
  <c r="AZ182" i="3" s="1"/>
  <c r="BA184" i="3"/>
  <c r="AZ184" i="3" s="1"/>
  <c r="BL185" i="3"/>
  <c r="AZ185" i="3" s="1"/>
  <c r="G188" i="3"/>
  <c r="BA192" i="3"/>
  <c r="AZ192" i="3" s="1"/>
  <c r="BL193" i="3"/>
  <c r="AZ193" i="3" s="1"/>
  <c r="G196" i="3"/>
  <c r="AZ46" i="3"/>
  <c r="G200" i="3"/>
  <c r="BL202" i="3"/>
  <c r="BA204" i="3"/>
  <c r="AZ204" i="3" s="1"/>
  <c r="BA205" i="3"/>
  <c r="AZ205" i="3" s="1"/>
  <c r="BA206" i="3"/>
  <c r="AZ206" i="3" s="1"/>
  <c r="G19" i="3"/>
  <c r="BL19" i="3"/>
  <c r="BL21" i="3"/>
  <c r="BA22" i="3"/>
  <c r="AZ22" i="3" s="1"/>
  <c r="BL24" i="3"/>
  <c r="AZ24" i="3" s="1"/>
  <c r="BA25" i="3"/>
  <c r="AZ25" i="3" s="1"/>
  <c r="G28" i="3"/>
  <c r="G29" i="3"/>
  <c r="G30" i="3"/>
  <c r="BL30" i="3"/>
  <c r="BL32" i="3"/>
  <c r="AZ32" i="3"/>
  <c r="BA34" i="3"/>
  <c r="AZ34" i="3"/>
  <c r="BA36" i="3"/>
  <c r="AZ36" i="3"/>
  <c r="BA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BL66" i="3"/>
  <c r="G69" i="3"/>
  <c r="G70" i="3"/>
  <c r="BL70" i="3"/>
  <c r="BL72" i="3"/>
  <c r="AZ72" i="3"/>
  <c r="BA73" i="3"/>
  <c r="AZ73" i="3"/>
  <c r="BA74" i="3"/>
  <c r="AZ74" i="3"/>
  <c r="BA75" i="3"/>
  <c r="AZ75" i="3"/>
  <c r="BL77" i="3"/>
  <c r="AZ77" i="3"/>
  <c r="G79" i="3"/>
  <c r="G80" i="3"/>
  <c r="BL80" i="3"/>
  <c r="G82" i="3"/>
  <c r="G83" i="3"/>
  <c r="G84" i="3"/>
  <c r="BL84" i="3"/>
  <c r="BL86" i="3"/>
  <c r="G88" i="3"/>
  <c r="BL88" i="3"/>
  <c r="AZ88" i="3" s="1"/>
  <c r="G91" i="3"/>
  <c r="BL91" i="3"/>
  <c r="AZ91" i="3" s="1"/>
  <c r="BA92" i="3"/>
  <c r="AZ92" i="3" s="1"/>
  <c r="BA93" i="3"/>
  <c r="AZ93" i="3" s="1"/>
  <c r="BA94" i="3"/>
  <c r="AZ94" i="3" s="1"/>
  <c r="G97" i="3"/>
  <c r="G98" i="3"/>
  <c r="BL98" i="3"/>
  <c r="AZ98" i="3" s="1"/>
  <c r="BA99" i="3"/>
  <c r="AZ99" i="3" s="1"/>
  <c r="BL101" i="3"/>
  <c r="AZ101" i="3" s="1"/>
  <c r="G104" i="3"/>
  <c r="BL104" i="3"/>
  <c r="BA106" i="3"/>
  <c r="AZ106" i="3"/>
  <c r="BA108" i="3"/>
  <c r="AZ108" i="3"/>
  <c r="BA109" i="3"/>
  <c r="AZ109" i="3"/>
  <c r="BA110" i="3"/>
  <c r="AZ110" i="3"/>
  <c r="BA112" i="3"/>
  <c r="AZ112" i="3"/>
  <c r="F3" i="35"/>
  <c r="M100" i="43"/>
  <c r="I100" i="43"/>
  <c r="E100" i="43"/>
  <c r="I20" i="66"/>
  <c r="D93" i="9"/>
  <c r="E12" i="6"/>
  <c r="E15" i="6"/>
  <c r="E60" i="40" s="1"/>
  <c r="K6" i="1"/>
  <c r="E13" i="6"/>
  <c r="E58" i="40" s="1"/>
  <c r="G29" i="6"/>
  <c r="AC26" i="33"/>
  <c r="W26" i="33"/>
  <c r="W27" i="34"/>
  <c r="AC27" i="34"/>
  <c r="AB34" i="36"/>
  <c r="U34" i="36"/>
  <c r="AB33" i="36"/>
  <c r="U33" i="36"/>
  <c r="AC12" i="39"/>
  <c r="W12" i="39"/>
  <c r="AC39" i="40"/>
  <c r="W39" i="40"/>
  <c r="AZ433" i="3"/>
  <c r="AZ586" i="3"/>
  <c r="W12" i="33"/>
  <c r="AC12" i="33"/>
  <c r="AA32" i="36"/>
  <c r="S32" i="36"/>
  <c r="AZ408" i="3"/>
  <c r="AZ437" i="3"/>
  <c r="AZ441" i="3"/>
  <c r="F28" i="6"/>
  <c r="BL14" i="3"/>
  <c r="U30" i="33"/>
  <c r="AC13" i="34"/>
  <c r="AA47" i="34"/>
  <c r="W28" i="37"/>
  <c r="S19" i="39"/>
  <c r="F12" i="33"/>
  <c r="H12" i="39"/>
  <c r="AB12" i="39" s="1"/>
  <c r="F39" i="40"/>
  <c r="BA14" i="3"/>
  <c r="AZ14" i="3"/>
  <c r="AZ224" i="3"/>
  <c r="AZ250" i="3"/>
  <c r="AZ281" i="3"/>
  <c r="AZ297" i="3"/>
  <c r="AZ165" i="3"/>
  <c r="AZ173" i="3"/>
  <c r="AZ189" i="3"/>
  <c r="AZ19" i="3"/>
  <c r="AZ41" i="3"/>
  <c r="S12" i="1"/>
  <c r="AR12" i="1" s="1"/>
  <c r="R12" i="1"/>
  <c r="B12" i="1"/>
  <c r="E12" i="1" s="1"/>
  <c r="S10" i="1"/>
  <c r="AQ10" i="1" s="1"/>
  <c r="R10" i="1"/>
  <c r="B10" i="1"/>
  <c r="E10" i="1" s="1"/>
  <c r="AZ84" i="3"/>
  <c r="AZ107" i="3"/>
  <c r="K12" i="1"/>
  <c r="M12" i="1" s="1"/>
  <c r="O12" i="1"/>
  <c r="P12" i="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S30" i="40"/>
  <c r="AA19" i="40"/>
  <c r="S28" i="40"/>
  <c r="U21" i="40"/>
  <c r="AB19" i="40"/>
  <c r="W42" i="39"/>
  <c r="U37" i="39"/>
  <c r="W39" i="39"/>
  <c r="S43"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U13" i="36"/>
  <c r="AC27" i="36"/>
  <c r="AB27" i="36"/>
  <c r="U26" i="36"/>
  <c r="AA26" i="36"/>
  <c r="AA34" i="36"/>
  <c r="S29" i="36"/>
  <c r="AC26" i="36"/>
  <c r="AA22"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26" i="35" s="1"/>
  <c r="AB40" i="37"/>
  <c r="S25" i="37"/>
  <c r="W27" i="37"/>
  <c r="S26" i="37"/>
  <c r="AC9" i="37"/>
  <c r="AC29" i="37"/>
  <c r="U29" i="37"/>
  <c r="AB31" i="37"/>
  <c r="S36" i="37"/>
  <c r="AA38" i="37"/>
  <c r="U32" i="37"/>
  <c r="W38" i="37"/>
  <c r="AC35" i="37"/>
  <c r="W39" i="37"/>
  <c r="S37" i="37"/>
  <c r="AC15" i="37"/>
  <c r="J17" i="37"/>
  <c r="W17" i="37"/>
  <c r="G73" i="37"/>
  <c r="F17" i="37"/>
  <c r="AA17" i="37" s="1"/>
  <c r="AB17" i="37"/>
  <c r="F75" i="37"/>
  <c r="G75" i="37" s="1"/>
  <c r="F19" i="37"/>
  <c r="AA19" i="37" s="1"/>
  <c r="F79" i="37"/>
  <c r="G79" i="37" s="1"/>
  <c r="F23" i="37"/>
  <c r="S23" i="37" s="1"/>
  <c r="U23" i="37"/>
  <c r="U15" i="37"/>
  <c r="AC13" i="37"/>
  <c r="U9" i="37"/>
  <c r="AA13" i="37"/>
  <c r="AA12" i="37"/>
  <c r="AA9" i="37"/>
  <c r="H10" i="37"/>
  <c r="H60" i="37"/>
  <c r="I60" i="37" s="1"/>
  <c r="F63" i="37"/>
  <c r="F11" i="37"/>
  <c r="S11" i="37" s="1"/>
  <c r="S27" i="34"/>
  <c r="W25" i="34"/>
  <c r="AB8" i="34"/>
  <c r="AA33" i="34"/>
  <c r="U43" i="34"/>
  <c r="AC39" i="34"/>
  <c r="W41" i="34"/>
  <c r="AC42" i="34"/>
  <c r="AB35" i="34"/>
  <c r="U39" i="34"/>
  <c r="S43" i="34"/>
  <c r="AB41" i="34"/>
  <c r="AA45" i="34"/>
  <c r="AA25" i="34"/>
  <c r="U28" i="34"/>
  <c r="S17" i="34"/>
  <c r="AA29" i="34"/>
  <c r="U27" i="34"/>
  <c r="S23" i="34"/>
  <c r="U15" i="34"/>
  <c r="S10" i="34"/>
  <c r="S13" i="34"/>
  <c r="H67"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AC17" i="33" s="1"/>
  <c r="F79" i="33"/>
  <c r="S15" i="33"/>
  <c r="W15"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F34" i="67"/>
  <c r="F62" i="67" s="1"/>
  <c r="M20" i="67"/>
  <c r="G13" i="3"/>
  <c r="BA13" i="3"/>
  <c r="E10" i="6"/>
  <c r="E11" i="6"/>
  <c r="BL17" i="3"/>
  <c r="AZ17" i="3" s="1"/>
  <c r="BL13" i="3"/>
  <c r="J56" i="9"/>
  <c r="J57" i="9" s="1"/>
  <c r="A24" i="51"/>
  <c r="B18" i="72" s="1"/>
  <c r="U29" i="34"/>
  <c r="E14" i="6"/>
  <c r="E64" i="39" s="1"/>
  <c r="E5" i="6"/>
  <c r="P10" i="1"/>
  <c r="E32" i="6"/>
  <c r="L19" i="6"/>
  <c r="G1" i="68"/>
  <c r="K1" i="12"/>
  <c r="F30" i="6"/>
  <c r="E57" i="40"/>
  <c r="E56" i="40"/>
  <c r="AQ12" i="1"/>
  <c r="AR10" i="1"/>
  <c r="E19" i="69"/>
  <c r="E19" i="68"/>
  <c r="E19" i="11"/>
  <c r="G41" i="69"/>
  <c r="G22" i="69"/>
  <c r="G41" i="68"/>
  <c r="G22" i="68"/>
  <c r="G27" i="12"/>
  <c r="G26" i="12"/>
  <c r="G41" i="11"/>
  <c r="G22" i="11"/>
  <c r="G25" i="12"/>
  <c r="C100" i="43"/>
  <c r="E11" i="43"/>
  <c r="E10" i="43"/>
  <c r="E9" i="43"/>
  <c r="E8" i="43"/>
  <c r="G39" i="43" s="1"/>
  <c r="E48" i="43"/>
  <c r="B46" i="43" s="1"/>
  <c r="E70" i="43"/>
  <c r="B68" i="43" s="1"/>
  <c r="F100" i="43"/>
  <c r="H17" i="43"/>
  <c r="D9" i="53"/>
  <c r="B25" i="72" s="1"/>
  <c r="G6" i="1"/>
  <c r="H53" i="43"/>
  <c r="H54" i="43"/>
  <c r="H78" i="43"/>
  <c r="H70" i="43"/>
  <c r="H71" i="43"/>
  <c r="C17" i="43"/>
  <c r="F33" i="43"/>
  <c r="G17" i="43"/>
  <c r="F34" i="43"/>
  <c r="M7" i="43"/>
  <c r="N6" i="43"/>
  <c r="F81" i="43"/>
  <c r="M2" i="43"/>
  <c r="C6" i="43"/>
  <c r="M10" i="43"/>
  <c r="N3" i="43"/>
  <c r="N11" i="43"/>
  <c r="F38" i="43"/>
  <c r="F37" i="43"/>
  <c r="M9" i="43"/>
  <c r="N12" i="43"/>
  <c r="N5" i="43"/>
  <c r="M5" i="43"/>
  <c r="M12" i="43"/>
  <c r="M4" i="43"/>
  <c r="B19" i="53"/>
  <c r="B37" i="72" s="1"/>
  <c r="C7" i="39"/>
  <c r="C68" i="39" s="1"/>
  <c r="C70" i="39" s="1"/>
  <c r="C7" i="35"/>
  <c r="C7" i="33"/>
  <c r="C58" i="33"/>
  <c r="C7" i="21"/>
  <c r="C7" i="40"/>
  <c r="C63" i="40" s="1"/>
  <c r="D63" i="40" s="1"/>
  <c r="E63" i="40" s="1"/>
  <c r="F63" i="40" s="1"/>
  <c r="G63" i="40" s="1"/>
  <c r="G65" i="40" s="1"/>
  <c r="M47" i="9"/>
  <c r="G19" i="43"/>
  <c r="T35" i="4"/>
  <c r="A19" i="51" s="1"/>
  <c r="B14" i="72"/>
  <c r="C46" i="36"/>
  <c r="D46" i="36"/>
  <c r="A4" i="51"/>
  <c r="B6" i="72" s="1"/>
  <c r="C48" i="35"/>
  <c r="C58" i="21"/>
  <c r="C94" i="9"/>
  <c r="C4" i="12"/>
  <c r="C92" i="9"/>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s="1"/>
  <c r="L101" i="21" s="1"/>
  <c r="M101" i="21" s="1"/>
  <c r="F33" i="21"/>
  <c r="AA33" i="21" s="1"/>
  <c r="J33" i="21"/>
  <c r="H33" i="21"/>
  <c r="F37" i="21"/>
  <c r="AA26" i="21"/>
  <c r="AB14" i="21"/>
  <c r="AB46" i="21"/>
  <c r="U40" i="21"/>
  <c r="AB31" i="21"/>
  <c r="U31" i="21"/>
  <c r="AC15" i="21"/>
  <c r="U13" i="21"/>
  <c r="AB13" i="21"/>
  <c r="W8" i="21"/>
  <c r="S35" i="21"/>
  <c r="AB37" i="21"/>
  <c r="J37" i="21"/>
  <c r="H15" i="21"/>
  <c r="J17" i="21"/>
  <c r="AC17" i="21" s="1"/>
  <c r="AC19" i="21"/>
  <c r="W39" i="21"/>
  <c r="AC14" i="21"/>
  <c r="W30" i="21"/>
  <c r="S46" i="21"/>
  <c r="H45" i="21"/>
  <c r="U45" i="21" s="1"/>
  <c r="F29" i="21"/>
  <c r="F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H87" i="43"/>
  <c r="G87" i="43" s="1"/>
  <c r="C7" i="43"/>
  <c r="AC36" i="35"/>
  <c r="W36" i="35"/>
  <c r="S12" i="34"/>
  <c r="AA12" i="34"/>
  <c r="AA26" i="33"/>
  <c r="S26" i="33"/>
  <c r="U39" i="40"/>
  <c r="AB39" i="40"/>
  <c r="U12" i="36"/>
  <c r="AB12" i="36"/>
  <c r="AC23" i="35"/>
  <c r="W23" i="35"/>
  <c r="J53" i="67"/>
  <c r="Q52" i="67" s="1"/>
  <c r="AQ13" i="1"/>
  <c r="AZ13" i="3"/>
  <c r="M6" i="1"/>
  <c r="O6" i="1"/>
  <c r="P6" i="1"/>
  <c r="F30" i="68"/>
  <c r="C30" i="68" s="1"/>
  <c r="F30" i="11"/>
  <c r="F28" i="67"/>
  <c r="C28" i="67" s="1"/>
  <c r="F31" i="12"/>
  <c r="C31" i="12"/>
  <c r="F32" i="67"/>
  <c r="F60" i="67" s="1"/>
  <c r="F30" i="69"/>
  <c r="M18" i="15"/>
  <c r="E63" i="39"/>
  <c r="T11" i="1"/>
  <c r="D9" i="69"/>
  <c r="C9" i="69" s="1"/>
  <c r="AQ9" i="1"/>
  <c r="AR11" i="1"/>
  <c r="D68" i="39"/>
  <c r="T9" i="1"/>
  <c r="T13" i="1"/>
  <c r="C74" i="9"/>
  <c r="AA39" i="40"/>
  <c r="S39" i="40"/>
  <c r="S12" i="33"/>
  <c r="AA12" i="33"/>
  <c r="C16" i="43"/>
  <c r="C5" i="43" s="1"/>
  <c r="F54" i="9"/>
  <c r="J32" i="39"/>
  <c r="W32" i="39" s="1"/>
  <c r="H107" i="39"/>
  <c r="I107" i="39" s="1"/>
  <c r="J107" i="39"/>
  <c r="K107" i="39" s="1"/>
  <c r="L107" i="39" s="1"/>
  <c r="M107" i="39" s="1"/>
  <c r="H32" i="39"/>
  <c r="U32" i="39" s="1"/>
  <c r="AA32" i="39"/>
  <c r="S32" i="39"/>
  <c r="AB21" i="39"/>
  <c r="U21" i="39"/>
  <c r="AA21" i="39"/>
  <c r="S21" i="39"/>
  <c r="W21" i="39"/>
  <c r="U9" i="35"/>
  <c r="AB9" i="35"/>
  <c r="AC26" i="35"/>
  <c r="U26" i="35"/>
  <c r="AC17" i="37"/>
  <c r="J19" i="37"/>
  <c r="W19" i="37" s="1"/>
  <c r="S19" i="37"/>
  <c r="AA23" i="37"/>
  <c r="J23" i="37"/>
  <c r="J10" i="37"/>
  <c r="W10" i="37" s="1"/>
  <c r="G63" i="37"/>
  <c r="H11" i="37"/>
  <c r="AB11" i="37" s="1"/>
  <c r="AB10" i="37"/>
  <c r="U10" i="37"/>
  <c r="G70" i="34"/>
  <c r="H11" i="34"/>
  <c r="AB11" i="34" s="1"/>
  <c r="U10" i="34"/>
  <c r="J10" i="34"/>
  <c r="I67" i="34"/>
  <c r="U41" i="33"/>
  <c r="W35" i="33"/>
  <c r="AC35" i="33"/>
  <c r="H111" i="33"/>
  <c r="I111" i="33"/>
  <c r="J111" i="33" s="1"/>
  <c r="K111" i="33" s="1"/>
  <c r="L111" i="33" s="1"/>
  <c r="M111" i="33" s="1"/>
  <c r="J36" i="33"/>
  <c r="H36" i="33"/>
  <c r="U36" i="33" s="1"/>
  <c r="AA36" i="33"/>
  <c r="AC32" i="33"/>
  <c r="W32" i="33"/>
  <c r="G91" i="33"/>
  <c r="H91" i="33" s="1"/>
  <c r="I91" i="33" s="1"/>
  <c r="J91" i="33" s="1"/>
  <c r="K91" i="33" s="1"/>
  <c r="L91" i="33" s="1"/>
  <c r="M91" i="33" s="1"/>
  <c r="J27" i="33"/>
  <c r="W27" i="33" s="1"/>
  <c r="AB25" i="33"/>
  <c r="S25" i="33"/>
  <c r="AA25" i="33"/>
  <c r="G87" i="33"/>
  <c r="H87" i="33"/>
  <c r="I87" i="33" s="1"/>
  <c r="J87" i="33" s="1"/>
  <c r="K87" i="33" s="1"/>
  <c r="L87" i="33" s="1"/>
  <c r="M87" i="33" s="1"/>
  <c r="J25" i="33"/>
  <c r="W25" i="33" s="1"/>
  <c r="F23" i="33"/>
  <c r="G85" i="33"/>
  <c r="W23" i="33"/>
  <c r="H19" i="33"/>
  <c r="AB19" i="33" s="1"/>
  <c r="G81" i="33"/>
  <c r="G79" i="33"/>
  <c r="H17" i="33"/>
  <c r="F17" i="33"/>
  <c r="AA17" i="33" s="1"/>
  <c r="W17" i="33"/>
  <c r="AB10" i="33"/>
  <c r="W10" i="33"/>
  <c r="AA23" i="21"/>
  <c r="J23" i="21"/>
  <c r="AC23" i="21" s="1"/>
  <c r="F85" i="21"/>
  <c r="G85" i="21" s="1"/>
  <c r="H23" i="21"/>
  <c r="D121" i="9"/>
  <c r="D7" i="52" s="1"/>
  <c r="K120" i="9"/>
  <c r="O14" i="1"/>
  <c r="P14" i="1"/>
  <c r="J59" i="9"/>
  <c r="J61" i="9" s="1"/>
  <c r="AR8" i="1"/>
  <c r="T8" i="1"/>
  <c r="R22" i="31"/>
  <c r="B21" i="31" s="1"/>
  <c r="O19" i="43"/>
  <c r="C65" i="40"/>
  <c r="L27" i="6"/>
  <c r="AP7" i="1"/>
  <c r="O7" i="1"/>
  <c r="AB45" i="21"/>
  <c r="AC33" i="21"/>
  <c r="W33" i="21"/>
  <c r="S33" i="21"/>
  <c r="W32" i="21"/>
  <c r="AC32" i="21"/>
  <c r="AB9" i="21"/>
  <c r="U9" i="21"/>
  <c r="AA32" i="21"/>
  <c r="W9" i="21"/>
  <c r="AB32" i="21"/>
  <c r="AA10" i="21"/>
  <c r="S10" i="21"/>
  <c r="A18" i="62"/>
  <c r="B64" i="72" s="1"/>
  <c r="D3" i="34"/>
  <c r="AB32" i="39"/>
  <c r="AC32" i="39"/>
  <c r="AC19" i="37"/>
  <c r="W23" i="37"/>
  <c r="AC23" i="37"/>
  <c r="U11" i="37"/>
  <c r="H63" i="37"/>
  <c r="I63" i="37" s="1"/>
  <c r="J63" i="37" s="1"/>
  <c r="K63" i="37" s="1"/>
  <c r="L63" i="37" s="1"/>
  <c r="M63" i="37" s="1"/>
  <c r="J11" i="37"/>
  <c r="W11" i="37" s="1"/>
  <c r="AC10" i="37"/>
  <c r="U11" i="34"/>
  <c r="AC10" i="34"/>
  <c r="W10" i="34"/>
  <c r="H70" i="34"/>
  <c r="I70" i="34" s="1"/>
  <c r="J70" i="34" s="1"/>
  <c r="K70" i="34" s="1"/>
  <c r="L70" i="34" s="1"/>
  <c r="M70" i="34" s="1"/>
  <c r="J11" i="34"/>
  <c r="W11" i="34" s="1"/>
  <c r="AC36" i="33"/>
  <c r="W36" i="33"/>
  <c r="AB36" i="33"/>
  <c r="AC27" i="33"/>
  <c r="AA23" i="33"/>
  <c r="S23" i="33"/>
  <c r="U19" i="33"/>
  <c r="S17" i="33"/>
  <c r="U17" i="33"/>
  <c r="AB17" i="33"/>
  <c r="U23" i="21"/>
  <c r="AB23" i="21"/>
  <c r="W23" i="21"/>
  <c r="D3" i="37"/>
  <c r="P7" i="1"/>
  <c r="D65" i="40"/>
  <c r="I39" i="43"/>
  <c r="AC11" i="37"/>
  <c r="AC11" i="34"/>
  <c r="C13" i="12"/>
  <c r="F34" i="11"/>
  <c r="C36" i="11" s="1"/>
  <c r="F11" i="12"/>
  <c r="C23" i="12" s="1"/>
  <c r="F34" i="68"/>
  <c r="E65" i="40"/>
  <c r="R8" i="1"/>
  <c r="F65" i="40"/>
  <c r="C19" i="68"/>
  <c r="H63" i="40"/>
  <c r="H65" i="40" s="1"/>
  <c r="I63" i="40"/>
  <c r="J63" i="40" s="1"/>
  <c r="J65" i="40" s="1"/>
  <c r="AE8" i="1"/>
  <c r="H109" i="9"/>
  <c r="D16" i="53" s="1"/>
  <c r="H112" i="9"/>
  <c r="D21" i="53" s="1"/>
  <c r="B39" i="72" s="1"/>
  <c r="H111" i="9"/>
  <c r="D126" i="9" s="1"/>
  <c r="D59" i="9"/>
  <c r="M55" i="9" s="1"/>
  <c r="D9" i="68"/>
  <c r="C36" i="68"/>
  <c r="E2" i="69"/>
  <c r="D4" i="73"/>
  <c r="D2" i="36"/>
  <c r="B9" i="76"/>
  <c r="F8" i="15"/>
  <c r="M8" i="15"/>
  <c r="E9" i="76"/>
  <c r="E8" i="76"/>
  <c r="AO13" i="1"/>
  <c r="AO10" i="1"/>
  <c r="F36" i="67"/>
  <c r="B11" i="76"/>
  <c r="F37" i="67"/>
  <c r="B13" i="76"/>
  <c r="F3" i="73"/>
  <c r="F8" i="67"/>
  <c r="F6" i="73"/>
  <c r="J15" i="15"/>
  <c r="E11" i="76"/>
  <c r="M23" i="15"/>
  <c r="E12" i="76"/>
  <c r="M9" i="15"/>
  <c r="F13" i="15"/>
  <c r="F26" i="15"/>
  <c r="F16" i="67"/>
  <c r="B12" i="76"/>
  <c r="F9" i="15"/>
  <c r="B8" i="76"/>
  <c r="L47" i="15"/>
  <c r="M9" i="67"/>
  <c r="L48" i="15"/>
  <c r="F41" i="15"/>
  <c r="F37" i="15"/>
  <c r="D2" i="35"/>
  <c r="B7" i="76"/>
  <c r="D2" i="21"/>
  <c r="F43" i="67"/>
  <c r="M26" i="15"/>
  <c r="D2" i="34"/>
  <c r="F6" i="67"/>
  <c r="F40" i="67"/>
  <c r="M23" i="67"/>
  <c r="D2" i="37"/>
  <c r="J15" i="67"/>
  <c r="M26" i="67"/>
  <c r="D3" i="73"/>
  <c r="F43" i="15"/>
  <c r="L48" i="67"/>
  <c r="B10" i="76"/>
  <c r="F40" i="15"/>
  <c r="D2" i="33"/>
  <c r="C76" i="15"/>
  <c r="M29" i="67"/>
  <c r="M8" i="67"/>
  <c r="C76" i="67"/>
  <c r="M22" i="15"/>
  <c r="AO8" i="1"/>
  <c r="E7" i="76"/>
  <c r="L47" i="67"/>
  <c r="AO9" i="1"/>
  <c r="D7" i="73"/>
  <c r="F26" i="67"/>
  <c r="F16" i="15"/>
  <c r="M22" i="67"/>
  <c r="F36" i="15"/>
  <c r="F13" i="67"/>
  <c r="AO11" i="1"/>
  <c r="M24" i="67"/>
  <c r="AO12" i="1"/>
  <c r="F4" i="73"/>
  <c r="F42" i="67"/>
  <c r="F42" i="15"/>
  <c r="M28" i="15"/>
  <c r="F7" i="15"/>
  <c r="F7" i="73"/>
  <c r="E10" i="76"/>
  <c r="F9" i="67"/>
  <c r="D6" i="73"/>
  <c r="E13" i="76"/>
  <c r="F38" i="15"/>
  <c r="D5" i="73"/>
  <c r="G1" i="73" s="1"/>
  <c r="F7" i="67"/>
  <c r="M6" i="67"/>
  <c r="F20" i="31"/>
  <c r="M29" i="15"/>
  <c r="F38" i="67"/>
  <c r="M24" i="15"/>
  <c r="F5" i="73"/>
  <c r="M28" i="67"/>
  <c r="AB33" i="21" l="1"/>
  <c r="U33" i="21"/>
  <c r="H81" i="43"/>
  <c r="G81" i="43" s="1"/>
  <c r="H85" i="43"/>
  <c r="G85" i="43" s="1"/>
  <c r="E61" i="39"/>
  <c r="E16" i="6"/>
  <c r="W17" i="21"/>
  <c r="AA13" i="21"/>
  <c r="S13" i="21"/>
  <c r="D19" i="53"/>
  <c r="F1" i="67"/>
  <c r="AC25" i="33"/>
  <c r="S29" i="21"/>
  <c r="AA29" i="21"/>
  <c r="D9" i="11"/>
  <c r="C9" i="11" s="1"/>
  <c r="D19" i="12"/>
  <c r="C19" i="12" s="1"/>
  <c r="U23" i="33"/>
  <c r="AB27" i="33"/>
  <c r="AA9" i="35"/>
  <c r="AA11" i="34"/>
  <c r="E65" i="39"/>
  <c r="U44" i="34"/>
  <c r="U24" i="36"/>
  <c r="AA27" i="40"/>
  <c r="AB27" i="40"/>
  <c r="AA39" i="34"/>
  <c r="E29" i="6"/>
  <c r="K15" i="1" s="1"/>
  <c r="AC11" i="39"/>
  <c r="AZ361" i="3"/>
  <c r="AZ305" i="3"/>
  <c r="AZ389" i="3"/>
  <c r="AZ380" i="3"/>
  <c r="AZ376" i="3"/>
  <c r="AZ360" i="3"/>
  <c r="AZ341" i="3"/>
  <c r="AZ338" i="3"/>
  <c r="AZ325" i="3"/>
  <c r="AZ311" i="3"/>
  <c r="AZ309" i="3"/>
  <c r="AC12" i="37"/>
  <c r="AA41" i="34"/>
  <c r="AZ501" i="3"/>
  <c r="AZ561" i="3"/>
  <c r="AZ573" i="3"/>
  <c r="AZ556" i="3"/>
  <c r="W31" i="34"/>
  <c r="AA14" i="33"/>
  <c r="AA13" i="35"/>
  <c r="S28" i="34"/>
  <c r="S29" i="35"/>
  <c r="AA29" i="35"/>
  <c r="U30" i="35"/>
  <c r="U23" i="34"/>
  <c r="AB23" i="34"/>
  <c r="AC33" i="37"/>
  <c r="W33" i="37"/>
  <c r="W34" i="36"/>
  <c r="AC34" i="36"/>
  <c r="BL585" i="3"/>
  <c r="AZ585" i="3" s="1"/>
  <c r="AC40" i="33"/>
  <c r="W40" i="33"/>
  <c r="AC8" i="34"/>
  <c r="W8" i="34"/>
  <c r="H9" i="34"/>
  <c r="F9" i="34"/>
  <c r="E82" i="34"/>
  <c r="F82" i="34" s="1"/>
  <c r="G82" i="34" s="1"/>
  <c r="F19" i="34"/>
  <c r="J19" i="34"/>
  <c r="H112" i="34"/>
  <c r="I112" i="34" s="1"/>
  <c r="J112" i="34" s="1"/>
  <c r="K112" i="34" s="1"/>
  <c r="L112" i="34" s="1"/>
  <c r="M112" i="34" s="1"/>
  <c r="H37" i="34"/>
  <c r="AZ497" i="3"/>
  <c r="AZ511" i="3"/>
  <c r="AZ515" i="3"/>
  <c r="AZ519" i="3"/>
  <c r="AZ525" i="3"/>
  <c r="AZ529" i="3"/>
  <c r="AZ533" i="3"/>
  <c r="AZ537" i="3"/>
  <c r="AZ541" i="3"/>
  <c r="AZ545" i="3"/>
  <c r="AZ565" i="3"/>
  <c r="S15" i="34"/>
  <c r="AA15" i="34"/>
  <c r="S12" i="36"/>
  <c r="AA12" i="36"/>
  <c r="AA34" i="21"/>
  <c r="S34" i="21"/>
  <c r="BL587" i="3"/>
  <c r="AZ587" i="3" s="1"/>
  <c r="H9" i="33"/>
  <c r="J9" i="33"/>
  <c r="F9" i="33"/>
  <c r="E80" i="34"/>
  <c r="F80" i="34" s="1"/>
  <c r="G80" i="34" s="1"/>
  <c r="J17" i="34"/>
  <c r="S10" i="37"/>
  <c r="AC8" i="35"/>
  <c r="F24" i="36"/>
  <c r="F33" i="36"/>
  <c r="F37" i="39"/>
  <c r="W32" i="40"/>
  <c r="S34" i="39"/>
  <c r="W8" i="40"/>
  <c r="H39" i="37"/>
  <c r="AA31" i="36"/>
  <c r="U9" i="39"/>
  <c r="F35" i="39"/>
  <c r="J44" i="39"/>
  <c r="F45" i="39"/>
  <c r="AC31" i="35"/>
  <c r="F34" i="35"/>
  <c r="J34" i="35"/>
  <c r="F44" i="39"/>
  <c r="G566" i="3"/>
  <c r="G551" i="3"/>
  <c r="BL16" i="3"/>
  <c r="BL5" i="3" s="1"/>
  <c r="AZ409" i="3"/>
  <c r="AZ411" i="3"/>
  <c r="BL398" i="3"/>
  <c r="AZ398" i="3" s="1"/>
  <c r="BA399" i="3"/>
  <c r="AZ399" i="3" s="1"/>
  <c r="BA401" i="3"/>
  <c r="AZ401" i="3" s="1"/>
  <c r="G404" i="3"/>
  <c r="G406" i="3"/>
  <c r="G408" i="3"/>
  <c r="G409" i="3"/>
  <c r="BL409" i="3"/>
  <c r="BL410" i="3"/>
  <c r="AZ410" i="3" s="1"/>
  <c r="BL411" i="3"/>
  <c r="G414" i="3"/>
  <c r="BA415" i="3"/>
  <c r="AZ415" i="3" s="1"/>
  <c r="BA417" i="3"/>
  <c r="AZ417" i="3" s="1"/>
  <c r="G420" i="3"/>
  <c r="BA421" i="3"/>
  <c r="AZ421" i="3" s="1"/>
  <c r="BA422" i="3"/>
  <c r="AZ422" i="3" s="1"/>
  <c r="BL424" i="3"/>
  <c r="AZ424" i="3" s="1"/>
  <c r="BA425" i="3"/>
  <c r="AZ425" i="3" s="1"/>
  <c r="BA428" i="3"/>
  <c r="AZ428" i="3" s="1"/>
  <c r="BL430" i="3"/>
  <c r="AZ430" i="3" s="1"/>
  <c r="G432" i="3"/>
  <c r="BL432" i="3"/>
  <c r="BL434" i="3"/>
  <c r="AZ434" i="3" s="1"/>
  <c r="BL436" i="3"/>
  <c r="AZ436" i="3" s="1"/>
  <c r="G439" i="3"/>
  <c r="G441" i="3"/>
  <c r="G442" i="3"/>
  <c r="BL443" i="3"/>
  <c r="AZ443" i="3" s="1"/>
  <c r="G446" i="3"/>
  <c r="G447" i="3"/>
  <c r="BL447" i="3"/>
  <c r="BL448" i="3"/>
  <c r="BL450" i="3"/>
  <c r="AZ450" i="3" s="1"/>
  <c r="BL452" i="3"/>
  <c r="AZ452" i="3" s="1"/>
  <c r="G454" i="3"/>
  <c r="G456" i="3"/>
  <c r="BL457" i="3"/>
  <c r="AZ457" i="3" s="1"/>
  <c r="BA459" i="3"/>
  <c r="AZ459" i="3" s="1"/>
  <c r="BA462" i="3"/>
  <c r="AZ462" i="3" s="1"/>
  <c r="BA465" i="3"/>
  <c r="AZ465" i="3" s="1"/>
  <c r="BL467" i="3"/>
  <c r="AZ467" i="3" s="1"/>
  <c r="BA468" i="3"/>
  <c r="AZ468" i="3" s="1"/>
  <c r="BA469" i="3"/>
  <c r="AZ469" i="3" s="1"/>
  <c r="BL471" i="3"/>
  <c r="AZ471" i="3" s="1"/>
  <c r="BA473" i="3"/>
  <c r="AZ473" i="3" s="1"/>
  <c r="BA476" i="3"/>
  <c r="AZ476" i="3" s="1"/>
  <c r="G481" i="3"/>
  <c r="G482" i="3"/>
  <c r="G484" i="3"/>
  <c r="BL484" i="3"/>
  <c r="BL485" i="3"/>
  <c r="BL487" i="3"/>
  <c r="AZ487" i="3" s="1"/>
  <c r="BA488" i="3"/>
  <c r="AZ488" i="3" s="1"/>
  <c r="BA489" i="3"/>
  <c r="AZ489" i="3" s="1"/>
  <c r="BA490" i="3"/>
  <c r="AZ490" i="3" s="1"/>
  <c r="BA491" i="3"/>
  <c r="AZ491" i="3" s="1"/>
  <c r="BA303" i="3"/>
  <c r="AZ303" i="3" s="1"/>
  <c r="BA307" i="3"/>
  <c r="AZ307" i="3" s="1"/>
  <c r="BL312" i="3"/>
  <c r="AZ312" i="3" s="1"/>
  <c r="BA315" i="3"/>
  <c r="AZ315" i="3" s="1"/>
  <c r="BL316" i="3"/>
  <c r="BA319" i="3"/>
  <c r="AZ319" i="3" s="1"/>
  <c r="BA323" i="3"/>
  <c r="AZ323" i="3" s="1"/>
  <c r="BL328" i="3"/>
  <c r="AZ328" i="3" s="1"/>
  <c r="BA331" i="3"/>
  <c r="AZ331" i="3" s="1"/>
  <c r="BA333" i="3"/>
  <c r="AZ333" i="3" s="1"/>
  <c r="G343" i="3"/>
  <c r="BL348" i="3"/>
  <c r="AZ348" i="3" s="1"/>
  <c r="BL350" i="3"/>
  <c r="AZ350" i="3" s="1"/>
  <c r="BA353" i="3"/>
  <c r="AZ353" i="3" s="1"/>
  <c r="G362" i="3"/>
  <c r="BL367" i="3"/>
  <c r="AZ367" i="3" s="1"/>
  <c r="BA370" i="3"/>
  <c r="AZ370" i="3" s="1"/>
  <c r="BA374" i="3"/>
  <c r="AZ374" i="3" s="1"/>
  <c r="G380" i="3"/>
  <c r="BL385" i="3"/>
  <c r="AZ385" i="3" s="1"/>
  <c r="BA388" i="3"/>
  <c r="AZ388" i="3" s="1"/>
  <c r="BA395" i="3"/>
  <c r="AZ395" i="3" s="1"/>
  <c r="G209" i="3"/>
  <c r="G210" i="3"/>
  <c r="BL210" i="3"/>
  <c r="BA211" i="3"/>
  <c r="AZ211" i="3" s="1"/>
  <c r="BA213" i="3"/>
  <c r="AZ213" i="3" s="1"/>
  <c r="BA214" i="3"/>
  <c r="AZ214" i="3" s="1"/>
  <c r="G218" i="3"/>
  <c r="G219" i="3"/>
  <c r="BL219" i="3"/>
  <c r="AZ219" i="3" s="1"/>
  <c r="G222" i="3"/>
  <c r="G224" i="3"/>
  <c r="G225" i="3"/>
  <c r="BL225" i="3"/>
  <c r="AZ225" i="3" s="1"/>
  <c r="BL227" i="3"/>
  <c r="AZ227" i="3" s="1"/>
  <c r="G230" i="3"/>
  <c r="BL230" i="3"/>
  <c r="AZ230" i="3" s="1"/>
  <c r="BL232" i="3"/>
  <c r="AZ232" i="3" s="1"/>
  <c r="BA234" i="3"/>
  <c r="AZ234" i="3" s="1"/>
  <c r="BA235" i="3"/>
  <c r="AZ235" i="3" s="1"/>
  <c r="BL236" i="3"/>
  <c r="AZ236" i="3" s="1"/>
  <c r="BA238" i="3"/>
  <c r="AZ238" i="3" s="1"/>
  <c r="BA240" i="3"/>
  <c r="AZ240" i="3" s="1"/>
  <c r="G243" i="3"/>
  <c r="G245" i="3"/>
  <c r="G247" i="3"/>
  <c r="BL247" i="3"/>
  <c r="BL249" i="3"/>
  <c r="AZ249" i="3" s="1"/>
  <c r="BL251" i="3"/>
  <c r="AZ251" i="3" s="1"/>
  <c r="BA252" i="3"/>
  <c r="AZ252" i="3" s="1"/>
  <c r="BA254" i="3"/>
  <c r="AZ254" i="3" s="1"/>
  <c r="BL256" i="3"/>
  <c r="AZ256" i="3" s="1"/>
  <c r="G260" i="3"/>
  <c r="G262" i="3"/>
  <c r="BL262" i="3"/>
  <c r="BL264" i="3"/>
  <c r="AZ264" i="3" s="1"/>
  <c r="BA266" i="3"/>
  <c r="AZ266" i="3" s="1"/>
  <c r="BA268" i="3"/>
  <c r="AZ268" i="3" s="1"/>
  <c r="BA270" i="3"/>
  <c r="AZ270" i="3" s="1"/>
  <c r="BL273" i="3"/>
  <c r="AZ273" i="3" s="1"/>
  <c r="BL275" i="3"/>
  <c r="AZ275" i="3" s="1"/>
  <c r="BA276" i="3"/>
  <c r="AZ276" i="3" s="1"/>
  <c r="BL278" i="3"/>
  <c r="AZ278" i="3" s="1"/>
  <c r="BL280" i="3"/>
  <c r="AZ280" i="3" s="1"/>
  <c r="BL283" i="3"/>
  <c r="AZ283" i="3" s="1"/>
  <c r="AZ247" i="3"/>
  <c r="AZ262" i="3"/>
  <c r="AZ145" i="3"/>
  <c r="BA286" i="3"/>
  <c r="AZ286" i="3" s="1"/>
  <c r="BA287" i="3"/>
  <c r="AZ287" i="3" s="1"/>
  <c r="G291" i="3"/>
  <c r="G292" i="3"/>
  <c r="BL292" i="3"/>
  <c r="G295" i="3"/>
  <c r="G297" i="3"/>
  <c r="G298" i="3"/>
  <c r="BL298" i="3"/>
  <c r="G301" i="3"/>
  <c r="BL301" i="3"/>
  <c r="BA302" i="3"/>
  <c r="AZ302" i="3" s="1"/>
  <c r="BL114" i="3"/>
  <c r="AZ114" i="3" s="1"/>
  <c r="G120" i="3"/>
  <c r="BA122" i="3"/>
  <c r="AZ122" i="3" s="1"/>
  <c r="G126" i="3"/>
  <c r="G130" i="3"/>
  <c r="BL133" i="3"/>
  <c r="AZ133" i="3" s="1"/>
  <c r="BA134" i="3"/>
  <c r="AZ134" i="3" s="1"/>
  <c r="BA136" i="3"/>
  <c r="AZ136" i="3" s="1"/>
  <c r="BL137" i="3"/>
  <c r="G140" i="3"/>
  <c r="BA142" i="3"/>
  <c r="AZ142" i="3" s="1"/>
  <c r="BA144" i="3"/>
  <c r="AZ144" i="3" s="1"/>
  <c r="BL145" i="3"/>
  <c r="BL149" i="3"/>
  <c r="AZ149" i="3" s="1"/>
  <c r="G152" i="3"/>
  <c r="BA154" i="3"/>
  <c r="AZ154" i="3" s="1"/>
  <c r="BL155" i="3"/>
  <c r="AZ155" i="3" s="1"/>
  <c r="BA157" i="3"/>
  <c r="AZ157" i="3" s="1"/>
  <c r="BA158" i="3"/>
  <c r="AZ158" i="3" s="1"/>
  <c r="BL159" i="3"/>
  <c r="AZ159" i="3" s="1"/>
  <c r="BL162" i="3"/>
  <c r="AZ162" i="3" s="1"/>
  <c r="BL166" i="3"/>
  <c r="AZ166" i="3" s="1"/>
  <c r="G170" i="3"/>
  <c r="G171" i="3"/>
  <c r="BA172" i="3"/>
  <c r="AZ172" i="3" s="1"/>
  <c r="G174" i="3"/>
  <c r="G175" i="3"/>
  <c r="BA177" i="3"/>
  <c r="AZ177" i="3" s="1"/>
  <c r="BL181" i="3"/>
  <c r="AZ181" i="3" s="1"/>
  <c r="BL183" i="3"/>
  <c r="AZ183" i="3" s="1"/>
  <c r="BL186" i="3"/>
  <c r="AZ186" i="3" s="1"/>
  <c r="BL190" i="3"/>
  <c r="AZ190" i="3" s="1"/>
  <c r="G194" i="3"/>
  <c r="G195" i="3"/>
  <c r="BA196" i="3"/>
  <c r="AZ196" i="3" s="1"/>
  <c r="BL198" i="3"/>
  <c r="AZ198" i="3" s="1"/>
  <c r="BA201" i="3"/>
  <c r="AZ201" i="3" s="1"/>
  <c r="BA202" i="3"/>
  <c r="AZ202" i="3" s="1"/>
  <c r="G205" i="3"/>
  <c r="G207" i="3"/>
  <c r="BL207" i="3"/>
  <c r="AZ207" i="3" s="1"/>
  <c r="BA18" i="3"/>
  <c r="AZ18" i="3" s="1"/>
  <c r="BA20" i="3"/>
  <c r="AZ20" i="3" s="1"/>
  <c r="BA21" i="3"/>
  <c r="AZ21" i="3" s="1"/>
  <c r="G25" i="3"/>
  <c r="G5" i="3" s="1"/>
  <c r="B3" i="3" s="1"/>
  <c r="BL26" i="3"/>
  <c r="AZ26" i="3" s="1"/>
  <c r="BA27" i="3"/>
  <c r="AZ27" i="3" s="1"/>
  <c r="BA29" i="3"/>
  <c r="AZ29" i="3" s="1"/>
  <c r="BA30" i="3"/>
  <c r="AZ30" i="3" s="1"/>
  <c r="G33" i="3"/>
  <c r="G34" i="3"/>
  <c r="BL35" i="3"/>
  <c r="AZ35" i="3" s="1"/>
  <c r="BL37" i="3"/>
  <c r="AZ37" i="3" s="1"/>
  <c r="G39" i="3"/>
  <c r="G41" i="3"/>
  <c r="G42" i="3"/>
  <c r="BL43" i="3"/>
  <c r="AZ43" i="3" s="1"/>
  <c r="BL45" i="3"/>
  <c r="AZ45" i="3" s="1"/>
  <c r="BL47" i="3"/>
  <c r="AZ47" i="3" s="1"/>
  <c r="G50" i="3"/>
  <c r="G51" i="3"/>
  <c r="G53" i="3"/>
  <c r="G55" i="3"/>
  <c r="G57" i="3"/>
  <c r="BL57" i="3"/>
  <c r="AZ57" i="3" s="1"/>
  <c r="BA59" i="3"/>
  <c r="AZ59" i="3" s="1"/>
  <c r="BA61" i="3"/>
  <c r="AZ61" i="3" s="1"/>
  <c r="BA63" i="3"/>
  <c r="AZ63" i="3" s="1"/>
  <c r="BL64" i="3"/>
  <c r="AZ64" i="3" s="1"/>
  <c r="BA65" i="3"/>
  <c r="AZ65" i="3" s="1"/>
  <c r="BA66" i="3"/>
  <c r="AZ66" i="3" s="1"/>
  <c r="BL69" i="3"/>
  <c r="AZ69" i="3" s="1"/>
  <c r="C35" i="71"/>
  <c r="D34" i="71"/>
  <c r="O4" i="71"/>
  <c r="AE3" i="71"/>
  <c r="AF3" i="71" s="1"/>
  <c r="T40" i="71"/>
  <c r="T32" i="71"/>
  <c r="T20" i="71"/>
  <c r="V8" i="71"/>
  <c r="D47" i="71"/>
  <c r="Y10" i="71"/>
  <c r="Z10" i="71" s="1"/>
  <c r="X9" i="71"/>
  <c r="F15" i="71"/>
  <c r="F16" i="71" s="1"/>
  <c r="V16" i="71" s="1"/>
  <c r="Y14" i="71"/>
  <c r="Z14" i="71" s="1"/>
  <c r="E43" i="71"/>
  <c r="E44" i="71" s="1"/>
  <c r="U44" i="71" s="1"/>
  <c r="AH10" i="43"/>
  <c r="AD10" i="43"/>
  <c r="Z10" i="43"/>
  <c r="AG10" i="43"/>
  <c r="AC10" i="43"/>
  <c r="P74" i="67"/>
  <c r="N5" i="71"/>
  <c r="X5" i="71" s="1"/>
  <c r="N4" i="71"/>
  <c r="BA70" i="3"/>
  <c r="AZ70" i="3" s="1"/>
  <c r="G73" i="3"/>
  <c r="G75" i="3"/>
  <c r="G77" i="3"/>
  <c r="BA78" i="3"/>
  <c r="AZ78" i="3" s="1"/>
  <c r="BA80" i="3"/>
  <c r="AZ80" i="3" s="1"/>
  <c r="BA81" i="3"/>
  <c r="AZ81" i="3" s="1"/>
  <c r="BA83" i="3"/>
  <c r="AZ83" i="3" s="1"/>
  <c r="BA85" i="3"/>
  <c r="AZ85" i="3" s="1"/>
  <c r="BA86" i="3"/>
  <c r="AZ86" i="3" s="1"/>
  <c r="G89" i="3"/>
  <c r="G90" i="3"/>
  <c r="BL90" i="3"/>
  <c r="G93" i="3"/>
  <c r="G95" i="3"/>
  <c r="BL95" i="3"/>
  <c r="BL97" i="3"/>
  <c r="AZ97" i="3" s="1"/>
  <c r="G100" i="3"/>
  <c r="BL100" i="3"/>
  <c r="BA102" i="3"/>
  <c r="AZ102" i="3" s="1"/>
  <c r="BA104" i="3"/>
  <c r="AZ104" i="3" s="1"/>
  <c r="G107" i="3"/>
  <c r="G108" i="3"/>
  <c r="G110" i="3"/>
  <c r="BL111" i="3"/>
  <c r="AZ111" i="3" s="1"/>
  <c r="I10" i="66"/>
  <c r="D23" i="67"/>
  <c r="C40" i="69"/>
  <c r="U18" i="35"/>
  <c r="U29" i="39"/>
  <c r="W25" i="40"/>
  <c r="S21" i="21"/>
  <c r="U18" i="36"/>
  <c r="B55" i="43"/>
  <c r="F5" i="71"/>
  <c r="E10" i="49"/>
  <c r="E6" i="49"/>
  <c r="B4" i="49"/>
  <c r="E16" i="49"/>
  <c r="B16" i="49"/>
  <c r="C4" i="4" s="1"/>
  <c r="B4" i="62" s="1"/>
  <c r="B71" i="72" s="1"/>
  <c r="E4" i="49"/>
  <c r="E5" i="49"/>
  <c r="E8" i="49"/>
  <c r="B9" i="49"/>
  <c r="E4" i="4" s="1"/>
  <c r="B5" i="62" s="1"/>
  <c r="B73" i="72" s="1"/>
  <c r="E7" i="49"/>
  <c r="B10" i="49"/>
  <c r="E11" i="49"/>
  <c r="B8" i="49"/>
  <c r="B6" i="49"/>
  <c r="E9" i="49"/>
  <c r="E21" i="49"/>
  <c r="B11" i="49"/>
  <c r="B13" i="49"/>
  <c r="B5" i="49"/>
  <c r="E22" i="49"/>
  <c r="B14" i="49"/>
  <c r="B7" i="49"/>
  <c r="B22" i="49"/>
  <c r="I14" i="74"/>
  <c r="B8" i="74" s="1"/>
  <c r="D127" i="9"/>
  <c r="D13" i="52" s="1"/>
  <c r="D12" i="52"/>
  <c r="I65" i="40"/>
  <c r="D70" i="39"/>
  <c r="E68" i="39"/>
  <c r="C48" i="69"/>
  <c r="C30" i="69"/>
  <c r="M87" i="43"/>
  <c r="N87" i="43" s="1"/>
  <c r="K87" i="43"/>
  <c r="U15" i="21"/>
  <c r="AB15" i="21"/>
  <c r="AA37" i="21"/>
  <c r="S37" i="21"/>
  <c r="D48" i="35"/>
  <c r="E46" i="36"/>
  <c r="B34" i="72"/>
  <c r="D17" i="53"/>
  <c r="B36" i="72" s="1"/>
  <c r="M49" i="9"/>
  <c r="D124" i="9"/>
  <c r="H110" i="9"/>
  <c r="D18" i="53" s="1"/>
  <c r="B35" i="72" s="1"/>
  <c r="K63" i="40"/>
  <c r="O16" i="1"/>
  <c r="C48" i="68"/>
  <c r="C48" i="11"/>
  <c r="C30" i="11"/>
  <c r="M85" i="43"/>
  <c r="N85" i="43" s="1"/>
  <c r="K85" i="43"/>
  <c r="M81" i="43"/>
  <c r="N81" i="43" s="1"/>
  <c r="K81" i="43"/>
  <c r="W37" i="21"/>
  <c r="AC37" i="21"/>
  <c r="D58" i="21"/>
  <c r="D58" i="33"/>
  <c r="E58" i="33" s="1"/>
  <c r="F58" i="33" s="1"/>
  <c r="G58" i="33" s="1"/>
  <c r="H58" i="33" s="1"/>
  <c r="I58" i="33" s="1"/>
  <c r="J58" i="33" s="1"/>
  <c r="K58" i="33" s="1"/>
  <c r="L58" i="33" s="1"/>
  <c r="M58" i="33" s="1"/>
  <c r="N58" i="33" s="1"/>
  <c r="O58" i="33" s="1"/>
  <c r="F7" i="33"/>
  <c r="H7" i="33"/>
  <c r="H88" i="43"/>
  <c r="G88" i="43" s="1"/>
  <c r="H82" i="43"/>
  <c r="G82" i="43" s="1"/>
  <c r="H83" i="43"/>
  <c r="G83" i="43" s="1"/>
  <c r="H84" i="43"/>
  <c r="G84" i="43" s="1"/>
  <c r="H86" i="43"/>
  <c r="G86" i="43" s="1"/>
  <c r="E28" i="6"/>
  <c r="G30" i="6"/>
  <c r="G31" i="6" s="1"/>
  <c r="C36" i="69"/>
  <c r="AA19" i="33"/>
  <c r="S17" i="37"/>
  <c r="S26" i="35"/>
  <c r="D68" i="9"/>
  <c r="C24" i="12"/>
  <c r="E59" i="40"/>
  <c r="M18" i="67"/>
  <c r="F52" i="9"/>
  <c r="AA11" i="37"/>
  <c r="T10" i="1"/>
  <c r="T12" i="1"/>
  <c r="BA5" i="3"/>
  <c r="E27" i="6" s="1"/>
  <c r="S32" i="37"/>
  <c r="S27" i="36"/>
  <c r="F32" i="15"/>
  <c r="F60" i="15" s="1"/>
  <c r="F28" i="15"/>
  <c r="C28" i="15" s="1"/>
  <c r="F32" i="77"/>
  <c r="F60" i="77" s="1"/>
  <c r="F28" i="77"/>
  <c r="C28" i="77" s="1"/>
  <c r="M18" i="77"/>
  <c r="AZ322" i="3"/>
  <c r="AZ306" i="3"/>
  <c r="AZ378" i="3"/>
  <c r="AA14" i="37"/>
  <c r="U46" i="33"/>
  <c r="H9" i="36"/>
  <c r="J9" i="36"/>
  <c r="F9" i="36"/>
  <c r="F23" i="36"/>
  <c r="J23" i="36"/>
  <c r="AZ416" i="3"/>
  <c r="AZ432" i="3"/>
  <c r="AZ447" i="3"/>
  <c r="AZ448" i="3"/>
  <c r="AZ484" i="3"/>
  <c r="AZ485" i="3"/>
  <c r="AZ316" i="3"/>
  <c r="AZ210" i="3"/>
  <c r="AZ239" i="3"/>
  <c r="AZ258" i="3"/>
  <c r="AZ267" i="3"/>
  <c r="AZ292" i="3"/>
  <c r="AZ298" i="3"/>
  <c r="AZ301" i="3"/>
  <c r="AZ137" i="3"/>
  <c r="H38" i="40"/>
  <c r="J38" i="40"/>
  <c r="F34" i="15"/>
  <c r="F62" i="15" s="1"/>
  <c r="F34" i="77"/>
  <c r="F62" i="77" s="1"/>
  <c r="M20" i="77"/>
  <c r="C7" i="37"/>
  <c r="C52" i="37" s="1"/>
  <c r="C7" i="34"/>
  <c r="C59" i="34" s="1"/>
  <c r="J51" i="77"/>
  <c r="V20" i="71"/>
  <c r="M19" i="43"/>
  <c r="AZ60" i="3"/>
  <c r="AZ90" i="3"/>
  <c r="AZ95" i="3"/>
  <c r="AZ100" i="3"/>
  <c r="B13" i="1"/>
  <c r="E13" i="1" s="1"/>
  <c r="K13" i="1"/>
  <c r="C15" i="71"/>
  <c r="D14" i="71"/>
  <c r="X13" i="71"/>
  <c r="X14" i="71"/>
  <c r="X15" i="71"/>
  <c r="AA19" i="71"/>
  <c r="AA17" i="71"/>
  <c r="P5" i="71"/>
  <c r="AA5" i="71" s="1"/>
  <c r="AG5" i="71"/>
  <c r="K4" i="71"/>
  <c r="X3" i="71"/>
  <c r="J51" i="15"/>
  <c r="G100" i="43"/>
  <c r="D100" i="43"/>
  <c r="S18" i="35"/>
  <c r="S29" i="39"/>
  <c r="C29" i="39"/>
  <c r="B66" i="43"/>
  <c r="P27" i="6"/>
  <c r="O46" i="71"/>
  <c r="O45" i="71"/>
  <c r="AA7" i="71"/>
  <c r="AB5" i="71"/>
  <c r="C7" i="71"/>
  <c r="D38" i="71"/>
  <c r="AB6" i="71"/>
  <c r="AB8" i="71"/>
  <c r="X7" i="71"/>
  <c r="Y17" i="71"/>
  <c r="Z17" i="71" s="1"/>
  <c r="AA14" i="71"/>
  <c r="Y13" i="71"/>
  <c r="Z13" i="71" s="1"/>
  <c r="X12" i="71"/>
  <c r="X10" i="71"/>
  <c r="C11" i="71"/>
  <c r="E20" i="71"/>
  <c r="U20" i="71" s="1"/>
  <c r="B16" i="71"/>
  <c r="S16" i="71" s="1"/>
  <c r="AA9" i="71"/>
  <c r="B12" i="71"/>
  <c r="S12" i="71" s="1"/>
  <c r="Y9" i="71"/>
  <c r="Z9" i="71" s="1"/>
  <c r="Y6" i="71"/>
  <c r="Z6" i="71" s="1"/>
  <c r="Y7" i="71"/>
  <c r="Z7" i="71" s="1"/>
  <c r="Y8" i="71"/>
  <c r="Z8" i="71" s="1"/>
  <c r="AB9" i="71"/>
  <c r="F10" i="71"/>
  <c r="F11" i="71" s="1"/>
  <c r="F12" i="71" s="1"/>
  <c r="V12" i="71" s="1"/>
  <c r="Y11" i="71"/>
  <c r="Z11" i="71" s="1"/>
  <c r="AA10" i="71"/>
  <c r="AA11" i="71"/>
  <c r="AA8" i="71"/>
  <c r="Y12" i="71"/>
  <c r="Z12" i="71" s="1"/>
  <c r="AB12" i="71"/>
  <c r="Y15" i="71"/>
  <c r="Z15" i="71" s="1"/>
  <c r="AA13" i="71"/>
  <c r="AA12" i="71"/>
  <c r="Y16" i="71"/>
  <c r="Z16" i="71" s="1"/>
  <c r="B43" i="71"/>
  <c r="B44" i="71" s="1"/>
  <c r="S44" i="71" s="1"/>
  <c r="F46" i="71"/>
  <c r="Q47" i="71"/>
  <c r="D64" i="71"/>
  <c r="C63" i="71"/>
  <c r="X6" i="71"/>
  <c r="AA6" i="71"/>
  <c r="Q4" i="71"/>
  <c r="AB3" i="71" s="1"/>
  <c r="AH3" i="71"/>
  <c r="Y3" i="71"/>
  <c r="Z3" i="71" s="1"/>
  <c r="Y5" i="71"/>
  <c r="Z5" i="71" s="1"/>
  <c r="D3" i="79"/>
  <c r="D2" i="79"/>
  <c r="D4" i="79"/>
  <c r="S48" i="71"/>
  <c r="B47" i="71"/>
  <c r="C9" i="68"/>
  <c r="P61" i="15"/>
  <c r="P16" i="1"/>
  <c r="C11" i="12" s="1"/>
  <c r="C12" i="12" s="1"/>
  <c r="G16" i="1"/>
  <c r="H10" i="40" s="1"/>
  <c r="G1" i="77"/>
  <c r="H16" i="1"/>
  <c r="Q16" i="1"/>
  <c r="M7" i="1"/>
  <c r="B7" i="1"/>
  <c r="E7" i="1" s="1"/>
  <c r="E66" i="39"/>
  <c r="J34" i="34"/>
  <c r="H34" i="34"/>
  <c r="F34" i="34"/>
  <c r="AJ11" i="43"/>
  <c r="AJ13" i="43" s="1"/>
  <c r="AF11" i="43"/>
  <c r="AF13" i="43" s="1"/>
  <c r="AB11" i="43"/>
  <c r="AB13" i="43" s="1"/>
  <c r="Z7" i="43"/>
  <c r="AH11" i="43"/>
  <c r="AH13" i="43" s="1"/>
  <c r="AD11" i="43"/>
  <c r="AD13" i="43" s="1"/>
  <c r="Z11" i="43"/>
  <c r="Z13" i="43" s="1"/>
  <c r="J22" i="43"/>
  <c r="E7" i="70"/>
  <c r="D29" i="43"/>
  <c r="D1" i="43" s="1"/>
  <c r="F31" i="6"/>
  <c r="F22" i="43"/>
  <c r="K101" i="43"/>
  <c r="F101" i="43"/>
  <c r="N101" i="43"/>
  <c r="E22" i="43"/>
  <c r="L101" i="43"/>
  <c r="H101" i="43"/>
  <c r="G22" i="43"/>
  <c r="B113" i="43"/>
  <c r="G101" i="43"/>
  <c r="C101" i="43"/>
  <c r="J101" i="43"/>
  <c r="N104" i="46"/>
  <c r="H22" i="43"/>
  <c r="D101" i="43"/>
  <c r="M101" i="43"/>
  <c r="I101" i="43"/>
  <c r="E101" i="43"/>
  <c r="AI11" i="43"/>
  <c r="AI13" i="43" s="1"/>
  <c r="AG11" i="43"/>
  <c r="AG13" i="43" s="1"/>
  <c r="AE11" i="43"/>
  <c r="AE13" i="43" s="1"/>
  <c r="AC11" i="43"/>
  <c r="AC13" i="43" s="1"/>
  <c r="AA11" i="43"/>
  <c r="AA13" i="43" s="1"/>
  <c r="Y11" i="43"/>
  <c r="Y13" i="43" s="1"/>
  <c r="J30" i="37"/>
  <c r="H30" i="37"/>
  <c r="F30" i="37"/>
  <c r="B8" i="70"/>
  <c r="B20" i="31"/>
  <c r="Q71" i="67"/>
  <c r="J53" i="15"/>
  <c r="I54" i="15"/>
  <c r="L56" i="15"/>
  <c r="J57" i="15"/>
  <c r="J55" i="15" s="1"/>
  <c r="J58" i="15" s="1"/>
  <c r="Q50" i="15" s="1"/>
  <c r="J60" i="15"/>
  <c r="Q48" i="15" s="1"/>
  <c r="L57" i="15"/>
  <c r="L60" i="15"/>
  <c r="J59" i="15"/>
  <c r="F70" i="67"/>
  <c r="L58" i="67"/>
  <c r="N59" i="67"/>
  <c r="L59" i="67"/>
  <c r="M59" i="67"/>
  <c r="M7" i="67"/>
  <c r="J6" i="67" s="1"/>
  <c r="F50" i="67"/>
  <c r="F68" i="67"/>
  <c r="J57" i="67"/>
  <c r="J55" i="67" s="1"/>
  <c r="J58" i="67" s="1"/>
  <c r="Q50" i="67" s="1"/>
  <c r="I54" i="67"/>
  <c r="L56" i="67"/>
  <c r="F65" i="67"/>
  <c r="B9" i="70"/>
  <c r="B12" i="70"/>
  <c r="E20" i="43"/>
  <c r="F64" i="67"/>
  <c r="F51" i="67"/>
  <c r="C49" i="67" s="1"/>
  <c r="M59" i="15"/>
  <c r="L58" i="15"/>
  <c r="N59" i="15"/>
  <c r="L59" i="15"/>
  <c r="F71" i="67"/>
  <c r="C6" i="67"/>
  <c r="Q71" i="15"/>
  <c r="F66" i="67"/>
  <c r="C27" i="67"/>
  <c r="B11" i="70"/>
  <c r="B13" i="70"/>
  <c r="B10" i="70"/>
  <c r="F69" i="15"/>
  <c r="F68" i="15"/>
  <c r="F65" i="15"/>
  <c r="F64" i="15"/>
  <c r="B40" i="1"/>
  <c r="F50" i="15"/>
  <c r="M7" i="15"/>
  <c r="F51" i="15"/>
  <c r="F66" i="15"/>
  <c r="C27" i="15"/>
  <c r="F71" i="15"/>
  <c r="I1" i="73"/>
  <c r="B39" i="1" s="1"/>
  <c r="M9" i="77"/>
  <c r="C16" i="67"/>
  <c r="M23" i="77"/>
  <c r="F38" i="77"/>
  <c r="L47" i="77"/>
  <c r="M26" i="77"/>
  <c r="F6" i="77"/>
  <c r="F16" i="77"/>
  <c r="F31" i="67"/>
  <c r="F8" i="77"/>
  <c r="F59" i="67"/>
  <c r="C16" i="15"/>
  <c r="C14" i="77"/>
  <c r="F42" i="77"/>
  <c r="F37" i="77"/>
  <c r="F43" i="77"/>
  <c r="F41" i="77"/>
  <c r="F13" i="77"/>
  <c r="M22" i="77"/>
  <c r="M29" i="77"/>
  <c r="J15" i="77"/>
  <c r="F9" i="77"/>
  <c r="F40" i="77"/>
  <c r="L48" i="77"/>
  <c r="F7" i="77"/>
  <c r="F31" i="77"/>
  <c r="C76" i="77"/>
  <c r="M24" i="77"/>
  <c r="F26" i="77"/>
  <c r="M28" i="77"/>
  <c r="M8" i="77"/>
  <c r="M17" i="67"/>
  <c r="F36" i="77"/>
  <c r="E69" i="3" l="1"/>
  <c r="E125" i="3"/>
  <c r="E217" i="3"/>
  <c r="E366" i="3"/>
  <c r="E526" i="3"/>
  <c r="E553" i="3"/>
  <c r="E268" i="3"/>
  <c r="E282" i="3"/>
  <c r="E322" i="3"/>
  <c r="N6" i="3"/>
  <c r="AJ6" i="3"/>
  <c r="E347" i="3"/>
  <c r="E583" i="3"/>
  <c r="AA6" i="3"/>
  <c r="X6" i="3"/>
  <c r="E399" i="3"/>
  <c r="E336" i="3"/>
  <c r="E280" i="3"/>
  <c r="E246" i="3"/>
  <c r="E124" i="3"/>
  <c r="E293" i="3"/>
  <c r="E397" i="3"/>
  <c r="E314" i="3"/>
  <c r="E568" i="3"/>
  <c r="E530" i="3"/>
  <c r="E305" i="3"/>
  <c r="E508" i="3"/>
  <c r="E539" i="3"/>
  <c r="E567" i="3"/>
  <c r="E461" i="3"/>
  <c r="E227" i="3"/>
  <c r="E165" i="3"/>
  <c r="E385" i="3"/>
  <c r="E511" i="3"/>
  <c r="I6" i="3"/>
  <c r="E16" i="3"/>
  <c r="E536" i="3"/>
  <c r="AK6" i="3"/>
  <c r="E549" i="3"/>
  <c r="E434" i="3"/>
  <c r="E453" i="3"/>
  <c r="E306" i="3"/>
  <c r="E368" i="3"/>
  <c r="E296" i="3"/>
  <c r="E244" i="3"/>
  <c r="E196" i="3"/>
  <c r="E136" i="3"/>
  <c r="E156" i="3"/>
  <c r="E236" i="3"/>
  <c r="E148" i="3"/>
  <c r="E269" i="3"/>
  <c r="E122" i="3"/>
  <c r="E252" i="3"/>
  <c r="E271" i="3"/>
  <c r="E204" i="3"/>
  <c r="E145" i="3"/>
  <c r="E164" i="3"/>
  <c r="E327" i="3"/>
  <c r="E379" i="3"/>
  <c r="E576" i="3"/>
  <c r="E585" i="3"/>
  <c r="Z6" i="3"/>
  <c r="U6" i="3"/>
  <c r="AG6" i="3"/>
  <c r="E515" i="3"/>
  <c r="AO6" i="3"/>
  <c r="E411" i="3"/>
  <c r="E448" i="3"/>
  <c r="E478" i="3"/>
  <c r="E485" i="3"/>
  <c r="E548" i="3"/>
  <c r="P6" i="3"/>
  <c r="E400" i="3"/>
  <c r="E443" i="3"/>
  <c r="E477" i="3"/>
  <c r="E345" i="3"/>
  <c r="E367" i="3"/>
  <c r="E558" i="3"/>
  <c r="E505" i="3"/>
  <c r="E557" i="3"/>
  <c r="E547" i="3"/>
  <c r="E581" i="3"/>
  <c r="AS6" i="3"/>
  <c r="E531" i="3"/>
  <c r="E403" i="3"/>
  <c r="E444" i="3"/>
  <c r="E476" i="3"/>
  <c r="E489" i="3"/>
  <c r="E546" i="3"/>
  <c r="E28" i="3"/>
  <c r="E71" i="3"/>
  <c r="E88" i="3"/>
  <c r="E27" i="3"/>
  <c r="E70" i="3"/>
  <c r="E92" i="3"/>
  <c r="E121" i="3"/>
  <c r="E162" i="3"/>
  <c r="E182" i="3"/>
  <c r="E166" i="3"/>
  <c r="E186" i="3"/>
  <c r="E211" i="3"/>
  <c r="E272" i="3"/>
  <c r="E273" i="3"/>
  <c r="E316" i="3"/>
  <c r="E331" i="3"/>
  <c r="E377" i="3"/>
  <c r="E317" i="3"/>
  <c r="E334" i="3"/>
  <c r="E384" i="3"/>
  <c r="E572" i="3"/>
  <c r="AM6" i="3"/>
  <c r="E30" i="3"/>
  <c r="E44" i="3"/>
  <c r="E109" i="3"/>
  <c r="E29" i="3"/>
  <c r="E480" i="3"/>
  <c r="E425" i="3"/>
  <c r="E467" i="3"/>
  <c r="E64" i="3"/>
  <c r="E46" i="3"/>
  <c r="E103" i="3"/>
  <c r="E160" i="3"/>
  <c r="E142" i="3"/>
  <c r="E200" i="3"/>
  <c r="E267" i="3"/>
  <c r="E249" i="3"/>
  <c r="E300" i="3"/>
  <c r="E371" i="3"/>
  <c r="E310" i="3"/>
  <c r="E492" i="3"/>
  <c r="E23" i="3"/>
  <c r="E84" i="3"/>
  <c r="E67" i="3"/>
  <c r="E144" i="3"/>
  <c r="E184" i="3"/>
  <c r="E233" i="3"/>
  <c r="E355" i="3"/>
  <c r="E381" i="3"/>
  <c r="E68" i="3"/>
  <c r="E63" i="3"/>
  <c r="E81" i="3"/>
  <c r="E118" i="3"/>
  <c r="E264" i="3"/>
  <c r="E283" i="3"/>
  <c r="E309" i="3"/>
  <c r="E513" i="3"/>
  <c r="E21" i="3"/>
  <c r="E319" i="3"/>
  <c r="E501" i="3"/>
  <c r="E153" i="3"/>
  <c r="E426" i="3"/>
  <c r="E328" i="3"/>
  <c r="E329" i="3"/>
  <c r="E545" i="3"/>
  <c r="E510" i="3"/>
  <c r="E352" i="3"/>
  <c r="E128" i="3"/>
  <c r="E353" i="3"/>
  <c r="E495" i="3"/>
  <c r="E518" i="3"/>
  <c r="AN6" i="3"/>
  <c r="AI6" i="3"/>
  <c r="E586" i="3"/>
  <c r="E578" i="3"/>
  <c r="E402" i="3"/>
  <c r="E423" i="3"/>
  <c r="E350" i="3"/>
  <c r="E382" i="3"/>
  <c r="E303" i="3"/>
  <c r="E263" i="3"/>
  <c r="E159" i="3"/>
  <c r="E191" i="3"/>
  <c r="E99" i="3"/>
  <c r="E188" i="3"/>
  <c r="E228" i="3"/>
  <c r="E181" i="3"/>
  <c r="E157" i="3"/>
  <c r="E149" i="3"/>
  <c r="E212" i="3"/>
  <c r="E253" i="3"/>
  <c r="E167" i="3"/>
  <c r="E199" i="3"/>
  <c r="E141" i="3"/>
  <c r="E286" i="3"/>
  <c r="E312" i="3"/>
  <c r="E575" i="3"/>
  <c r="AD6" i="3"/>
  <c r="E499" i="3"/>
  <c r="E542" i="3"/>
  <c r="R6" i="3"/>
  <c r="E552" i="3"/>
  <c r="E502" i="3"/>
  <c r="E421" i="3"/>
  <c r="E464" i="3"/>
  <c r="E466" i="3"/>
  <c r="E487" i="3"/>
  <c r="E541" i="3"/>
  <c r="E398" i="3"/>
  <c r="E430" i="3"/>
  <c r="E416" i="3"/>
  <c r="E449" i="3"/>
  <c r="E459" i="3"/>
  <c r="E255" i="3"/>
  <c r="E374" i="3"/>
  <c r="I3" i="6"/>
  <c r="AP6" i="3"/>
  <c r="E500" i="3"/>
  <c r="E554" i="3"/>
  <c r="E582" i="3"/>
  <c r="E517" i="3"/>
  <c r="E413" i="3"/>
  <c r="E435" i="3"/>
  <c r="E460" i="3"/>
  <c r="E491" i="3"/>
  <c r="E520" i="3"/>
  <c r="E417" i="3"/>
  <c r="E436" i="3"/>
  <c r="E479" i="3"/>
  <c r="E56" i="3"/>
  <c r="E37" i="3"/>
  <c r="E131" i="3"/>
  <c r="E187" i="3"/>
  <c r="E132" i="3"/>
  <c r="E155" i="3"/>
  <c r="E192" i="3"/>
  <c r="E240" i="3"/>
  <c r="E258" i="3"/>
  <c r="E241" i="3"/>
  <c r="E259" i="3"/>
  <c r="E348" i="3"/>
  <c r="E363" i="3"/>
  <c r="E378" i="3"/>
  <c r="E349" i="3"/>
  <c r="E375" i="3"/>
  <c r="E389" i="3"/>
  <c r="E504" i="3"/>
  <c r="E544" i="3"/>
  <c r="E58" i="3"/>
  <c r="E76" i="3"/>
  <c r="E59" i="3"/>
  <c r="E540" i="3"/>
  <c r="E462" i="3"/>
  <c r="E521" i="3"/>
  <c r="E47" i="3"/>
  <c r="E98" i="3"/>
  <c r="E65" i="3"/>
  <c r="E138" i="3"/>
  <c r="E163" i="3"/>
  <c r="E248" i="3"/>
  <c r="E266" i="3"/>
  <c r="E307" i="3"/>
  <c r="E386" i="3"/>
  <c r="E354" i="3"/>
  <c r="E584" i="3"/>
  <c r="E66" i="3"/>
  <c r="E24" i="3"/>
  <c r="E48" i="3"/>
  <c r="E87" i="3"/>
  <c r="E127" i="3"/>
  <c r="E250" i="3"/>
  <c r="E284" i="3"/>
  <c r="E341" i="3"/>
  <c r="Y6" i="3"/>
  <c r="E19" i="3"/>
  <c r="E154" i="3"/>
  <c r="E179" i="3"/>
  <c r="E323" i="3"/>
  <c r="E373" i="3"/>
  <c r="E82"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17" i="3"/>
  <c r="E161" i="3"/>
  <c r="E290" i="3"/>
  <c r="E13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535" i="3"/>
  <c r="E550" i="3"/>
  <c r="E445" i="3"/>
  <c r="E260" i="3"/>
  <c r="E172" i="3"/>
  <c r="E395" i="3"/>
  <c r="E563" i="3"/>
  <c r="E415" i="3"/>
  <c r="E278" i="3"/>
  <c r="E11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80" i="3"/>
  <c r="E221" i="3"/>
  <c r="E91"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02" i="3"/>
  <c r="E503" i="3"/>
  <c r="E17" i="3"/>
  <c r="E361" i="3"/>
  <c r="E213" i="3"/>
  <c r="E183" i="3"/>
  <c r="E565" i="3"/>
  <c r="E528" i="3"/>
  <c r="E304" i="3"/>
  <c r="E261" i="3"/>
  <c r="E237" i="3"/>
  <c r="F10" i="39"/>
  <c r="I21" i="66"/>
  <c r="D1" i="66"/>
  <c r="E10" i="66" s="1"/>
  <c r="E110" i="3"/>
  <c r="E107" i="3"/>
  <c r="E90" i="3"/>
  <c r="E77" i="3"/>
  <c r="D35" i="71"/>
  <c r="C36" i="71"/>
  <c r="E51" i="3"/>
  <c r="E205" i="3"/>
  <c r="E175" i="3"/>
  <c r="E152" i="3"/>
  <c r="E297" i="3"/>
  <c r="E291" i="3"/>
  <c r="E245" i="3"/>
  <c r="E222" i="3"/>
  <c r="E210" i="3"/>
  <c r="E447" i="3"/>
  <c r="E441" i="3"/>
  <c r="E404" i="3"/>
  <c r="E566" i="3"/>
  <c r="AC34" i="35"/>
  <c r="W34" i="35"/>
  <c r="AC44" i="39"/>
  <c r="W44" i="39"/>
  <c r="AB39" i="37"/>
  <c r="U39" i="37"/>
  <c r="AA37" i="39"/>
  <c r="S37" i="39"/>
  <c r="AA24" i="36"/>
  <c r="S24" i="36"/>
  <c r="AC9" i="33"/>
  <c r="W9" i="33"/>
  <c r="AA19" i="34"/>
  <c r="S19" i="34"/>
  <c r="AA9" i="34"/>
  <c r="S9" i="34"/>
  <c r="B38" i="72"/>
  <c r="D20" i="53"/>
  <c r="B40" i="72" s="1"/>
  <c r="J7" i="33"/>
  <c r="E95" i="3"/>
  <c r="E89" i="3"/>
  <c r="B5" i="71"/>
  <c r="B4" i="71" s="1"/>
  <c r="E57" i="3"/>
  <c r="E53" i="3"/>
  <c r="E39" i="3"/>
  <c r="E33" i="3"/>
  <c r="E207" i="3"/>
  <c r="E195" i="3"/>
  <c r="E126" i="3"/>
  <c r="E301" i="3"/>
  <c r="E295" i="3"/>
  <c r="E292" i="3"/>
  <c r="E262" i="3"/>
  <c r="E209" i="3"/>
  <c r="E343" i="3"/>
  <c r="E484" i="3"/>
  <c r="E446" i="3"/>
  <c r="E442" i="3"/>
  <c r="E432" i="3"/>
  <c r="E414" i="3"/>
  <c r="AA44" i="39"/>
  <c r="S44" i="39"/>
  <c r="AA34" i="35"/>
  <c r="S34" i="35"/>
  <c r="S45" i="39"/>
  <c r="AA45" i="39"/>
  <c r="AA35" i="39"/>
  <c r="S35" i="39"/>
  <c r="AA33" i="36"/>
  <c r="S33" i="36"/>
  <c r="W17" i="34"/>
  <c r="AC17" i="34"/>
  <c r="S9" i="33"/>
  <c r="AA9" i="33"/>
  <c r="AB9" i="33"/>
  <c r="U9" i="33"/>
  <c r="U37" i="34"/>
  <c r="AB37" i="34"/>
  <c r="AC19" i="34"/>
  <c r="W19" i="34"/>
  <c r="AB9" i="34"/>
  <c r="U9" i="34"/>
  <c r="AZ16" i="3"/>
  <c r="AZ5" i="3" s="1"/>
  <c r="L46" i="15"/>
  <c r="K4" i="4"/>
  <c r="B46" i="48" s="1"/>
  <c r="B4" i="72" s="1"/>
  <c r="N47" i="71"/>
  <c r="B46" i="71"/>
  <c r="Q46" i="71"/>
  <c r="Q45" i="71"/>
  <c r="D11" i="71"/>
  <c r="C12" i="71"/>
  <c r="D7" i="71"/>
  <c r="C6" i="71"/>
  <c r="P4" i="71"/>
  <c r="AA3" i="71" s="1"/>
  <c r="AG3" i="71"/>
  <c r="E5" i="71"/>
  <c r="E4" i="71" s="1"/>
  <c r="D52" i="37"/>
  <c r="E52" i="37" s="1"/>
  <c r="F52" i="37" s="1"/>
  <c r="G52" i="37" s="1"/>
  <c r="H52" i="37" s="1"/>
  <c r="I52" i="37" s="1"/>
  <c r="J52" i="37" s="1"/>
  <c r="K52" i="37" s="1"/>
  <c r="L52" i="37" s="1"/>
  <c r="M52" i="37" s="1"/>
  <c r="N52" i="37" s="1"/>
  <c r="O52" i="37" s="1"/>
  <c r="J7" i="37"/>
  <c r="AC38" i="40"/>
  <c r="W38" i="40"/>
  <c r="AA23" i="36"/>
  <c r="S23" i="36"/>
  <c r="AC9" i="36"/>
  <c r="W9" i="36"/>
  <c r="H6" i="3"/>
  <c r="K14" i="1"/>
  <c r="K26" i="6"/>
  <c r="M26" i="6" s="1"/>
  <c r="I26" i="6" s="1"/>
  <c r="S26" i="6" s="1"/>
  <c r="K19" i="6"/>
  <c r="K25" i="6"/>
  <c r="M25" i="6" s="1"/>
  <c r="I25" i="6" s="1"/>
  <c r="S25" i="6" s="1"/>
  <c r="K20" i="6"/>
  <c r="K24" i="6"/>
  <c r="M24" i="6" s="1"/>
  <c r="I24" i="6" s="1"/>
  <c r="S24" i="6" s="1"/>
  <c r="K21" i="6"/>
  <c r="M21" i="6" s="1"/>
  <c r="I21" i="6" s="1"/>
  <c r="S21" i="6" s="1"/>
  <c r="K22" i="6"/>
  <c r="M22" i="6" s="1"/>
  <c r="I22" i="6" s="1"/>
  <c r="S22" i="6" s="1"/>
  <c r="K23" i="6"/>
  <c r="M23" i="6" s="1"/>
  <c r="I23" i="6" s="1"/>
  <c r="S23" i="6" s="1"/>
  <c r="E30" i="6"/>
  <c r="E31" i="6" s="1"/>
  <c r="M84" i="43"/>
  <c r="K84" i="43"/>
  <c r="J84" i="43" s="1"/>
  <c r="M82" i="43"/>
  <c r="N82" i="43" s="1"/>
  <c r="K82" i="43"/>
  <c r="U7" i="33"/>
  <c r="AB7" i="33"/>
  <c r="T48" i="33" s="1"/>
  <c r="G48" i="33" s="1"/>
  <c r="W7" i="33"/>
  <c r="AC7" i="33"/>
  <c r="V48" i="33" s="1"/>
  <c r="I48" i="33" s="1"/>
  <c r="J81" i="43"/>
  <c r="D81" i="43"/>
  <c r="J85" i="43"/>
  <c r="D85" i="43"/>
  <c r="L63" i="40"/>
  <c r="K65" i="40"/>
  <c r="D10" i="52"/>
  <c r="D125" i="9"/>
  <c r="D11" i="52" s="1"/>
  <c r="H14" i="74"/>
  <c r="B7" i="74" s="1"/>
  <c r="J87" i="43"/>
  <c r="D87" i="43"/>
  <c r="D63" i="71"/>
  <c r="C62" i="71"/>
  <c r="D62" i="71" s="1"/>
  <c r="C19" i="43"/>
  <c r="D15" i="71"/>
  <c r="C16" i="71"/>
  <c r="M13" i="1"/>
  <c r="C34" i="69"/>
  <c r="F4" i="71"/>
  <c r="D59" i="34"/>
  <c r="E59" i="34" s="1"/>
  <c r="F59" i="34" s="1"/>
  <c r="G59" i="34" s="1"/>
  <c r="H59" i="34" s="1"/>
  <c r="I59" i="34" s="1"/>
  <c r="J59" i="34" s="1"/>
  <c r="K59" i="34" s="1"/>
  <c r="L59" i="34" s="1"/>
  <c r="M59" i="34" s="1"/>
  <c r="N59" i="34" s="1"/>
  <c r="O59" i="34" s="1"/>
  <c r="F7" i="34"/>
  <c r="H7" i="34"/>
  <c r="J7" i="34"/>
  <c r="AB38" i="40"/>
  <c r="U38" i="40"/>
  <c r="AC23" i="36"/>
  <c r="W23" i="36"/>
  <c r="AA9" i="36"/>
  <c r="S9" i="36"/>
  <c r="U9" i="36"/>
  <c r="AB9" i="36"/>
  <c r="M86" i="43"/>
  <c r="N86" i="43" s="1"/>
  <c r="K86" i="43"/>
  <c r="M83" i="43"/>
  <c r="N83" i="43" s="1"/>
  <c r="K83" i="43"/>
  <c r="M88" i="43"/>
  <c r="N88" i="43" s="1"/>
  <c r="K88" i="43"/>
  <c r="AA7" i="33"/>
  <c r="R48" i="33" s="1"/>
  <c r="S7" i="33"/>
  <c r="E58" i="21"/>
  <c r="L68" i="9"/>
  <c r="M68" i="9" s="1"/>
  <c r="L66" i="9"/>
  <c r="M66" i="9" s="1"/>
  <c r="L63" i="9"/>
  <c r="M63" i="9" s="1"/>
  <c r="M69" i="9" s="1"/>
  <c r="N69" i="9" s="1"/>
  <c r="L65" i="9"/>
  <c r="M65" i="9" s="1"/>
  <c r="L64" i="9"/>
  <c r="M64" i="9" s="1"/>
  <c r="L67" i="9"/>
  <c r="M67" i="9" s="1"/>
  <c r="F46" i="36"/>
  <c r="E48" i="35"/>
  <c r="E70" i="39"/>
  <c r="F68" i="39"/>
  <c r="C15" i="12"/>
  <c r="H10" i="39"/>
  <c r="AB10" i="39" s="1"/>
  <c r="F10" i="40"/>
  <c r="AB10" i="40"/>
  <c r="U10" i="40"/>
  <c r="J10" i="40"/>
  <c r="AC10" i="40" s="1"/>
  <c r="J10" i="39"/>
  <c r="F51" i="77"/>
  <c r="F50" i="77"/>
  <c r="M7" i="77"/>
  <c r="F71" i="77"/>
  <c r="F64" i="77"/>
  <c r="F65" i="77"/>
  <c r="F68" i="77"/>
  <c r="F69" i="77"/>
  <c r="J57" i="77"/>
  <c r="J55" i="77" s="1"/>
  <c r="J58" i="77" s="1"/>
  <c r="Q50" i="77" s="1"/>
  <c r="J60" i="77"/>
  <c r="Q48" i="77" s="1"/>
  <c r="L56" i="77"/>
  <c r="J53" i="77"/>
  <c r="F1" i="77" s="1"/>
  <c r="J59" i="77"/>
  <c r="L57" i="77"/>
  <c r="I54" i="77"/>
  <c r="L60" i="77"/>
  <c r="Q57" i="77" s="1"/>
  <c r="L58" i="77"/>
  <c r="Q60" i="77" s="1"/>
  <c r="N59" i="77"/>
  <c r="L59" i="77"/>
  <c r="Q61" i="77" s="1"/>
  <c r="M59" i="77"/>
  <c r="C27" i="77"/>
  <c r="F66" i="77"/>
  <c r="C6" i="77"/>
  <c r="Q71" i="77"/>
  <c r="U10" i="39"/>
  <c r="S10" i="39"/>
  <c r="AA10" i="39"/>
  <c r="F27" i="69"/>
  <c r="F28" i="12"/>
  <c r="C29" i="12" s="1"/>
  <c r="D28" i="12" s="1"/>
  <c r="F27" i="11"/>
  <c r="W10" i="40"/>
  <c r="W10" i="39"/>
  <c r="AC10" i="39"/>
  <c r="AB34" i="34"/>
  <c r="U34" i="34"/>
  <c r="D22" i="43"/>
  <c r="C21" i="43" s="1"/>
  <c r="S34" i="34"/>
  <c r="AA34" i="34"/>
  <c r="AC34" i="34"/>
  <c r="W34" i="34"/>
  <c r="C18" i="77"/>
  <c r="C15" i="77"/>
  <c r="AA30" i="37"/>
  <c r="S30" i="37"/>
  <c r="AC30" i="37"/>
  <c r="W30" i="37"/>
  <c r="I109" i="43"/>
  <c r="I104" i="43"/>
  <c r="I107" i="43"/>
  <c r="I105" i="43"/>
  <c r="I102" i="43"/>
  <c r="I106" i="43"/>
  <c r="I103" i="43"/>
  <c r="D109" i="43"/>
  <c r="D105" i="43"/>
  <c r="D106" i="43"/>
  <c r="D102" i="43"/>
  <c r="D103" i="43"/>
  <c r="D104" i="43"/>
  <c r="D107" i="43"/>
  <c r="AB30" i="37"/>
  <c r="U30" i="37"/>
  <c r="E102" i="43"/>
  <c r="E106" i="43"/>
  <c r="E103" i="43"/>
  <c r="E104" i="43"/>
  <c r="E107" i="43"/>
  <c r="E105" i="43"/>
  <c r="E109" i="43"/>
  <c r="M109" i="43"/>
  <c r="M102" i="43"/>
  <c r="M106" i="43"/>
  <c r="M103" i="43"/>
  <c r="M104" i="43"/>
  <c r="M107" i="43"/>
  <c r="M105" i="43"/>
  <c r="J104" i="43"/>
  <c r="J103" i="43"/>
  <c r="J105" i="43"/>
  <c r="J107" i="43"/>
  <c r="J102" i="43"/>
  <c r="J106" i="43"/>
  <c r="J109" i="43"/>
  <c r="G105" i="43"/>
  <c r="G103" i="43"/>
  <c r="G102" i="43"/>
  <c r="G107" i="43"/>
  <c r="G104" i="43"/>
  <c r="G106" i="43"/>
  <c r="G109" i="43"/>
  <c r="L109" i="43"/>
  <c r="L106" i="43"/>
  <c r="L107" i="43"/>
  <c r="L103" i="43"/>
  <c r="L102" i="43"/>
  <c r="L105" i="43"/>
  <c r="L104" i="43"/>
  <c r="N103" i="43"/>
  <c r="N106" i="43"/>
  <c r="N104" i="43"/>
  <c r="N102" i="43"/>
  <c r="N105" i="43"/>
  <c r="N107" i="43"/>
  <c r="N109" i="43"/>
  <c r="K107" i="43"/>
  <c r="K104" i="43"/>
  <c r="K106" i="43"/>
  <c r="K103" i="43"/>
  <c r="K102" i="43"/>
  <c r="K105" i="43"/>
  <c r="K109" i="43"/>
  <c r="C104" i="43"/>
  <c r="C106" i="43"/>
  <c r="C105" i="43"/>
  <c r="C102" i="43"/>
  <c r="C107" i="43"/>
  <c r="C103" i="43"/>
  <c r="C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2" i="43"/>
  <c r="H103" i="43"/>
  <c r="H104" i="43"/>
  <c r="H109" i="43"/>
  <c r="H107" i="43"/>
  <c r="H106" i="43"/>
  <c r="H105" i="43"/>
  <c r="F107" i="43"/>
  <c r="F106" i="43"/>
  <c r="F105" i="43"/>
  <c r="F104" i="43"/>
  <c r="F102" i="43"/>
  <c r="F103" i="43"/>
  <c r="F109" i="43"/>
  <c r="C19" i="77"/>
  <c r="L46" i="77"/>
  <c r="P17" i="43"/>
  <c r="G20" i="43" s="1"/>
  <c r="C20" i="43" s="1"/>
  <c r="N17" i="43"/>
  <c r="M17" i="43"/>
  <c r="O17" i="43"/>
  <c r="F1" i="15"/>
  <c r="Q52" i="15"/>
  <c r="F11" i="15"/>
  <c r="F11" i="77"/>
  <c r="C10" i="77" s="1"/>
  <c r="M11" i="15"/>
  <c r="M11" i="67"/>
  <c r="J10" i="67" s="1"/>
  <c r="J5" i="67" s="1"/>
  <c r="M11" i="77"/>
  <c r="F11" i="67"/>
  <c r="Q73" i="77"/>
  <c r="F24" i="77"/>
  <c r="C24" i="77" s="1"/>
  <c r="F24" i="15"/>
  <c r="C24" i="15" s="1"/>
  <c r="F25" i="12"/>
  <c r="C26" i="12" s="1"/>
  <c r="D25" i="12" s="1"/>
  <c r="F24" i="67"/>
  <c r="C24" i="67" s="1"/>
  <c r="F22" i="68"/>
  <c r="F22" i="11"/>
  <c r="F22" i="69"/>
  <c r="Q74" i="15"/>
  <c r="Q61" i="15"/>
  <c r="Q73" i="15"/>
  <c r="Q60" i="15"/>
  <c r="Q61" i="67"/>
  <c r="Q74" i="67"/>
  <c r="Q60" i="67"/>
  <c r="Q73" i="67"/>
  <c r="Q57" i="15"/>
  <c r="Q66" i="15"/>
  <c r="F27" i="68"/>
  <c r="AE7" i="1"/>
  <c r="F41" i="67"/>
  <c r="C16" i="77"/>
  <c r="AE6" i="1"/>
  <c r="C17" i="77"/>
  <c r="E3" i="6" l="1"/>
  <c r="AY6" i="3"/>
  <c r="H7" i="37"/>
  <c r="D36" i="71"/>
  <c r="T36" i="71"/>
  <c r="AC6" i="3"/>
  <c r="E6" i="3" s="1"/>
  <c r="Q66" i="77"/>
  <c r="Q52" i="77"/>
  <c r="F58" i="21"/>
  <c r="R49" i="33"/>
  <c r="E48" i="33"/>
  <c r="AB7" i="34"/>
  <c r="U7" i="34"/>
  <c r="C35" i="69"/>
  <c r="C38" i="69"/>
  <c r="D16" i="71"/>
  <c r="T16" i="71"/>
  <c r="M63" i="40"/>
  <c r="L65" i="40"/>
  <c r="D84" i="43"/>
  <c r="N84" i="43"/>
  <c r="S7" i="1"/>
  <c r="M20" i="6"/>
  <c r="I20" i="6" s="1"/>
  <c r="S20" i="6" s="1"/>
  <c r="M19" i="6"/>
  <c r="S6" i="1"/>
  <c r="K27" i="6"/>
  <c r="M14" i="1"/>
  <c r="K16" i="1"/>
  <c r="U6" i="1" s="1"/>
  <c r="AB7" i="37"/>
  <c r="U7" i="37"/>
  <c r="P21" i="43"/>
  <c r="P25" i="43"/>
  <c r="P24" i="43"/>
  <c r="B66" i="40" s="1"/>
  <c r="P22" i="43"/>
  <c r="P23" i="43"/>
  <c r="B71" i="39" s="1"/>
  <c r="C5" i="71"/>
  <c r="D6" i="71"/>
  <c r="D12" i="71"/>
  <c r="T12" i="71"/>
  <c r="N45" i="71"/>
  <c r="N46" i="71"/>
  <c r="T42" i="37"/>
  <c r="G42" i="37" s="1"/>
  <c r="T49" i="34"/>
  <c r="G49" i="34" s="1"/>
  <c r="G68" i="39"/>
  <c r="F70" i="39"/>
  <c r="F48" i="35"/>
  <c r="G46" i="36"/>
  <c r="H46" i="36" s="1"/>
  <c r="I46" i="36" s="1"/>
  <c r="J46" i="36" s="1"/>
  <c r="K46" i="36" s="1"/>
  <c r="L46" i="36" s="1"/>
  <c r="M46" i="36" s="1"/>
  <c r="N46" i="36" s="1"/>
  <c r="O46" i="36" s="1"/>
  <c r="D88" i="43"/>
  <c r="J88" i="43"/>
  <c r="J83" i="43"/>
  <c r="D83" i="43"/>
  <c r="D86" i="43"/>
  <c r="J86" i="43"/>
  <c r="AC7" i="34"/>
  <c r="V49" i="34" s="1"/>
  <c r="I49" i="34" s="1"/>
  <c r="W7" i="34"/>
  <c r="AA7" i="34"/>
  <c r="R49" i="34" s="1"/>
  <c r="S7" i="34"/>
  <c r="M16" i="1"/>
  <c r="I52" i="33"/>
  <c r="J52" i="33" s="1"/>
  <c r="I53" i="33"/>
  <c r="J53" i="33" s="1"/>
  <c r="G52" i="33"/>
  <c r="H52" i="33" s="1"/>
  <c r="G53" i="33"/>
  <c r="H53" i="33" s="1"/>
  <c r="D82" i="43"/>
  <c r="J82" i="43"/>
  <c r="AC7" i="37"/>
  <c r="V42" i="37" s="1"/>
  <c r="I42" i="37" s="1"/>
  <c r="W7" i="37"/>
  <c r="F7" i="37"/>
  <c r="C5" i="77"/>
  <c r="C32" i="77" s="1"/>
  <c r="Q74" i="77"/>
  <c r="F69" i="67"/>
  <c r="AA10" i="40"/>
  <c r="S10" i="40"/>
  <c r="C29" i="11"/>
  <c r="D27" i="11" s="1"/>
  <c r="C47" i="11"/>
  <c r="D45" i="11" s="1"/>
  <c r="C29" i="68"/>
  <c r="D27" i="68" s="1"/>
  <c r="C47" i="68"/>
  <c r="D45" i="68" s="1"/>
  <c r="C29" i="69"/>
  <c r="D27" i="69" s="1"/>
  <c r="C47" i="69"/>
  <c r="D45" i="69" s="1"/>
  <c r="G53" i="34"/>
  <c r="H53" i="34" s="1"/>
  <c r="C115" i="43"/>
  <c r="D113" i="43"/>
  <c r="S5" i="43"/>
  <c r="C23" i="43"/>
  <c r="S7" i="43"/>
  <c r="S6" i="43"/>
  <c r="S3" i="43"/>
  <c r="S4" i="43"/>
  <c r="S2" i="43"/>
  <c r="G46" i="37"/>
  <c r="H46" i="37" s="1"/>
  <c r="AG6" i="1"/>
  <c r="AG7" i="1"/>
  <c r="J18" i="67"/>
  <c r="J24" i="67"/>
  <c r="J26" i="67"/>
  <c r="J29" i="67" s="1"/>
  <c r="C26" i="69"/>
  <c r="D22" i="69" s="1"/>
  <c r="C44" i="69"/>
  <c r="D41" i="69" s="1"/>
  <c r="C26" i="68"/>
  <c r="D22" i="68" s="1"/>
  <c r="C44" i="68"/>
  <c r="D41" i="68" s="1"/>
  <c r="C24" i="68"/>
  <c r="C26" i="11"/>
  <c r="D22" i="11" s="1"/>
  <c r="C44" i="11"/>
  <c r="D41" i="11" s="1"/>
  <c r="C23" i="11"/>
  <c r="C10" i="67"/>
  <c r="C5" i="67" s="1"/>
  <c r="C53" i="67"/>
  <c r="C48" i="67" s="1"/>
  <c r="C20" i="77"/>
  <c r="C23" i="77" s="1"/>
  <c r="C14" i="67"/>
  <c r="M27" i="77"/>
  <c r="C17" i="15"/>
  <c r="C17" i="67"/>
  <c r="M27" i="15"/>
  <c r="M27" i="67"/>
  <c r="F6" i="15"/>
  <c r="AY87" i="3" l="1"/>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82" i="3"/>
  <c r="AY132" i="3"/>
  <c r="AY292" i="3"/>
  <c r="AY220"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18" i="3"/>
  <c r="AY90" i="3"/>
  <c r="AY75"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114" i="3"/>
  <c r="AY377" i="3"/>
  <c r="AY491" i="3"/>
  <c r="AY414" i="3"/>
  <c r="AY561" i="3"/>
  <c r="AY16" i="3"/>
  <c r="AY96" i="3"/>
  <c r="AY158" i="3"/>
  <c r="AY287" i="3"/>
  <c r="AY234" i="3"/>
  <c r="AY364" i="3"/>
  <c r="AY344" i="3"/>
  <c r="AY471" i="3"/>
  <c r="AY458" i="3"/>
  <c r="AY439" i="3"/>
  <c r="AY506" i="3"/>
  <c r="AY524" i="3"/>
  <c r="AY542" i="3"/>
  <c r="AY578" i="3"/>
  <c r="AY63" i="3"/>
  <c r="AY192" i="3"/>
  <c r="AY135" i="3"/>
  <c r="AY249" i="3"/>
  <c r="AY378" i="3"/>
  <c r="AY346" i="3"/>
  <c r="AY456" i="3"/>
  <c r="AY558" i="3"/>
  <c r="BL6" i="3"/>
  <c r="AY55" i="3"/>
  <c r="AY22" i="3"/>
  <c r="AY195" i="3"/>
  <c r="AY175" i="3"/>
  <c r="AY136" i="3"/>
  <c r="AY288" i="3"/>
  <c r="AY272" i="3"/>
  <c r="AY208" i="3"/>
  <c r="AY375" i="3"/>
  <c r="AY339" i="3"/>
  <c r="AY322" i="3"/>
  <c r="AY474" i="3"/>
  <c r="AY432" i="3"/>
  <c r="AY413" i="3"/>
  <c r="AY15" i="3"/>
  <c r="AY583" i="3"/>
  <c r="AY567" i="3"/>
  <c r="AY210" i="3"/>
  <c r="AY332" i="3"/>
  <c r="AY446" i="3"/>
  <c r="BM6" i="3"/>
  <c r="AY510" i="3"/>
  <c r="AY519" i="3"/>
  <c r="AY189" i="3"/>
  <c r="AY129" i="3"/>
  <c r="AY266" i="3"/>
  <c r="AY369" i="3"/>
  <c r="AY313" i="3"/>
  <c r="AY487" i="3"/>
  <c r="AY453" i="3"/>
  <c r="AY410" i="3"/>
  <c r="AY579" i="3"/>
  <c r="D3" i="6"/>
  <c r="AY509" i="3"/>
  <c r="AY531" i="3"/>
  <c r="AY94" i="3"/>
  <c r="AY35" i="3"/>
  <c r="AY167" i="3"/>
  <c r="AY280" i="3"/>
  <c r="AY221" i="3"/>
  <c r="AY331" i="3"/>
  <c r="AY466" i="3"/>
  <c r="AY405" i="3"/>
  <c r="AY512" i="3"/>
  <c r="AY86"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91" i="3"/>
  <c r="AY31" i="3"/>
  <c r="AY147"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98" i="3"/>
  <c r="AY171" i="3"/>
  <c r="AY163" i="3"/>
  <c r="AY23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74" i="3"/>
  <c r="AY317" i="3"/>
  <c r="AY457" i="3"/>
  <c r="AY581" i="3"/>
  <c r="AY546" i="3"/>
  <c r="AY514" i="3"/>
  <c r="AY37" i="3"/>
  <c r="AY137" i="3"/>
  <c r="AY251" i="3"/>
  <c r="AY380" i="3"/>
  <c r="AY329" i="3"/>
  <c r="AY312" i="3"/>
  <c r="AY468" i="3"/>
  <c r="AY426" i="3"/>
  <c r="AY407" i="3"/>
  <c r="AY14" i="3"/>
  <c r="AY565" i="3"/>
  <c r="AY570" i="3"/>
  <c r="AY99" i="3"/>
  <c r="AY46" i="3"/>
  <c r="AY156" i="3"/>
  <c r="AY285" i="3"/>
  <c r="AY232" i="3"/>
  <c r="AY362" i="3"/>
  <c r="AY469" i="3"/>
  <c r="AY437" i="3"/>
  <c r="AY560" i="3"/>
  <c r="AY91" i="3"/>
  <c r="AY54" i="3"/>
  <c r="AY200" i="3"/>
  <c r="AY164" i="3"/>
  <c r="AY143" i="3"/>
  <c r="AY293" i="3"/>
  <c r="AY257" i="3"/>
  <c r="AY240" i="3"/>
  <c r="AY386" i="3"/>
  <c r="AY351" i="3"/>
  <c r="AY307" i="3"/>
  <c r="AY477" i="3"/>
  <c r="AY443" i="3"/>
  <c r="AY400" i="3"/>
  <c r="AY521" i="3"/>
  <c r="AY566" i="3"/>
  <c r="BT6" i="3"/>
  <c r="AY290" i="3"/>
  <c r="AY349" i="3"/>
  <c r="AY488" i="3"/>
  <c r="AY427" i="3"/>
  <c r="BF6" i="3"/>
  <c r="AY584" i="3"/>
  <c r="AY80" i="3"/>
  <c r="AY169" i="3"/>
  <c r="AY282" i="3"/>
  <c r="AY223" i="3"/>
  <c r="AY345" i="3"/>
  <c r="AY328" i="3"/>
  <c r="AY484" i="3"/>
  <c r="AY442" i="3"/>
  <c r="AY423" i="3"/>
  <c r="AY499" i="3"/>
  <c r="AY502" i="3"/>
  <c r="BR6" i="3"/>
  <c r="BA6" i="3"/>
  <c r="AY78" i="3"/>
  <c r="AY187" i="3"/>
  <c r="AY127" i="3"/>
  <c r="AY264" i="3"/>
  <c r="AY376" i="3"/>
  <c r="AY314" i="3"/>
  <c r="AY424" i="3"/>
  <c r="AY517" i="3"/>
  <c r="AY587" i="3"/>
  <c r="AY70" i="3"/>
  <c r="AY27" i="3"/>
  <c r="AY179" i="3"/>
  <c r="AY159" i="3"/>
  <c r="AY119" i="3"/>
  <c r="AY273" i="3"/>
  <c r="AY256" i="3"/>
  <c r="AY213" i="3"/>
  <c r="AY367" i="3"/>
  <c r="AY323" i="3"/>
  <c r="AY306" i="3"/>
  <c r="AY459" i="3"/>
  <c r="AY416" i="3"/>
  <c r="AY550" i="3"/>
  <c r="BC6" i="3"/>
  <c r="AY504" i="3"/>
  <c r="AY498" i="3"/>
  <c r="F7" i="36"/>
  <c r="S7" i="36" s="1"/>
  <c r="D3" i="21"/>
  <c r="C17" i="4"/>
  <c r="B4" i="52" s="1"/>
  <c r="B43" i="72" s="1"/>
  <c r="D19" i="11"/>
  <c r="C19" i="11" s="1"/>
  <c r="M18" i="9"/>
  <c r="B118" i="9" s="1"/>
  <c r="B14" i="74" s="1"/>
  <c r="B1" i="74" s="1"/>
  <c r="D37" i="11"/>
  <c r="C37" i="11" s="1"/>
  <c r="E6" i="6"/>
  <c r="L18" i="9"/>
  <c r="D14" i="12"/>
  <c r="D3" i="33"/>
  <c r="E81" i="43"/>
  <c r="B79" i="43" s="1"/>
  <c r="C24" i="43" s="1"/>
  <c r="T2" i="43" s="1"/>
  <c r="V2" i="43" s="1"/>
  <c r="C38" i="77"/>
  <c r="C6" i="15"/>
  <c r="C10" i="15"/>
  <c r="C15" i="67"/>
  <c r="C18" i="67"/>
  <c r="T4" i="43"/>
  <c r="V4" i="43" s="1"/>
  <c r="I46" i="37"/>
  <c r="J46" i="37" s="1"/>
  <c r="G47" i="37"/>
  <c r="H47" i="37" s="1"/>
  <c r="C39" i="43"/>
  <c r="E39" i="43" s="1"/>
  <c r="C34" i="43"/>
  <c r="G34" i="43" s="1"/>
  <c r="I34" i="43" s="1"/>
  <c r="T14" i="43"/>
  <c r="V14" i="43" s="1"/>
  <c r="T7" i="43"/>
  <c r="V7" i="43" s="1"/>
  <c r="T13" i="43"/>
  <c r="V13" i="43" s="1"/>
  <c r="C37" i="43"/>
  <c r="G37" i="43" s="1"/>
  <c r="I37" i="43" s="1"/>
  <c r="C36" i="43"/>
  <c r="G36" i="43" s="1"/>
  <c r="I36" i="43" s="1"/>
  <c r="T16" i="43"/>
  <c r="V16" i="43" s="1"/>
  <c r="T3" i="43"/>
  <c r="V3" i="43" s="1"/>
  <c r="T10" i="43"/>
  <c r="V10" i="43" s="1"/>
  <c r="C33" i="43"/>
  <c r="E33" i="43" s="1"/>
  <c r="R50" i="34"/>
  <c r="E49" i="34"/>
  <c r="I53" i="34"/>
  <c r="J53" i="34" s="1"/>
  <c r="G54" i="34"/>
  <c r="H54" i="34" s="1"/>
  <c r="AA7" i="36"/>
  <c r="R36" i="36" s="1"/>
  <c r="G48" i="35"/>
  <c r="H48" i="35" s="1"/>
  <c r="I48" i="35" s="1"/>
  <c r="J48" i="35" s="1"/>
  <c r="K48" i="35" s="1"/>
  <c r="L48" i="35" s="1"/>
  <c r="M48" i="35" s="1"/>
  <c r="N48" i="35" s="1"/>
  <c r="O48" i="35" s="1"/>
  <c r="F7" i="35" s="1"/>
  <c r="H68" i="39"/>
  <c r="G70" i="39"/>
  <c r="C4" i="71"/>
  <c r="D4" i="71" s="1"/>
  <c r="D5" i="71"/>
  <c r="M20" i="43" s="1"/>
  <c r="I19" i="6"/>
  <c r="M27" i="6"/>
  <c r="T7" i="1"/>
  <c r="AR7" i="1"/>
  <c r="AQ7" i="1"/>
  <c r="M65" i="40"/>
  <c r="N63" i="40"/>
  <c r="E53" i="33"/>
  <c r="F53" i="33" s="1"/>
  <c r="E52" i="33"/>
  <c r="F52" i="33" s="1"/>
  <c r="H7" i="35"/>
  <c r="AA7" i="37"/>
  <c r="R42" i="37" s="1"/>
  <c r="S7" i="37"/>
  <c r="N16" i="1"/>
  <c r="C34" i="68"/>
  <c r="C34" i="11"/>
  <c r="L16" i="1"/>
  <c r="J7" i="36"/>
  <c r="J7" i="35"/>
  <c r="AQ6" i="1"/>
  <c r="S16" i="1"/>
  <c r="E6" i="70"/>
  <c r="E2" i="70" s="1"/>
  <c r="T6" i="1"/>
  <c r="AR6" i="1"/>
  <c r="C48" i="33"/>
  <c r="C49" i="33"/>
  <c r="B2" i="33" s="1"/>
  <c r="B3" i="33" s="1"/>
  <c r="G58" i="21"/>
  <c r="H7" i="36"/>
  <c r="C50" i="34"/>
  <c r="C49" i="34"/>
  <c r="E54" i="34"/>
  <c r="F54" i="34" s="1"/>
  <c r="E53" i="34"/>
  <c r="F53" i="34" s="1"/>
  <c r="I54" i="34"/>
  <c r="J54" i="34" s="1"/>
  <c r="C26" i="77"/>
  <c r="C29" i="77" s="1"/>
  <c r="C32" i="67"/>
  <c r="C38" i="67"/>
  <c r="G33" i="43"/>
  <c r="I33" i="43" s="1"/>
  <c r="C60" i="67"/>
  <c r="C66" i="67"/>
  <c r="E34" i="43"/>
  <c r="C14" i="15"/>
  <c r="F35" i="77"/>
  <c r="F31" i="15"/>
  <c r="M21" i="77"/>
  <c r="T6" i="43" l="1"/>
  <c r="V6" i="43" s="1"/>
  <c r="T15" i="43"/>
  <c r="V15" i="43" s="1"/>
  <c r="T12" i="43"/>
  <c r="V12" i="43" s="1"/>
  <c r="C38" i="43"/>
  <c r="E38" i="43" s="1"/>
  <c r="C35" i="43"/>
  <c r="G35" i="43" s="1"/>
  <c r="I35" i="43" s="1"/>
  <c r="T5" i="43"/>
  <c r="V5" i="43" s="1"/>
  <c r="T8" i="43"/>
  <c r="V8" i="43" s="1"/>
  <c r="T9" i="43"/>
  <c r="V9" i="43" s="1"/>
  <c r="T11" i="43"/>
  <c r="V11" i="43" s="1"/>
  <c r="C29" i="43"/>
  <c r="C30" i="43" s="1"/>
  <c r="E30" i="43" s="1"/>
  <c r="C24" i="11"/>
  <c r="C20" i="11"/>
  <c r="D25" i="6"/>
  <c r="D22" i="6"/>
  <c r="D24" i="6"/>
  <c r="D5" i="6"/>
  <c r="D11" i="6"/>
  <c r="D28" i="6"/>
  <c r="H23" i="6"/>
  <c r="H20" i="6"/>
  <c r="D19" i="6"/>
  <c r="C18" i="4"/>
  <c r="D23" i="6"/>
  <c r="R23" i="6" s="1"/>
  <c r="D6" i="6"/>
  <c r="D10" i="6"/>
  <c r="D29" i="6"/>
  <c r="H22" i="6"/>
  <c r="H24" i="6"/>
  <c r="D15" i="6"/>
  <c r="D21" i="6"/>
  <c r="D20" i="6"/>
  <c r="R20" i="6" s="1"/>
  <c r="R7" i="1" s="1"/>
  <c r="D12" i="6"/>
  <c r="D13" i="6"/>
  <c r="E61" i="40"/>
  <c r="H26" i="6"/>
  <c r="M19" i="9"/>
  <c r="C118" i="9" s="1"/>
  <c r="C14" i="74" s="1"/>
  <c r="B2" i="74" s="1"/>
  <c r="D26" i="6"/>
  <c r="R26" i="6" s="1"/>
  <c r="D8" i="6"/>
  <c r="D14" i="6"/>
  <c r="D9" i="6"/>
  <c r="L19" i="9"/>
  <c r="H25" i="6"/>
  <c r="H21" i="6"/>
  <c r="D17" i="12"/>
  <c r="C17" i="12" s="1"/>
  <c r="C14" i="12"/>
  <c r="C16" i="12" s="1"/>
  <c r="D10" i="11"/>
  <c r="C10" i="11" s="1"/>
  <c r="D10" i="69"/>
  <c r="D10" i="68"/>
  <c r="D20" i="12"/>
  <c r="C20" i="12" s="1"/>
  <c r="C8" i="74"/>
  <c r="C7" i="74"/>
  <c r="E35" i="43"/>
  <c r="G38" i="43"/>
  <c r="I38" i="43" s="1"/>
  <c r="C27" i="43" s="1"/>
  <c r="E29" i="43"/>
  <c r="E37" i="43"/>
  <c r="E36" i="43"/>
  <c r="C19" i="67"/>
  <c r="C20" i="67" s="1"/>
  <c r="C23" i="67" s="1"/>
  <c r="C5" i="15"/>
  <c r="C38" i="15" s="1"/>
  <c r="C15" i="15"/>
  <c r="C18" i="15"/>
  <c r="AA7" i="35"/>
  <c r="R38" i="35" s="1"/>
  <c r="S7" i="35"/>
  <c r="U7" i="36"/>
  <c r="AB7" i="36"/>
  <c r="T36" i="36" s="1"/>
  <c r="G36" i="36" s="1"/>
  <c r="AC7" i="35"/>
  <c r="V38" i="35" s="1"/>
  <c r="I38" i="35" s="1"/>
  <c r="W7" i="35"/>
  <c r="C38" i="68"/>
  <c r="C35" i="68"/>
  <c r="AB7" i="35"/>
  <c r="T38" i="35" s="1"/>
  <c r="G38" i="35" s="1"/>
  <c r="U7" i="35"/>
  <c r="N65" i="40"/>
  <c r="O63" i="40"/>
  <c r="O65" i="40" s="1"/>
  <c r="S19" i="6"/>
  <c r="S27" i="6" s="1"/>
  <c r="I27" i="6"/>
  <c r="H19" i="6"/>
  <c r="R37" i="36"/>
  <c r="E36" i="36"/>
  <c r="C32" i="15"/>
  <c r="H58" i="21"/>
  <c r="T16" i="1"/>
  <c r="W7" i="36"/>
  <c r="AC7" i="36"/>
  <c r="V36" i="36" s="1"/>
  <c r="I36" i="36" s="1"/>
  <c r="C35" i="11"/>
  <c r="C38" i="11"/>
  <c r="F50" i="68"/>
  <c r="F50" i="11"/>
  <c r="F50" i="69"/>
  <c r="E42" i="37"/>
  <c r="R43" i="37"/>
  <c r="J7" i="40"/>
  <c r="I68" i="39"/>
  <c r="H70" i="39"/>
  <c r="B3" i="34"/>
  <c r="B2" i="34"/>
  <c r="F49" i="77"/>
  <c r="C34" i="77"/>
  <c r="F63" i="77"/>
  <c r="C62" i="77" s="1"/>
  <c r="J20" i="77"/>
  <c r="C13" i="77"/>
  <c r="C36" i="77"/>
  <c r="C57" i="77"/>
  <c r="C33" i="77"/>
  <c r="J14" i="77"/>
  <c r="Q49" i="77"/>
  <c r="J19" i="77"/>
  <c r="F35" i="67"/>
  <c r="M6" i="77"/>
  <c r="M17" i="77"/>
  <c r="M21" i="67"/>
  <c r="F59" i="77"/>
  <c r="J20" i="67" l="1"/>
  <c r="F63" i="67"/>
  <c r="C62" i="67" s="1"/>
  <c r="C34" i="67"/>
  <c r="C10" i="68"/>
  <c r="B29" i="1" s="1"/>
  <c r="C8" i="68" s="1"/>
  <c r="D19" i="68"/>
  <c r="D37" i="68" s="1"/>
  <c r="C37" i="68" s="1"/>
  <c r="D16" i="6"/>
  <c r="D8" i="74"/>
  <c r="D7" i="74"/>
  <c r="R21" i="6"/>
  <c r="C4" i="52"/>
  <c r="B45" i="72" s="1"/>
  <c r="A7" i="51"/>
  <c r="B7" i="72" s="1"/>
  <c r="A10" i="51"/>
  <c r="B9" i="72" s="1"/>
  <c r="D30" i="6"/>
  <c r="R22" i="6"/>
  <c r="C28" i="11"/>
  <c r="C27" i="11" s="1"/>
  <c r="C25" i="11"/>
  <c r="C18" i="12"/>
  <c r="C21" i="12" s="1"/>
  <c r="C22" i="12" s="1"/>
  <c r="C30" i="12" s="1"/>
  <c r="C28" i="12" s="1"/>
  <c r="D19" i="69"/>
  <c r="C10" i="69"/>
  <c r="C8" i="69" s="1"/>
  <c r="C5" i="69" s="1"/>
  <c r="C23" i="69" s="1"/>
  <c r="D27" i="6"/>
  <c r="D31" i="6" s="1"/>
  <c r="R24" i="6"/>
  <c r="R25" i="6"/>
  <c r="C22" i="11"/>
  <c r="C31" i="11" s="1"/>
  <c r="C26" i="43"/>
  <c r="B2" i="43" s="1"/>
  <c r="C26" i="67"/>
  <c r="C29" i="67" s="1"/>
  <c r="C33" i="67" s="1"/>
  <c r="C31" i="67" s="1"/>
  <c r="C33" i="68"/>
  <c r="C39" i="68" s="1"/>
  <c r="C43" i="68" s="1"/>
  <c r="C19" i="15"/>
  <c r="C20" i="15" s="1"/>
  <c r="C42" i="68"/>
  <c r="AC7" i="40"/>
  <c r="V42" i="40" s="1"/>
  <c r="I42" i="40" s="1"/>
  <c r="W7" i="40"/>
  <c r="I47" i="37"/>
  <c r="J47" i="37" s="1"/>
  <c r="E46" i="37"/>
  <c r="F46" i="37" s="1"/>
  <c r="E47" i="37"/>
  <c r="F47" i="37" s="1"/>
  <c r="I41" i="36"/>
  <c r="J41" i="36" s="1"/>
  <c r="I40" i="36"/>
  <c r="J40" i="36" s="1"/>
  <c r="I58" i="21"/>
  <c r="J58" i="21" s="1"/>
  <c r="K58" i="21" s="1"/>
  <c r="L58" i="21" s="1"/>
  <c r="M58" i="21" s="1"/>
  <c r="N58" i="21" s="1"/>
  <c r="O58" i="21" s="1"/>
  <c r="C37" i="36"/>
  <c r="B2" i="36" s="1"/>
  <c r="B3" i="36" s="1"/>
  <c r="C36" i="36"/>
  <c r="R19" i="6"/>
  <c r="H27" i="6"/>
  <c r="H7" i="40"/>
  <c r="F7" i="40"/>
  <c r="G43" i="35"/>
  <c r="H43" i="35" s="1"/>
  <c r="G42" i="35"/>
  <c r="H42" i="35" s="1"/>
  <c r="I42" i="35"/>
  <c r="J42" i="35" s="1"/>
  <c r="F7" i="21"/>
  <c r="C31" i="77"/>
  <c r="J68" i="39"/>
  <c r="I70" i="39"/>
  <c r="C42" i="37"/>
  <c r="C43" i="37"/>
  <c r="C33" i="11"/>
  <c r="H7" i="21"/>
  <c r="E40" i="36"/>
  <c r="F40" i="36" s="1"/>
  <c r="E41" i="36"/>
  <c r="F41" i="36" s="1"/>
  <c r="G40" i="36"/>
  <c r="H40" i="36" s="1"/>
  <c r="G41" i="36"/>
  <c r="H41" i="36" s="1"/>
  <c r="R39" i="35"/>
  <c r="E38" i="35"/>
  <c r="J6" i="77"/>
  <c r="J10" i="77"/>
  <c r="C53" i="77"/>
  <c r="C49" i="77"/>
  <c r="I5" i="6"/>
  <c r="I6" i="6"/>
  <c r="C27" i="12"/>
  <c r="C25" i="12" s="1"/>
  <c r="C32" i="12" s="1"/>
  <c r="B2" i="12" s="1"/>
  <c r="B3" i="12" s="1"/>
  <c r="J13" i="77"/>
  <c r="J23" i="77" s="1"/>
  <c r="J22" i="77"/>
  <c r="C61" i="77"/>
  <c r="C64" i="77"/>
  <c r="C56" i="77"/>
  <c r="C65" i="77" s="1"/>
  <c r="C37" i="77"/>
  <c r="Q70" i="77"/>
  <c r="C75" i="77"/>
  <c r="E6" i="76"/>
  <c r="B6" i="76"/>
  <c r="D37" i="69" l="1"/>
  <c r="C37" i="69" s="1"/>
  <c r="C33" i="69" s="1"/>
  <c r="C19" i="69"/>
  <c r="E2" i="76"/>
  <c r="J59" i="67"/>
  <c r="J60" i="67" s="1"/>
  <c r="Q48" i="67" s="1"/>
  <c r="J14" i="67"/>
  <c r="J13" i="67" s="1"/>
  <c r="J23" i="67" s="1"/>
  <c r="C41" i="68"/>
  <c r="J19" i="67"/>
  <c r="J17" i="67" s="1"/>
  <c r="Q49" i="67"/>
  <c r="C57" i="67"/>
  <c r="C64" i="67" s="1"/>
  <c r="C36" i="67"/>
  <c r="C13" i="67"/>
  <c r="C30" i="77"/>
  <c r="C39" i="77" s="1"/>
  <c r="C40" i="77" s="1"/>
  <c r="C75" i="67"/>
  <c r="C23" i="15"/>
  <c r="C26" i="15"/>
  <c r="C46" i="68"/>
  <c r="C45" i="68" s="1"/>
  <c r="C56" i="67"/>
  <c r="C65" i="67" s="1"/>
  <c r="AB7" i="21"/>
  <c r="T48" i="21" s="1"/>
  <c r="G48" i="21" s="1"/>
  <c r="U7" i="21"/>
  <c r="Z18" i="1"/>
  <c r="Z6" i="1" s="1"/>
  <c r="B3" i="37"/>
  <c r="F49" i="15"/>
  <c r="B2" i="37"/>
  <c r="AB7" i="40"/>
  <c r="T42" i="40" s="1"/>
  <c r="G42" i="40" s="1"/>
  <c r="U7" i="40"/>
  <c r="R27" i="6"/>
  <c r="R6" i="1"/>
  <c r="E43" i="35"/>
  <c r="F43" i="35" s="1"/>
  <c r="E42" i="35"/>
  <c r="F42" i="35" s="1"/>
  <c r="S7" i="21"/>
  <c r="AA7" i="21"/>
  <c r="R48" i="21" s="1"/>
  <c r="C38" i="35"/>
  <c r="C39" i="35"/>
  <c r="B2" i="35" s="1"/>
  <c r="B3" i="35" s="1"/>
  <c r="C39" i="11"/>
  <c r="C42" i="11"/>
  <c r="C46" i="11"/>
  <c r="C45" i="11" s="1"/>
  <c r="K68" i="39"/>
  <c r="J70" i="39"/>
  <c r="I43" i="35"/>
  <c r="J43" i="35" s="1"/>
  <c r="S7" i="40"/>
  <c r="AA7" i="40"/>
  <c r="R42" i="40" s="1"/>
  <c r="J7" i="21"/>
  <c r="I46" i="40"/>
  <c r="J46" i="40" s="1"/>
  <c r="C48" i="77"/>
  <c r="C60" i="77" s="1"/>
  <c r="C59" i="77" s="1"/>
  <c r="J5" i="77"/>
  <c r="B2" i="76"/>
  <c r="C6" i="68"/>
  <c r="B3" i="43"/>
  <c r="L51" i="77"/>
  <c r="F59" i="15"/>
  <c r="M6" i="15"/>
  <c r="M21" i="15"/>
  <c r="F35" i="15"/>
  <c r="C24" i="69" l="1"/>
  <c r="C20" i="69"/>
  <c r="C42" i="69"/>
  <c r="C39" i="69"/>
  <c r="B3" i="76"/>
  <c r="C66" i="77"/>
  <c r="C58" i="77" s="1"/>
  <c r="C67" i="77" s="1"/>
  <c r="C68" i="77" s="1"/>
  <c r="C46" i="77" s="1"/>
  <c r="C61" i="67"/>
  <c r="C59" i="67" s="1"/>
  <c r="C58" i="67" s="1"/>
  <c r="C67" i="67" s="1"/>
  <c r="C68" i="67" s="1"/>
  <c r="Q69" i="77"/>
  <c r="Q68" i="77" s="1"/>
  <c r="J22" i="67"/>
  <c r="J16" i="67" s="1"/>
  <c r="J25" i="67" s="1"/>
  <c r="C49" i="68"/>
  <c r="C51" i="68" s="1"/>
  <c r="C80" i="77"/>
  <c r="C79" i="77" s="1"/>
  <c r="Q70" i="67"/>
  <c r="C37" i="67"/>
  <c r="C30" i="67" s="1"/>
  <c r="C39" i="67" s="1"/>
  <c r="C29" i="15"/>
  <c r="J10" i="15"/>
  <c r="J6" i="15"/>
  <c r="J20" i="15"/>
  <c r="F63" i="15"/>
  <c r="C62" i="15" s="1"/>
  <c r="C34" i="15"/>
  <c r="R43" i="40"/>
  <c r="E42" i="40"/>
  <c r="L68" i="39"/>
  <c r="K70" i="39"/>
  <c r="G47" i="40"/>
  <c r="H47" i="40" s="1"/>
  <c r="G46" i="40"/>
  <c r="H46" i="40" s="1"/>
  <c r="C49" i="15"/>
  <c r="C53" i="15"/>
  <c r="G52" i="21"/>
  <c r="H52" i="21" s="1"/>
  <c r="AC7" i="21"/>
  <c r="V48" i="21" s="1"/>
  <c r="I48" i="21" s="1"/>
  <c r="W7" i="21"/>
  <c r="C43" i="11"/>
  <c r="C41" i="11" s="1"/>
  <c r="C49" i="11" s="1"/>
  <c r="C51" i="11" s="1"/>
  <c r="R49" i="21"/>
  <c r="E48" i="21"/>
  <c r="R16" i="1"/>
  <c r="J18" i="77"/>
  <c r="J17" i="77" s="1"/>
  <c r="J24" i="77"/>
  <c r="Q67" i="77"/>
  <c r="C43" i="77"/>
  <c r="C83" i="77"/>
  <c r="C82" i="77" s="1"/>
  <c r="C7" i="68"/>
  <c r="C5" i="68" s="1"/>
  <c r="M17" i="15"/>
  <c r="L51" i="67"/>
  <c r="C43" i="69" l="1"/>
  <c r="C46" i="69"/>
  <c r="C45" i="69" s="1"/>
  <c r="C25" i="69"/>
  <c r="C22" i="69" s="1"/>
  <c r="C31" i="69" s="1"/>
  <c r="C28" i="69"/>
  <c r="C27" i="69" s="1"/>
  <c r="C41" i="69"/>
  <c r="C49" i="69" s="1"/>
  <c r="C51" i="69" s="1"/>
  <c r="C71" i="77"/>
  <c r="L57" i="67"/>
  <c r="L60" i="67" s="1"/>
  <c r="Q67" i="67"/>
  <c r="C52" i="69"/>
  <c r="B2" i="69" s="1"/>
  <c r="B3" i="69" s="1"/>
  <c r="C48" i="15"/>
  <c r="C66" i="15" s="1"/>
  <c r="J5" i="15"/>
  <c r="J24" i="15" s="1"/>
  <c r="C40" i="67"/>
  <c r="Q69" i="67"/>
  <c r="Q68" i="67" s="1"/>
  <c r="C80" i="67"/>
  <c r="C79" i="67" s="1"/>
  <c r="C71" i="67"/>
  <c r="C45" i="67"/>
  <c r="C46" i="67" s="1"/>
  <c r="C33" i="15"/>
  <c r="C31" i="15" s="1"/>
  <c r="Q49" i="15"/>
  <c r="C13" i="15"/>
  <c r="J14" i="15"/>
  <c r="C36" i="15"/>
  <c r="C57" i="15"/>
  <c r="J19" i="15"/>
  <c r="C52" i="11"/>
  <c r="B2" i="11" s="1"/>
  <c r="B3" i="11" s="1"/>
  <c r="C49" i="21"/>
  <c r="B2" i="21" s="1"/>
  <c r="B3" i="21" s="1"/>
  <c r="C48" i="21"/>
  <c r="I52" i="21"/>
  <c r="J52" i="21" s="1"/>
  <c r="I53" i="21"/>
  <c r="J53" i="21" s="1"/>
  <c r="M68" i="39"/>
  <c r="L70" i="39"/>
  <c r="C43" i="40"/>
  <c r="C42" i="40"/>
  <c r="E52" i="21"/>
  <c r="F52" i="21" s="1"/>
  <c r="E53" i="21"/>
  <c r="F53" i="21" s="1"/>
  <c r="G53" i="21"/>
  <c r="H53" i="21" s="1"/>
  <c r="E46" i="40"/>
  <c r="F46" i="40" s="1"/>
  <c r="E47" i="40"/>
  <c r="F47" i="40" s="1"/>
  <c r="I47" i="40"/>
  <c r="J47" i="40" s="1"/>
  <c r="J16" i="77"/>
  <c r="J25" i="77" s="1"/>
  <c r="J26" i="77" s="1"/>
  <c r="J29" i="77" s="1"/>
  <c r="B2" i="77" s="1"/>
  <c r="B3" i="77" s="1"/>
  <c r="C20" i="68"/>
  <c r="C25" i="68" s="1"/>
  <c r="C23" i="68"/>
  <c r="AO7" i="1"/>
  <c r="C60" i="15" l="1"/>
  <c r="C57" i="69"/>
  <c r="C56" i="69" s="1"/>
  <c r="C56" i="11"/>
  <c r="C57" i="11" s="1"/>
  <c r="J18" i="15"/>
  <c r="Q65" i="67"/>
  <c r="Q56" i="67"/>
  <c r="C43" i="67"/>
  <c r="Q47" i="67"/>
  <c r="Q53" i="67" s="1"/>
  <c r="C83" i="67"/>
  <c r="C82" i="67" s="1"/>
  <c r="J17" i="15"/>
  <c r="L46" i="67"/>
  <c r="D2" i="67" s="1"/>
  <c r="Q57" i="67"/>
  <c r="Q62" i="67" s="1"/>
  <c r="Q66" i="67"/>
  <c r="Q75" i="67" s="1"/>
  <c r="C37" i="15"/>
  <c r="C30" i="15" s="1"/>
  <c r="C39" i="15" s="1"/>
  <c r="C56" i="15"/>
  <c r="C65" i="15" s="1"/>
  <c r="C75" i="15"/>
  <c r="Q70" i="15"/>
  <c r="C61" i="15"/>
  <c r="C64" i="15"/>
  <c r="J13" i="15"/>
  <c r="J23" i="15" s="1"/>
  <c r="J22" i="15"/>
  <c r="B53" i="40"/>
  <c r="F53" i="40" s="1"/>
  <c r="B60" i="40"/>
  <c r="F60" i="40" s="1"/>
  <c r="B55" i="40"/>
  <c r="F55" i="40" s="1"/>
  <c r="B59" i="40"/>
  <c r="F59" i="40" s="1"/>
  <c r="B54" i="40"/>
  <c r="F54" i="40" s="1"/>
  <c r="B52" i="40"/>
  <c r="F52" i="40" s="1"/>
  <c r="B57" i="40"/>
  <c r="F57" i="40" s="1"/>
  <c r="B56" i="40"/>
  <c r="F56" i="40" s="1"/>
  <c r="B58" i="40"/>
  <c r="F58" i="40" s="1"/>
  <c r="B51" i="40"/>
  <c r="F51" i="40" s="1"/>
  <c r="F61" i="40"/>
  <c r="B2" i="40" s="1"/>
  <c r="B3" i="40" s="1"/>
  <c r="M70" i="39"/>
  <c r="N68" i="39"/>
  <c r="Q65" i="77"/>
  <c r="Q75" i="77" s="1"/>
  <c r="B7" i="70"/>
  <c r="Q56" i="77"/>
  <c r="Q62" i="77" s="1"/>
  <c r="Q47" i="77"/>
  <c r="Q53" i="77" s="1"/>
  <c r="C22" i="68"/>
  <c r="C28" i="68"/>
  <c r="C27" i="68" s="1"/>
  <c r="L51" i="15"/>
  <c r="C59" i="15" l="1"/>
  <c r="C58" i="15" s="1"/>
  <c r="C67" i="15" s="1"/>
  <c r="C68" i="15" s="1"/>
  <c r="C71" i="15" s="1"/>
  <c r="B2" i="67"/>
  <c r="B3" i="67"/>
  <c r="J16" i="15"/>
  <c r="J25" i="15" s="1"/>
  <c r="J26" i="15" s="1"/>
  <c r="J29" i="15" s="1"/>
  <c r="Q69" i="15"/>
  <c r="Q68" i="15" s="1"/>
  <c r="C40" i="15"/>
  <c r="C83" i="15" s="1"/>
  <c r="C82" i="15" s="1"/>
  <c r="C80" i="15"/>
  <c r="C79" i="15" s="1"/>
  <c r="Q67" i="15"/>
  <c r="O68" i="39"/>
  <c r="O70" i="39" s="1"/>
  <c r="N70" i="39"/>
  <c r="C31" i="68"/>
  <c r="C52" i="68" s="1"/>
  <c r="C43" i="15" l="1"/>
  <c r="C46" i="15"/>
  <c r="E2" i="68" s="1"/>
  <c r="B2" i="68" s="1"/>
  <c r="Q47" i="15"/>
  <c r="Q53" i="15" s="1"/>
  <c r="B2" i="15"/>
  <c r="Q65" i="15"/>
  <c r="Q75" i="15" s="1"/>
  <c r="Q56" i="15"/>
  <c r="Q62" i="15" s="1"/>
  <c r="J7" i="39"/>
  <c r="H7" i="39"/>
  <c r="F7" i="39"/>
  <c r="C57" i="68"/>
  <c r="C56" i="68" s="1"/>
  <c r="C19" i="9"/>
  <c r="AO6" i="1"/>
  <c r="D19" i="9"/>
  <c r="C102" i="9" l="1"/>
  <c r="C21" i="9"/>
  <c r="B3" i="68"/>
  <c r="B6" i="70"/>
  <c r="B2" i="70" s="1"/>
  <c r="B3" i="70" s="1"/>
  <c r="D21" i="9"/>
  <c r="D102" i="9"/>
  <c r="D22" i="9"/>
  <c r="G19" i="9"/>
  <c r="G21" i="9" s="1"/>
  <c r="B3" i="15"/>
  <c r="AB7" i="39"/>
  <c r="T47" i="39" s="1"/>
  <c r="G47" i="39" s="1"/>
  <c r="U7" i="39"/>
  <c r="S7" i="39"/>
  <c r="AA7" i="39"/>
  <c r="R47" i="39" s="1"/>
  <c r="AC7" i="39"/>
  <c r="V47" i="39" s="1"/>
  <c r="I47" i="39" s="1"/>
  <c r="W7" i="39"/>
  <c r="D35" i="9"/>
  <c r="D34" i="9"/>
  <c r="C20" i="9"/>
  <c r="D20" i="9"/>
  <c r="C103" i="9" l="1"/>
  <c r="C32" i="9"/>
  <c r="C35" i="9" s="1"/>
  <c r="F118" i="9" s="1"/>
  <c r="D103" i="9"/>
  <c r="G20" i="9"/>
  <c r="R48" i="39"/>
  <c r="E47" i="39"/>
  <c r="I51" i="39"/>
  <c r="J51" i="39" s="1"/>
  <c r="I52" i="39"/>
  <c r="J52" i="39" s="1"/>
  <c r="G51" i="39"/>
  <c r="H51" i="39" s="1"/>
  <c r="G52" i="39"/>
  <c r="H52" i="39" s="1"/>
  <c r="H118" i="9" l="1"/>
  <c r="D14" i="74" s="1"/>
  <c r="E51" i="39"/>
  <c r="F51" i="39" s="1"/>
  <c r="E52" i="39"/>
  <c r="F52" i="39" s="1"/>
  <c r="C47" i="39"/>
  <c r="C48" i="39"/>
  <c r="G118" i="9"/>
  <c r="G4" i="52" s="1"/>
  <c r="B52" i="72" s="1"/>
  <c r="F119" i="9"/>
  <c r="F5" i="52" s="1"/>
  <c r="B53" i="72" s="1"/>
  <c r="F4" i="52"/>
  <c r="B51" i="72" s="1"/>
  <c r="C34" i="9"/>
  <c r="D118" i="9" s="1"/>
  <c r="H4" i="52" l="1"/>
  <c r="C104" i="9"/>
  <c r="H101" i="9"/>
  <c r="M48" i="9" s="1"/>
  <c r="H119" i="9"/>
  <c r="H5" i="52" s="1"/>
  <c r="I118" i="9"/>
  <c r="C105" i="9" s="1"/>
  <c r="B61" i="39"/>
  <c r="F61" i="39" s="1"/>
  <c r="B59" i="39"/>
  <c r="F59" i="39" s="1"/>
  <c r="B57" i="39"/>
  <c r="F57" i="39" s="1"/>
  <c r="B60" i="39"/>
  <c r="F60" i="39" s="1"/>
  <c r="B64" i="39"/>
  <c r="F64" i="39" s="1"/>
  <c r="B56" i="39"/>
  <c r="F56" i="39" s="1"/>
  <c r="F66" i="39" s="1"/>
  <c r="B2" i="39" s="1"/>
  <c r="B3" i="39" s="1"/>
  <c r="B65" i="39"/>
  <c r="F65" i="39" s="1"/>
  <c r="B62" i="39"/>
  <c r="F62" i="39" s="1"/>
  <c r="B58" i="39"/>
  <c r="F58" i="39" s="1"/>
  <c r="B63" i="39"/>
  <c r="F63" i="39" s="1"/>
  <c r="D119" i="9"/>
  <c r="D5" i="52" s="1"/>
  <c r="B49" i="72" s="1"/>
  <c r="D4" i="52"/>
  <c r="B47" i="72" s="1"/>
  <c r="B5" i="74"/>
  <c r="E14" i="74"/>
  <c r="F14" i="74"/>
  <c r="E118" i="9" l="1"/>
  <c r="E4" i="52" s="1"/>
  <c r="B48" i="72" s="1"/>
  <c r="D45" i="9"/>
  <c r="C93" i="9" s="1"/>
  <c r="C86" i="9" s="1"/>
  <c r="H102" i="9"/>
  <c r="D7" i="53" s="1"/>
  <c r="B21" i="72" s="1"/>
  <c r="H107" i="9"/>
  <c r="D122" i="9" s="1"/>
  <c r="I4" i="52"/>
  <c r="D5" i="53"/>
  <c r="B20" i="72" s="1"/>
  <c r="C5" i="74"/>
  <c r="D5" i="74"/>
  <c r="C85" i="9" l="1"/>
  <c r="C95" i="9" s="1"/>
  <c r="D52" i="9"/>
  <c r="D13" i="53"/>
  <c r="D14" i="53" s="1"/>
  <c r="B32" i="72" s="1"/>
  <c r="C64" i="9"/>
  <c r="C63" i="9" s="1"/>
  <c r="C67" i="9" s="1"/>
  <c r="C68" i="9" s="1"/>
  <c r="D54" i="9" s="1"/>
  <c r="D53" i="9"/>
  <c r="D55" i="9"/>
  <c r="M53" i="9" s="1"/>
  <c r="C78" i="9"/>
  <c r="C73" i="9" s="1"/>
  <c r="C72" i="9"/>
  <c r="D6" i="53"/>
  <c r="B22" i="72" s="1"/>
  <c r="H108" i="9"/>
  <c r="D15" i="53" s="1"/>
  <c r="B31" i="72" s="1"/>
  <c r="B30" i="72"/>
  <c r="G14" i="74"/>
  <c r="B6" i="74" s="1"/>
  <c r="D123" i="9"/>
  <c r="D9" i="52" s="1"/>
  <c r="D8" i="52"/>
  <c r="C79" i="9" l="1"/>
  <c r="C80" i="9" s="1"/>
  <c r="E80" i="9" s="1"/>
  <c r="E81" i="9" s="1"/>
  <c r="C96" i="9"/>
  <c r="E96" i="9" s="1"/>
  <c r="E97" i="9" s="1"/>
  <c r="D6" i="74"/>
  <c r="C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<sst xmlns="http://schemas.openxmlformats.org/spreadsheetml/2006/main" count="7797" uniqueCount="3115">
  <si>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</si>
  <si>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</si>
  <si>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</si>
  <si>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</si>
  <si>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</si>
  <si>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</si>
  <si>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</si>
  <si>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</si>
  <si>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</si>
  <si>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</si>
  <si>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</si>
  <si>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</si>
  <si>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</si>
  <si>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</si>
  <si>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</si>
  <si>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</si>
  <si>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</si>
  <si>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</si>
  <si>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</si>
  <si>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</si>
  <si>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</si>
  <si>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</si>
  <si>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</si>
  <si>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</si>
  <si>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</si>
  <si>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</si>
  <si>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</si>
  <si>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</si>
  <si>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</si>
  <si>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</si>
  <si>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</si>
  <si>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</si>
  <si>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</si>
  <si>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</si>
  <si>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</si>
  <si>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</si>
  <si>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</si>
  <si>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</si>
  <si>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</si>
  <si>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</si>
  <si>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</si>
  <si>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</si>
  <si>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</si>
  <si>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</si>
  <si>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</si>
  <si>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</si>
  <si>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</si>
  <si>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</si>
  <si>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</si>
  <si>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</si>
  <si>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</si>
  <si>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</si>
  <si>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</si>
  <si>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</si>
  <si>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</si>
  <si>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</si>
  <si>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</si>
  <si>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</si>
  <si>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</si>
  <si>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</si>
  <si>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</si>
  <si>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</si>
  <si>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</si>
  <si>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</si>
  <si>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</si>
  <si>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</si>
  <si>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</si>
  <si>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</si>
  <si>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</si>
  <si>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</si>
  <si>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</si>
  <si>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</si>
  <si>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</si>
  <si>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</si>
  <si>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</si>
  <si>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</si>
  <si>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</si>
  <si>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</si>
  <si>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</si>
  <si>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</si>
  <si>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</si>
  <si>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</si>
  <si>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</si>
  <si>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</si>
  <si>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</si>
  <si>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</si>
  <si>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</si>
  <si>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</si>
  <si>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</si>
  <si>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</si>
  <si>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</si>
  <si>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</si>
  <si>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</si>
  <si>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</si>
  <si>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</si>
  <si>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</si>
  <si>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</si>
  <si>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</si>
  <si>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</si>
  <si>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</si>
  <si>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</si>
  <si>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</si>
  <si>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</si>
  <si>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</si>
  <si>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</si>
  <si>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</si>
  <si>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</si>
  <si>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</si>
  <si>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</si>
  <si>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</si>
  <si>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</si>
  <si>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</si>
  <si>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</si>
  <si>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</si>
  <si>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</si>
  <si>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</si>
  <si>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</si>
  <si>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</si>
  <si>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</si>
  <si>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</si>
  <si>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</si>
  <si>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</si>
  <si>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</si>
  <si>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</si>
  <si>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</si>
  <si>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</si>
  <si>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</si>
  <si>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</si>
  <si>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</si>
  <si>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</si>
  <si>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</si>
  <si>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</si>
  <si>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</si>
  <si>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</si>
  <si>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</si>
  <si>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</si>
  <si>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</si>
  <si>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</si>
  <si>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</si>
  <si>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</si>
  <si>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</si>
  <si>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</si>
  <si>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</si>
  <si>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</si>
  <si>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</si>
  <si>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</si>
  <si>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</si>
  <si>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</si>
  <si>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</si>
  <si>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</si>
  <si>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</si>
  <si>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</si>
  <si>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</si>
  <si>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</si>
  <si>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</si>
  <si>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</si>
  <si>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</si>
  <si>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</si>
  <si>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</si>
  <si>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</si>
  <si>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</si>
  <si>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</si>
  <si>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</si>
  <si>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</si>
  <si>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</si>
  <si>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</si>
  <si>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</si>
  <si>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</si>
  <si>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</si>
  <si>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</si>
  <si>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</si>
  <si>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</si>
  <si>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</si>
  <si>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</si>
  <si>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</si>
  <si>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</si>
  <si>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</si>
  <si>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</si>
  <si>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</si>
  <si>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</si>
  <si>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</si>
  <si>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</si>
  <si>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</si>
  <si>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</si>
  <si>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</si>
  <si>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</si>
  <si>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</si>
  <si>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</si>
  <si>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</si>
  <si>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</si>
  <si>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</si>
  <si>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</si>
  <si>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</si>
  <si>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</si>
  <si>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</si>
  <si>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</si>
  <si>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</si>
  <si>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</si>
  <si>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</si>
  <si>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</si>
  <si>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</si>
  <si>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</si>
  <si>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</si>
  <si>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</si>
  <si>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</si>
  <si>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</si>
  <si>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</si>
  <si>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</si>
  <si>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</si>
  <si>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</si>
  <si>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</si>
  <si>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</si>
  <si>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</si>
  <si>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</si>
  <si>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</si>
  <si>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</si>
  <si>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</si>
  <si>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</si>
  <si>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</si>
  <si>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</si>
  <si>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</si>
  <si>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</si>
  <si>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</si>
  <si>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</si>
  <si>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</si>
  <si>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</si>
  <si>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</si>
  <si>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</si>
  <si>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</si>
  <si>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</si>
  <si>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</si>
  <si>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</si>
  <si>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</si>
  <si>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</si>
  <si>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</si>
  <si>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</si>
  <si>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</si>
  <si>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</si>
  <si>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</si>
  <si>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</si>
  <si>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</si>
  <si>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</si>
  <si>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</si>
  <si>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</si>
  <si>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</si>
  <si>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</si>
  <si>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</si>
  <si>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</si>
  <si>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</si>
  <si>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</si>
  <si>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</si>
  <si>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</si>
  <si>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</si>
  <si>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</si>
  <si>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</si>
  <si>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</si>
  <si>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</si>
  <si>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</si>
  <si>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</si>
  <si>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</si>
  <si>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</si>
  <si>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</si>
  <si>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</si>
  <si>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</si>
  <si>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</si>
  <si>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</si>
  <si>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</si>
  <si>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</si>
  <si>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</si>
  <si>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</si>
  <si>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</si>
  <si>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</si>
  <si>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</si>
  <si>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</si>
  <si>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</si>
  <si>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</si>
  <si>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</si>
  <si>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</si>
  <si>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</si>
  <si>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</si>
  <si>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</si>
  <si>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</si>
  <si>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</si>
  <si>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</si>
  <si>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</si>
  <si>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</si>
  <si>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</si>
  <si>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</si>
  <si>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</si>
  <si>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</si>
  <si>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</si>
  <si>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</si>
  <si>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</si>
  <si>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</si>
  <si>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</si>
  <si>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</si>
  <si>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</si>
  <si>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</si>
  <si>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</si>
  <si>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</si>
  <si>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</si>
  <si>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</si>
  <si>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</si>
  <si>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</si>
  <si>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</si>
  <si>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</si>
  <si>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</si>
  <si>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</si>
  <si>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</si>
  <si>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</si>
  <si>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</si>
  <si>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</si>
  <si>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</si>
  <si>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</si>
  <si>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</si>
  <si>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</si>
  <si>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</si>
  <si>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</si>
  <si>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</si>
  <si>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</si>
  <si>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</si>
  <si>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</si>
  <si>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</si>
  <si>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</si>
  <si>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</si>
  <si>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</si>
  <si>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</si>
  <si>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</si>
  <si>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</si>
  <si>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</si>
  <si>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</si>
  <si>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</si>
  <si>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</si>
  <si>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</si>
  <si>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</si>
  <si>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</si>
  <si>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</si>
  <si>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</si>
  <si>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</si>
  <si>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</si>
  <si>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</si>
  <si>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</si>
  <si>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</si>
  <si>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</si>
  <si>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</si>
  <si>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</si>
  <si>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</si>
  <si>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</si>
  <si>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</si>
  <si>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</si>
  <si>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</si>
  <si>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</si>
  <si>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</si>
  <si>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</si>
  <si>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</si>
  <si>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</si>
  <si>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</si>
  <si>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</si>
  <si>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</si>
  <si>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</si>
  <si>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</si>
  <si>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</si>
  <si>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</si>
  <si>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</si>
  <si>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</si>
  <si>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</si>
  <si>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</si>
  <si>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</si>
  <si>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</si>
  <si>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</si>
  <si>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</si>
  <si>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</si>
  <si>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</si>
  <si>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</si>
  <si>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</si>
  <si>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</si>
  <si>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</si>
  <si>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</si>
  <si>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</si>
  <si>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</si>
  <si>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</si>
  <si>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</si>
  <si>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</si>
  <si>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</si>
  <si>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</si>
  <si>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</si>
  <si>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</si>
  <si>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</si>
  <si>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</si>
  <si>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</si>
  <si>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</si>
  <si>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</si>
  <si>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</si>
  <si>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</si>
  <si>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</si>
  <si>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</si>
  <si>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</si>
  <si>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</si>
  <si>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</si>
  <si>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</si>
  <si>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</si>
  <si>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</si>
  <si>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</si>
  <si>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</si>
  <si>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</si>
  <si>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</si>
  <si>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</si>
  <si>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</si>
  <si>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</si>
  <si>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</si>
  <si>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</si>
  <si>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</si>
  <si>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</si>
  <si>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</si>
  <si>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</si>
  <si>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</si>
  <si>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</si>
  <si>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</si>
  <si>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</si>
  <si>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</si>
  <si>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</si>
  <si>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</si>
  <si>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</si>
  <si>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</si>
  <si>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</si>
  <si>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</si>
  <si>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</si>
  <si>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</si>
  <si>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</si>
  <si>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</si>
  <si>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</si>
  <si>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</si>
  <si>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</si>
  <si>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</si>
  <si>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</si>
  <si>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</si>
  <si>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</si>
  <si>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</si>
  <si>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</si>
  <si>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</si>
  <si>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</si>
  <si>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</si>
  <si>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</si>
  <si>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</si>
  <si>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</si>
  <si>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</si>
  <si>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</si>
  <si>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</si>
  <si>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</si>
  <si>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</si>
  <si>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</si>
  <si>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</si>
  <si>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</si>
  <si>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</si>
  <si>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</si>
  <si>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</si>
  <si>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</si>
  <si>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</si>
  <si>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</si>
  <si>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</si>
  <si>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</si>
  <si>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</si>
  <si>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</si>
  <si>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</si>
  <si>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</si>
  <si>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</si>
  <si>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</si>
  <si>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</si>
  <si>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</si>
  <si>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</si>
  <si>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</si>
  <si>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</si>
  <si>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</si>
  <si>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</si>
  <si>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</si>
  <si>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</si>
  <si>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</si>
  <si>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</si>
  <si>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</si>
  <si>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</si>
  <si>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</si>
  <si>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</si>
  <si>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</si>
  <si>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</si>
  <si>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</si>
  <si>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</si>
  <si>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</si>
  <si>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</si>
  <si>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</si>
  <si>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</si>
  <si>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</si>
  <si>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</si>
  <si>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</si>
  <si>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</si>
  <si>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</si>
  <si>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</si>
  <si>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</si>
  <si>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</si>
  <si>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</si>
  <si>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</si>
  <si>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</si>
  <si>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</si>
  <si>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</si>
  <si>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</si>
  <si>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</si>
  <si>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</si>
  <si>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</si>
  <si>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</si>
  <si>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</si>
  <si>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</si>
  <si>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</si>
  <si>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</si>
  <si>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</si>
  <si>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</si>
  <si>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</si>
  <si>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</si>
  <si>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</si>
  <si>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</si>
  <si>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</si>
  <si>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</si>
  <si>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</si>
  <si>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</si>
  <si>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</si>
  <si>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</si>
  <si>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</si>
  <si>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</si>
  <si>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</si>
  <si>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</si>
  <si>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</si>
  <si>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</si>
  <si>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</si>
  <si>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</si>
  <si>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</si>
  <si>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</si>
  <si>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</si>
  <si>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</si>
  <si>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</si>
  <si>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</si>
  <si>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</si>
  <si>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</si>
  <si>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</si>
  <si>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</si>
  <si>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</si>
  <si>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</si>
  <si>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</si>
  <si>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</si>
  <si>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</si>
  <si>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</si>
  <si>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</si>
  <si>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</si>
  <si>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</si>
  <si>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</si>
  <si>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</si>
  <si>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</si>
  <si>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</si>
  <si>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</si>
  <si>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</si>
  <si>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</si>
  <si>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</si>
  <si>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</si>
  <si>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</si>
  <si>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</si>
  <si>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</si>
  <si>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</si>
  <si>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</si>
  <si>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</si>
  <si>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</si>
  <si>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</si>
  <si>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</si>
  <si>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</si>
  <si>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</si>
  <si>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</si>
  <si>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</si>
  <si>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</si>
  <si>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</si>
  <si>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</si>
  <si>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</si>
  <si>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</si>
  <si>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</si>
  <si>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</si>
  <si>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</si>
  <si>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</si>
  <si>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</si>
  <si>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</si>
  <si>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</si>
  <si>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</si>
  <si>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</si>
  <si>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</si>
  <si>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</si>
  <si>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</si>
  <si>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</si>
  <si>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</si>
  <si>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</si>
  <si>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</si>
  <si>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</si>
  <si>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</si>
  <si>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</si>
  <si>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</si>
  <si>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</si>
  <si>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</si>
  <si>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</si>
  <si>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</si>
  <si>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</si>
  <si>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</si>
  <si>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</si>
  <si>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</si>
  <si>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</si>
  <si>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</si>
  <si>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</si>
  <si>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</si>
  <si>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</si>
  <si>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</si>
  <si>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</si>
  <si>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</si>
  <si>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</si>
  <si>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</si>
  <si>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</si>
  <si>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</si>
  <si>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</si>
  <si>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</si>
  <si>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</si>
  <si>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</si>
  <si>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</si>
  <si>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</si>
  <si>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</si>
  <si>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</si>
  <si>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</si>
  <si>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</si>
  <si>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</si>
  <si>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</si>
  <si>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</si>
  <si>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</si>
  <si>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</si>
  <si>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</si>
  <si>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</si>
  <si>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</si>
  <si>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</si>
  <si>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</si>
  <si>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</si>
  <si>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</si>
  <si>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</si>
  <si>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</si>
  <si>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</si>
  <si>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</si>
  <si>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</si>
  <si>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</si>
  <si>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</si>
  <si>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</si>
  <si>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</si>
  <si>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</si>
  <si>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</si>
  <si>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</si>
  <si>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</si>
  <si>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</si>
  <si>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</si>
  <si>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</si>
  <si>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</si>
  <si>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</si>
  <si>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</si>
  <si>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</si>
  <si>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</si>
  <si>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</si>
  <si>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</si>
  <si>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</si>
  <si>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</si>
  <si>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</si>
  <si>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</si>
  <si>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</si>
  <si>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</si>
  <si>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</si>
  <si>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</si>
  <si>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</si>
  <si>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</si>
  <si>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</si>
  <si>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</si>
  <si>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</si>
  <si>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</si>
  <si>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</si>
  <si>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</si>
  <si>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</si>
  <si>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</si>
  <si>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</si>
  <si>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</si>
  <si>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</si>
  <si>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</si>
  <si>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</si>
  <si>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</si>
  <si>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</si>
  <si>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</si>
  <si>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</si>
  <si>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</si>
  <si>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</si>
  <si>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</si>
  <si>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</si>
  <si>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</si>
  <si>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</si>
  <si>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</si>
  <si>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</si>
  <si>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</si>
  <si>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</si>
  <si>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</si>
  <si>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</si>
  <si>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</si>
  <si>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</si>
  <si>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</si>
  <si>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</si>
  <si>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</si>
  <si>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</si>
  <si>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</si>
  <si>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</si>
  <si>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</si>
  <si>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</si>
  <si>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</si>
  <si>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</si>
  <si>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</si>
  <si>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</si>
  <si>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</si>
  <si>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</si>
  <si>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</si>
  <si>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</si>
  <si>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</si>
  <si>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</si>
  <si>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</si>
  <si>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</si>
  <si>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</si>
  <si>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</si>
  <si>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</si>
  <si>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</si>
  <si>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</si>
  <si>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</si>
  <si>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</si>
  <si>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</si>
  <si>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</si>
  <si>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</si>
  <si>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</si>
  <si>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</si>
  <si>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</si>
  <si>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</si>
  <si>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</si>
  <si>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</si>
  <si>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</si>
  <si>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</si>
  <si>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</si>
  <si>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</si>
  <si>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</si>
  <si>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</si>
  <si>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</si>
  <si>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</si>
  <si>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</si>
  <si>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</si>
  <si>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</si>
  <si>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</si>
  <si>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</si>
  <si>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</si>
  <si>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</si>
  <si>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</si>
  <si>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</si>
  <si>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</si>
  <si>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</si>
  <si>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</si>
  <si>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</si>
  <si>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</si>
  <si>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</si>
  <si>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</si>
  <si>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</si>
  <si>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</si>
  <si>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</si>
  <si>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</si>
  <si>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</si>
  <si>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</si>
  <si>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</si>
  <si>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</si>
  <si>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</si>
  <si>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</si>
  <si>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</si>
  <si>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</si>
  <si>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</si>
  <si>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</si>
  <si>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</si>
  <si>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</si>
  <si>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</si>
  <si>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</si>
  <si>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</si>
  <si>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</si>
  <si>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</si>
  <si>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</si>
  <si>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</si>
  <si>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</si>
  <si>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</si>
  <si>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</si>
  <si>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</si>
  <si>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</si>
  <si>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</si>
  <si>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</si>
  <si>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</si>
  <si>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</si>
  <si>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</si>
  <si>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</si>
  <si>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</si>
  <si>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</si>
  <si>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</si>
  <si>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</si>
  <si>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</si>
  <si>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</si>
  <si>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</si>
  <si>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</si>
  <si>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</si>
  <si>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</si>
  <si>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</si>
  <si>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</si>
  <si>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</si>
  <si>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</si>
  <si>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</si>
  <si>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</si>
  <si>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</si>
  <si>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</si>
  <si>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</si>
  <si>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</si>
  <si>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</si>
  <si>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</si>
  <si>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</si>
  <si>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</si>
  <si>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</si>
  <si>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</si>
  <si>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</si>
  <si>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</si>
  <si>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</si>
  <si>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</si>
  <si>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</si>
  <si>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</si>
  <si>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</si>
  <si>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</si>
  <si>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</si>
  <si>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</si>
  <si>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</si>
  <si>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</si>
  <si>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</si>
  <si>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</si>
  <si>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</si>
  <si>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</si>
  <si>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</si>
  <si>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</si>
  <si>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</si>
  <si>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</si>
  <si>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</si>
  <si>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</si>
  <si>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</si>
  <si>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</si>
  <si>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</si>
  <si>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</si>
  <si>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</si>
  <si>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</si>
  <si>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</si>
  <si>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</si>
  <si>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</si>
  <si>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</si>
  <si>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</si>
  <si>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</si>
  <si>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</si>
  <si>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</si>
  <si>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</si>
  <si>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</si>
  <si>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</si>
  <si>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</si>
  <si>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</si>
  <si>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</si>
  <si>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</si>
  <si>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</si>
  <si>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</si>
  <si>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</si>
  <si>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</si>
  <si>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</si>
  <si>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</si>
  <si>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</si>
  <si>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</si>
  <si>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</si>
  <si>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</si>
  <si>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</si>
  <si>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</si>
  <si>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</si>
  <si>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</si>
  <si>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</si>
  <si>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</si>
  <si>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</si>
  <si>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</si>
  <si>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</si>
  <si>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</si>
  <si>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</si>
  <si>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</si>
  <si>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</si>
  <si>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</si>
  <si>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</si>
  <si>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</si>
  <si>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</si>
  <si>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</si>
  <si>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</si>
  <si>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</si>
  <si>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</si>
  <si>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</si>
  <si>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</si>
  <si>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</si>
  <si>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</si>
  <si>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</si>
  <si>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</si>
  <si>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</si>
  <si>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</si>
  <si>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</si>
  <si>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</si>
  <si>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</si>
  <si>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</si>
  <si>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</si>
  <si>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</si>
  <si>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</si>
  <si>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</si>
  <si>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</si>
  <si>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</si>
  <si>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</si>
  <si>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</si>
  <si>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</si>
  <si>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</si>
  <si>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</si>
  <si>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</si>
  <si>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</si>
  <si>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</si>
  <si>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</si>
  <si>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</si>
  <si>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</si>
  <si>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</si>
  <si>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</si>
  <si>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</si>
  <si>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</si>
  <si>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</si>
  <si>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</si>
  <si>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</si>
  <si>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</si>
  <si>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</si>
  <si>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</si>
  <si>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</si>
  <si>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</si>
  <si>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</si>
  <si>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</si>
  <si>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</si>
  <si>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</si>
  <si>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</si>
  <si>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</si>
  <si>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</si>
  <si>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</si>
  <si>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</si>
  <si>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</si>
  <si>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</si>
  <si>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</si>
  <si>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</si>
  <si>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</si>
  <si>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</si>
  <si>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</si>
  <si>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</si>
  <si>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</si>
  <si>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</si>
  <si>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</si>
  <si>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</si>
  <si>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</si>
  <si>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</si>
  <si>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</si>
  <si>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</si>
  <si>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</si>
  <si>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</si>
  <si>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</si>
  <si>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</si>
  <si>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</si>
  <si>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</si>
  <si>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</si>
  <si>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</si>
  <si>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</si>
  <si>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</si>
  <si>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</si>
  <si>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</si>
  <si>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</si>
  <si>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</si>
  <si>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</si>
  <si>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</si>
  <si>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</si>
  <si>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</si>
  <si>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</si>
  <si>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</si>
  <si>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</si>
  <si>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</si>
  <si>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</si>
  <si>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</si>
  <si>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</si>
  <si>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</si>
  <si>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</si>
  <si>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</si>
  <si>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</si>
  <si>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</si>
  <si>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</si>
  <si>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</si>
  <si>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</si>
  <si>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</si>
  <si>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</si>
  <si>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</si>
  <si>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</si>
  <si>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</si>
  <si>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</si>
  <si>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</si>
  <si>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</si>
  <si>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</si>
  <si>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</si>
  <si>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</si>
  <si>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</si>
  <si>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</si>
  <si>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</si>
  <si>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</si>
  <si>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</si>
  <si>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</si>
  <si>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</si>
  <si>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</si>
  <si>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</si>
  <si>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</si>
  <si>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</si>
  <si>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</si>
  <si>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</si>
  <si>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</si>
  <si>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</si>
  <si>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</si>
  <si>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</si>
  <si>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</si>
  <si>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</si>
  <si>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</si>
  <si>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</si>
  <si>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</si>
  <si>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</si>
  <si>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</si>
  <si>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</si>
  <si>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</si>
  <si>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</si>
  <si>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</si>
  <si>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</si>
  <si>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</si>
  <si>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</si>
  <si>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</si>
  <si>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</si>
  <si>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</si>
  <si>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</si>
  <si>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</si>
  <si>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</si>
  <si>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</si>
  <si>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</si>
  <si>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</si>
  <si>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</si>
  <si>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</si>
  <si>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</si>
  <si>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</si>
  <si>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</si>
  <si>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</si>
  <si>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</si>
  <si>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</si>
  <si>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</si>
  <si>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</si>
  <si>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</si>
  <si>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</si>
  <si>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</si>
  <si>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</si>
  <si>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</si>
  <si>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</si>
  <si>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</si>
  <si>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</si>
  <si>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</si>
  <si>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</si>
  <si>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</si>
  <si>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</si>
  <si>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</si>
  <si>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</si>
  <si>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</si>
  <si>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</si>
  <si>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</si>
  <si>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</si>
  <si>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</si>
  <si>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</si>
  <si>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</si>
  <si>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</si>
  <si>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</si>
  <si>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</si>
  <si>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</si>
  <si>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</si>
  <si>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</si>
  <si>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</si>
  <si>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</si>
  <si>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</si>
  <si>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</si>
  <si>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</si>
  <si>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</si>
  <si>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</si>
  <si>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</si>
  <si>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</si>
  <si>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</si>
  <si>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</si>
  <si>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</si>
  <si>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</si>
  <si>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</si>
  <si>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</si>
  <si>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</si>
  <si>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</si>
  <si>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</si>
  <si>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</si>
  <si>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</si>
  <si>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</si>
  <si>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</si>
  <si>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</si>
  <si>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</si>
  <si>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</si>
  <si>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</si>
  <si>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</si>
  <si>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</si>
  <si>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</si>
  <si>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</si>
  <si>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</si>
  <si>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</si>
  <si>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</si>
  <si>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</si>
  <si>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</si>
  <si>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</si>
  <si>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</si>
  <si>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</si>
  <si>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</si>
  <si>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</si>
  <si>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</si>
  <si>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</si>
  <si>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</si>
  <si>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</si>
  <si>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</si>
  <si>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</si>
  <si>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</si>
  <si>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</si>
  <si>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</si>
  <si>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</si>
  <si>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</si>
  <si>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</si>
  <si>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</si>
  <si>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</si>
  <si>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</si>
  <si>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</si>
  <si>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</si>
  <si>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</si>
  <si>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</si>
  <si>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</si>
  <si>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</si>
  <si>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</si>
  <si>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</si>
  <si>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</si>
  <si>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</si>
  <si>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</si>
  <si>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</si>
  <si>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</si>
  <si>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</si>
  <si>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</si>
  <si>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</si>
  <si>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</si>
  <si>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</si>
  <si>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</si>
  <si>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</si>
  <si>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</si>
  <si>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</si>
  <si>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</si>
  <si>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</si>
  <si>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</si>
  <si>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</si>
  <si>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</si>
  <si>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</si>
  <si>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</si>
  <si>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</si>
  <si>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</si>
  <si>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</si>
  <si>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</si>
  <si>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</si>
  <si>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</si>
  <si>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</si>
  <si>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</si>
  <si>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</si>
  <si>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</si>
  <si>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</si>
  <si>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</si>
  <si>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</si>
  <si>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</si>
  <si>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</si>
  <si>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</si>
  <si>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</si>
  <si>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</si>
  <si>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</si>
  <si>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</si>
  <si>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</si>
  <si>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</si>
  <si>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</si>
  <si>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</si>
  <si>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</si>
  <si>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</si>
  <si>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</si>
  <si>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</si>
  <si>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</si>
  <si>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</si>
  <si>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</si>
  <si>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</si>
  <si>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</si>
  <si>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</si>
  <si>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</si>
  <si>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</si>
  <si>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</si>
  <si>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</si>
  <si>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</si>
  <si>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</si>
  <si>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</si>
  <si>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</si>
  <si>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</si>
  <si>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</si>
  <si>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</si>
  <si>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</si>
  <si>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</si>
  <si>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</si>
  <si>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</si>
  <si>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</si>
  <si>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</si>
  <si>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</si>
  <si>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</si>
  <si>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</si>
  <si>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</si>
  <si>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</si>
  <si>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</si>
  <si>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</si>
  <si>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</si>
  <si>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</si>
  <si>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</si>
  <si>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</si>
  <si>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</si>
  <si>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</si>
  <si>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</si>
  <si>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</si>
  <si>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</si>
  <si>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</si>
  <si>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</si>
  <si>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</si>
  <si>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</si>
  <si>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</si>
  <si>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</si>
  <si>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</si>
  <si>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</si>
  <si>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</si>
  <si>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</si>
  <si>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</si>
  <si>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</si>
  <si>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</si>
  <si>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</si>
  <si>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</si>
  <si>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</si>
  <si>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</si>
  <si>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</si>
  <si>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</si>
  <si>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</si>
  <si>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</si>
  <si>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</si>
  <si>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</si>
  <si>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</si>
  <si>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</si>
  <si>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</si>
  <si>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</si>
  <si>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</si>
  <si>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</si>
  <si>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</si>
  <si>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</si>
  <si>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</si>
  <si>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</si>
  <si>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</si>
  <si>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</si>
  <si>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</si>
  <si>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</si>
  <si>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</si>
  <si>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</si>
  <si>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</si>
  <si>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</si>
  <si>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</si>
  <si>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</si>
  <si>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</si>
  <si>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</si>
  <si>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</si>
  <si>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</si>
  <si>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</si>
  <si>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</si>
  <si>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</si>
  <si>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</si>
  <si>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</si>
  <si>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</si>
  <si>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</si>
  <si>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</si>
  <si>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</si>
  <si>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</si>
  <si>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</si>
  <si>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</si>
  <si>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</si>
  <si>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</si>
  <si>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</si>
  <si>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</si>
  <si>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</si>
  <si>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</si>
  <si>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</si>
  <si>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</si>
  <si>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</si>
  <si>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</si>
  <si>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</si>
  <si>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</si>
  <si>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</si>
  <si>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</si>
  <si>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</si>
  <si>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</si>
  <si>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</si>
  <si>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</si>
  <si>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</si>
  <si>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</si>
  <si>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</si>
  <si>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</si>
  <si>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</si>
  <si>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</si>
  <si>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</si>
  <si>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</si>
  <si>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</si>
  <si>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</si>
  <si>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</si>
  <si>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</si>
  <si>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</si>
  <si>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</si>
  <si>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</si>
  <si>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</si>
  <si>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</si>
  <si>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</si>
  <si>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</si>
  <si>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</si>
  <si>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</si>
  <si>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</si>
  <si>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</si>
  <si>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</si>
  <si>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</si>
  <si>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</si>
  <si>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</si>
  <si>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</si>
  <si>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</si>
  <si>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</si>
  <si>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</si>
  <si>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</si>
  <si>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</si>
  <si>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</si>
  <si>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</si>
  <si>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</si>
  <si>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</si>
  <si>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</si>
  <si>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</si>
  <si>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</si>
  <si>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</si>
  <si>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</si>
  <si>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</si>
  <si>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</si>
  <si>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</si>
  <si>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</si>
  <si>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</si>
  <si>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</si>
  <si>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</si>
  <si>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</si>
  <si>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</si>
  <si>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</si>
  <si>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</si>
  <si>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</si>
  <si>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</si>
  <si>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</si>
  <si>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</si>
  <si>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</si>
  <si>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</si>
  <si>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</si>
  <si>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</si>
  <si>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</si>
  <si>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</si>
  <si>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</si>
  <si>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</si>
  <si>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</si>
  <si>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</si>
  <si>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</si>
  <si>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</si>
  <si>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</si>
  <si>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</si>
  <si>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</si>
  <si>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</si>
  <si>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</si>
  <si>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</si>
  <si>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</si>
  <si>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</si>
  <si>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</si>
  <si>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</si>
  <si>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</si>
  <si>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</si>
  <si>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</si>
  <si>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</si>
  <si>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</si>
  <si>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</si>
  <si>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</si>
  <si>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</si>
  <si>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</si>
  <si>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</si>
  <si>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</si>
  <si>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</si>
  <si>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</si>
  <si>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</si>
  <si>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</si>
  <si>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</si>
  <si>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</si>
  <si>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</si>
  <si>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</si>
  <si>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</si>
  <si>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</si>
  <si>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</si>
  <si>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</si>
  <si>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</si>
  <si>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</si>
  <si>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</si>
  <si>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</si>
  <si>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</si>
  <si>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</si>
  <si>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</si>
  <si>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</si>
  <si>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</si>
  <si>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</si>
  <si>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</si>
  <si>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</si>
  <si>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</si>
  <si>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</si>
  <si>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</si>
  <si>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</si>
  <si>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</si>
  <si>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</si>
  <si>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</si>
  <si>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</si>
  <si>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</si>
  <si>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</si>
  <si>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</si>
  <si>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</si>
  <si>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</si>
  <si>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</si>
  <si>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</si>
  <si>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</si>
  <si>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</si>
  <si>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</si>
  <si>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</si>
  <si>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</si>
  <si>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</si>
  <si>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</si>
  <si>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</si>
  <si>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</si>
  <si>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</si>
  <si>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</si>
  <si>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</si>
  <si>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</si>
  <si>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</si>
  <si>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</si>
  <si>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</si>
  <si>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</si>
  <si>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</si>
  <si>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</si>
  <si>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</si>
  <si>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</si>
  <si>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</si>
  <si>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</si>
  <si>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</si>
  <si>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</si>
  <si>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</si>
  <si>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</si>
  <si>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</si>
  <si>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</si>
  <si>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</si>
  <si>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</si>
  <si>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</si>
  <si>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</si>
  <si>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</si>
  <si>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</si>
  <si>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</si>
  <si>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</si>
  <si>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</si>
  <si>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</si>
  <si>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</si>
  <si>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</si>
  <si>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</si>
  <si>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</si>
  <si>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</si>
  <si>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</si>
  <si>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</si>
  <si>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</si>
  <si>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</si>
  <si>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</si>
  <si>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</si>
  <si>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</si>
  <si>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</si>
  <si>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</si>
  <si>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</si>
  <si>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</si>
  <si>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</si>
  <si>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</si>
  <si>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</si>
  <si>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</si>
  <si>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</si>
  <si>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</si>
  <si>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</si>
  <si>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</si>
  <si>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</si>
  <si>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</si>
  <si>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</si>
  <si>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</si>
  <si>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</si>
  <si>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</si>
  <si>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</si>
  <si>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</si>
  <si>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</si>
  <si>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</si>
  <si>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</si>
  <si>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</si>
  <si>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</si>
  <si>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</si>
  <si>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</si>
  <si>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</si>
  <si>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</si>
  <si>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</si>
  <si>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</si>
  <si>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</si>
  <si>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</si>
  <si>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</si>
  <si>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</si>
  <si>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</si>
  <si>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</si>
  <si>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</si>
  <si>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</si>
  <si>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</si>
  <si>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</si>
  <si>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</si>
  <si>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</si>
  <si>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</si>
  <si>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</si>
  <si>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</si>
  <si>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</si>
  <si>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</si>
  <si>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</si>
  <si>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</si>
  <si>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</si>
  <si>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</si>
  <si>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</si>
  <si>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</si>
  <si>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</si>
  <si>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</si>
  <si>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</si>
  <si>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</si>
  <si>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</si>
  <si>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</si>
  <si>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</si>
  <si>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</si>
  <si>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</si>
  <si>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</si>
  <si>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</si>
  <si>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</si>
  <si>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</si>
  <si>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</si>
  <si>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</si>
  <si>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</si>
  <si>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</si>
  <si>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</si>
  <si>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</si>
  <si>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</si>
  <si>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</si>
  <si>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</si>
  <si>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</si>
  <si>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</si>
  <si>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</si>
  <si>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</si>
  <si>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</si>
  <si>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</si>
  <si>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</si>
  <si>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</si>
  <si>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</si>
  <si>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</si>
  <si>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</si>
  <si>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</si>
  <si>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</si>
  <si>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</si>
  <si>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</si>
  <si>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</si>
  <si>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</si>
  <si>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</si>
  <si>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</si>
  <si>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</si>
  <si>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</si>
  <si>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</si>
  <si>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</si>
  <si>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</si>
  <si>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</si>
  <si>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</si>
  <si>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</si>
  <si>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</si>
  <si>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</si>
  <si>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</si>
  <si>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</si>
  <si>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</si>
  <si>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</si>
  <si>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</si>
  <si>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</si>
  <si>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</si>
  <si>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</si>
  <si>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</si>
  <si>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</si>
  <si>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</si>
  <si>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</si>
  <si>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</si>
  <si>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</si>
  <si>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</si>
  <si>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</si>
  <si>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</si>
  <si>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</si>
  <si>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</si>
  <si>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</si>
  <si>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</si>
  <si>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</si>
  <si>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</si>
  <si>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</si>
  <si>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</si>
  <si>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</si>
  <si>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</si>
  <si>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</si>
  <si>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</si>
  <si>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</si>
  <si>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</si>
  <si>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</si>
  <si>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</si>
  <si>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</si>
  <si>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</si>
  <si>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</si>
  <si>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</si>
  <si>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</si>
  <si>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</si>
  <si>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</si>
  <si>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</si>
  <si>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</si>
  <si>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</si>
  <si>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</si>
  <si>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</si>
  <si>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</si>
  <si>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</si>
  <si>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</si>
  <si>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</si>
  <si>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</si>
  <si>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</si>
  <si>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</si>
  <si>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</si>
  <si>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</si>
  <si>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</si>
  <si>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</si>
  <si>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</si>
  <si>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</si>
  <si>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</si>
  <si>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</si>
  <si>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</si>
  <si>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</si>
  <si>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</si>
  <si>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</si>
  <si>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</si>
  <si>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</si>
  <si>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</si>
  <si>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</si>
  <si>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</si>
  <si>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</si>
  <si>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</si>
  <si>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</si>
  <si>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</si>
  <si>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</si>
  <si>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</si>
  <si>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</si>
  <si>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</si>
  <si>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</si>
  <si>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</si>
  <si>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</si>
  <si>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</si>
  <si>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</si>
  <si>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</si>
  <si>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</si>
  <si>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</si>
  <si>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</si>
  <si>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</si>
  <si>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</si>
  <si>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</si>
  <si>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</si>
  <si>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</si>
  <si>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</si>
  <si>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</si>
  <si>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</si>
  <si>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</si>
  <si>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</si>
  <si>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</si>
  <si>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</si>
  <si>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</si>
  <si>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</si>
  <si>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</si>
  <si>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</si>
  <si>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</si>
  <si>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</si>
  <si>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</si>
  <si>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</si>
  <si>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</si>
  <si>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</si>
  <si>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</si>
  <si>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</si>
  <si>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</si>
  <si>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</si>
  <si>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</si>
  <si>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</si>
  <si>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</si>
  <si>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</si>
  <si>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</si>
  <si>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</si>
  <si>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</si>
  <si>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</si>
  <si>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</si>
  <si>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</si>
  <si>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</si>
  <si>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</si>
  <si>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</si>
  <si>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</si>
  <si>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</si>
  <si>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</si>
  <si>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</si>
  <si>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</si>
  <si>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</si>
  <si>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</si>
  <si>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</si>
  <si>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</si>
  <si>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</si>
  <si>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</si>
  <si>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</si>
  <si>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</si>
  <si>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</si>
  <si>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</si>
  <si>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</si>
  <si>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</si>
  <si>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</si>
  <si>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</si>
  <si>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</si>
  <si>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</si>
  <si>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</si>
  <si>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</si>
  <si>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</si>
  <si>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</si>
  <si>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</si>
  <si>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</si>
  <si>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</si>
  <si>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</si>
  <si>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</si>
  <si>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</si>
  <si>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</si>
  <si>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</si>
  <si>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</si>
  <si>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</si>
  <si>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</si>
  <si>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</si>
  <si>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</si>
  <si>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</si>
  <si>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</si>
  <si>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</si>
  <si>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</si>
  <si>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</si>
  <si>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</si>
  <si>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</si>
  <si>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</si>
  <si>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</si>
  <si>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</si>
  <si>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</si>
  <si>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</si>
  <si>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</si>
  <si>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</si>
  <si>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</si>
  <si>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</si>
  <si>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</si>
  <si>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</si>
  <si>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</si>
  <si>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</si>
  <si>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</si>
  <si>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</si>
  <si>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</si>
  <si>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</si>
  <si>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</si>
  <si>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</si>
  <si>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</si>
  <si>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</si>
  <si>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</si>
  <si>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</si>
  <si>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</si>
  <si>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</si>
  <si>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</si>
  <si>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</si>
  <si>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</si>
  <si>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</si>
  <si>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</si>
  <si>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</si>
  <si>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</si>
  <si>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</si>
  <si>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</si>
  <si>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</si>
  <si>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</si>
  <si>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</si>
  <si>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</si>
  <si>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</si>
  <si>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</si>
  <si>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</si>
  <si>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</si>
  <si>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</si>
  <si>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</si>
  <si>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</si>
  <si>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</si>
  <si>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</si>
  <si>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</si>
  <si>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</si>
  <si>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</si>
  <si>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</si>
  <si>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</si>
  <si>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</si>
  <si>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</si>
  <si>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</si>
  <si>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</si>
  <si>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</si>
  <si>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</si>
  <si>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</si>
  <si>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</si>
  <si>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</si>
  <si>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</si>
  <si>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</si>
  <si>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</si>
  <si>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</si>
  <si>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</si>
  <si>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</si>
  <si>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</si>
  <si>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</si>
  <si>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</si>
  <si>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</si>
  <si>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</si>
  <si>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</si>
  <si>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</si>
  <si>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</si>
  <si>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</si>
  <si>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</si>
  <si>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</si>
  <si>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</si>
  <si>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</si>
  <si>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</si>
  <si>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</si>
  <si>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</si>
  <si>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</si>
  <si>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</si>
  <si>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</si>
  <si>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</si>
  <si>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</si>
  <si>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</si>
  <si>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</si>
  <si>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</si>
  <si>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</si>
  <si>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</si>
  <si>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</si>
  <si>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</si>
  <si>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</si>
  <si>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</si>
  <si>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</si>
  <si>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</si>
  <si>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</si>
  <si>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</si>
  <si>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</si>
  <si>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</si>
  <si>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</si>
  <si>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</si>
  <si>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</si>
  <si>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</si>
  <si>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</si>
  <si>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</si>
  <si>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</si>
  <si>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</si>
  <si>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</si>
  <si>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</si>
  <si>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</si>
  <si>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</si>
  <si>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</si>
  <si>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</si>
  <si>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</si>
  <si>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</si>
  <si>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</si>
  <si>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</si>
  <si>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</si>
  <si>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</si>
  <si>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</si>
  <si>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</si>
  <si>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</si>
  <si>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</si>
  <si>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</si>
  <si>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</si>
  <si>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</si>
  <si>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</si>
  <si>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</si>
  <si>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</si>
  <si>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</si>
  <si>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</si>
  <si>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</si>
  <si>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</si>
  <si>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</si>
  <si>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</si>
  <si>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</si>
  <si>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</si>
  <si>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</si>
  <si>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</si>
  <si>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</si>
  <si>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</si>
  <si>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</si>
  <si>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</si>
  <si>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</si>
  <si>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</si>
  <si>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</si>
  <si>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</si>
  <si>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</si>
  <si>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</si>
  <si>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</si>
  <si>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</si>
  <si>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</si>
  <si>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</si>
  <si>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</si>
  <si>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</si>
  <si>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</si>
  <si>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</si>
  <si>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</si>
  <si>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</si>
  <si>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</si>
  <si>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</si>
  <si>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</si>
  <si>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</si>
  <si>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</si>
  <si>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</si>
  <si>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</si>
  <si>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</si>
  <si>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</si>
  <si>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</si>
  <si>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</si>
  <si>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</si>
  <si>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</si>
  <si>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</si>
  <si>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</si>
  <si>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</si>
  <si>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</si>
  <si>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</si>
  <si>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</si>
  <si>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</si>
  <si>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</si>
  <si>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</si>
  <si>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</si>
  <si>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</si>
  <si>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</si>
  <si>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</si>
  <si>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</si>
  <si>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</si>
  <si>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</si>
  <si>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</si>
  <si>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</si>
  <si>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</si>
  <si>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</si>
  <si>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</si>
  <si>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</si>
  <si>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</si>
  <si>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</si>
  <si>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</si>
  <si>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</si>
  <si>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</si>
  <si>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</si>
  <si>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</si>
  <si>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</si>
  <si>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</si>
  <si>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</si>
  <si>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</si>
  <si>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</si>
  <si>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</si>
  <si>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</si>
  <si>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</si>
  <si>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</si>
  <si>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</si>
  <si>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</si>
  <si>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</si>
  <si>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</si>
  <si>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</si>
  <si>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</si>
  <si>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</si>
  <si>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</si>
  <si>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</si>
  <si>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</si>
  <si>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</si>
  <si>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</si>
  <si>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</si>
  <si>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</si>
  <si>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</si>
  <si>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</si>
  <si>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</si>
  <si>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</si>
  <si>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</si>
  <si>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</si>
  <si>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</si>
  <si>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</si>
  <si>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</si>
  <si>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</si>
  <si>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</si>
  <si>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</si>
  <si>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</si>
  <si>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</si>
  <si>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</si>
  <si>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</si>
  <si>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</si>
  <si>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</si>
  <si>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</si>
  <si>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</si>
  <si>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</si>
  <si>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</si>
  <si>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</si>
  <si>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</si>
  <si>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</si>
  <si>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</si>
  <si>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</si>
  <si>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</si>
  <si>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</si>
  <si>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</si>
  <si>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</si>
  <si>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</si>
  <si>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</si>
  <si>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</si>
  <si>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</si>
  <si>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</si>
  <si>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</si>
  <si>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</si>
  <si>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</si>
  <si>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</si>
  <si>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</si>
  <si>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</si>
  <si>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</si>
  <si>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</si>
  <si>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</si>
  <si>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</si>
  <si>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</si>
  <si>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</si>
  <si>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</si>
  <si>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</si>
  <si>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</si>
  <si>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</si>
  <si>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</si>
  <si>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</si>
  <si>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</si>
  <si>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</si>
  <si>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</si>
  <si>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</si>
  <si>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</si>
  <si>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</si>
  <si>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</si>
  <si>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</si>
  <si>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</si>
  <si>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</si>
  <si>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</si>
  <si>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</si>
  <si>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</si>
  <si>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</si>
  <si>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</si>
  <si>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</si>
  <si>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</si>
  <si>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</si>
  <si>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</si>
  <si>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</si>
  <si>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</si>
  <si>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</si>
  <si>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</si>
  <si>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</si>
  <si>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</si>
  <si>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</si>
  <si>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</si>
  <si>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</si>
  <si>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</si>
  <si>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</si>
  <si>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</si>
  <si>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</si>
  <si>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</si>
  <si>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</si>
  <si>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</si>
  <si>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</si>
  <si>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</si>
  <si>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</si>
  <si>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</si>
  <si>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</si>
  <si>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</si>
  <si>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</si>
  <si>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</si>
  <si>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</si>
  <si>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</si>
  <si>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</si>
  <si>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</si>
  <si>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</si>
  <si>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</si>
  <si>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</si>
  <si>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</si>
  <si>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</si>
  <si>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</si>
  <si>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</si>
  <si>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</si>
  <si>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</si>
  <si>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</si>
  <si>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</si>
  <si>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</si>
  <si>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</si>
  <si>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</si>
  <si>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</si>
  <si>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</si>
  <si>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</si>
  <si>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</si>
  <si>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</si>
  <si>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</si>
  <si>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</si>
  <si>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</si>
  <si>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</si>
  <si>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</si>
  <si>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</si>
  <si>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</si>
  <si>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</si>
  <si>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</si>
  <si>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</si>
  <si>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</si>
  <si>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</si>
  <si>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</si>
  <si>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</si>
  <si>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</si>
  <si>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</si>
  <si>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</si>
  <si>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</si>
  <si>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</si>
  <si>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</si>
  <si>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</si>
  <si>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</si>
  <si>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</si>
  <si>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</si>
  <si>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</si>
  <si>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</si>
  <si>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</si>
  <si>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</si>
  <si>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</si>
  <si>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</si>
  <si>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</si>
  <si>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</si>
  <si>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</si>
  <si>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</si>
  <si>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</si>
  <si>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</si>
  <si>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</si>
  <si>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</si>
  <si>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</si>
  <si>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</si>
  <si>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</si>
  <si>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</si>
  <si>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</si>
  <si>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</si>
  <si>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</si>
  <si>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</si>
  <si>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</si>
  <si>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</si>
  <si>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</si>
  <si>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</si>
  <si>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</si>
  <si>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</si>
  <si>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</si>
  <si>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</si>
  <si>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</si>
  <si>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</si>
  <si>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</si>
  <si>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</si>
  <si>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</si>
  <si>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</si>
  <si>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</si>
  <si>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</si>
  <si>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</si>
  <si>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</si>
  <si>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</si>
  <si>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</si>
  <si>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</si>
  <si>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</si>
  <si>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</si>
  <si>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</si>
  <si>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</si>
  <si>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</si>
  <si>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</si>
  <si>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</si>
  <si>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</si>
  <si>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</si>
  <si>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</si>
  <si>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</si>
  <si>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</si>
  <si>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</si>
  <si>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</si>
  <si>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</si>
  <si>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</si>
  <si>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</si>
  <si>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</si>
  <si>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</si>
  <si>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</si>
  <si>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</si>
  <si>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</si>
  <si>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</si>
  <si>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</si>
  <si>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</si>
  <si>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</si>
  <si>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</si>
  <si>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</si>
  <si>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</si>
  <si>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</si>
  <si>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</si>
  <si>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</si>
  <si>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</si>
  <si>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</si>
  <si>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</si>
  <si>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</si>
  <si>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</si>
  <si>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</si>
  <si>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</si>
  <si>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</si>
  <si>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</si>
  <si>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</si>
  <si>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</si>
  <si>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</si>
  <si>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</si>
  <si>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</si>
  <si>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</si>
  <si>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</si>
  <si>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</si>
  <si>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</si>
  <si>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</si>
  <si>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</si>
  <si>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</si>
  <si>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</si>
  <si>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</si>
  <si>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</si>
  <si>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</si>
  <si>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</si>
  <si>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</si>
  <si>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</si>
  <si>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</si>
  <si>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</si>
  <si>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</si>
  <si>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</si>
  <si>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</si>
  <si>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</si>
  <si>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</si>
  <si>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</si>
  <si>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</si>
  <si>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</si>
  <si>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</si>
  <si>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</si>
  <si>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</si>
  <si>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</si>
  <si>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</si>
  <si>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</si>
  <si>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</si>
  <si>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</si>
  <si>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</si>
  <si>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</si>
  <si>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</si>
  <si>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</si>
  <si>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</si>
  <si>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</si>
  <si>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</si>
  <si>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</si>
  <si>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</si>
  <si>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</si>
  <si>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</si>
  <si>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</si>
  <si>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</si>
  <si>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</si>
  <si>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</si>
  <si>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</si>
  <si>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</si>
  <si>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</si>
  <si>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</si>
  <si>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</si>
  <si>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</si>
  <si>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</si>
  <si>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</si>
  <si>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</si>
  <si>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</si>
  <si>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</si>
  <si>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</si>
  <si>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</si>
  <si>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</si>
  <si>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</si>
  <si>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</si>
  <si>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</si>
  <si>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</si>
  <si>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</si>
  <si>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</si>
  <si>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</si>
  <si>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</si>
  <si>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</si>
  <si>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</si>
  <si>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</si>
  <si>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</si>
  <si>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</si>
  <si>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</si>
  <si>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</si>
  <si>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</si>
  <si>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</si>
  <si>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</si>
  <si>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</si>
  <si>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</si>
  <si>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</si>
  <si>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</si>
  <si>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</si>
  <si>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</si>
  <si>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</si>
  <si>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</si>
  <si>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</si>
  <si>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</si>
  <si>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</si>
  <si>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</si>
  <si>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</si>
  <si>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</si>
  <si>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</si>
  <si>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</si>
  <si>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</si>
  <si>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</si>
  <si>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</si>
  <si>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</si>
  <si>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</si>
  <si>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</si>
  <si>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</si>
  <si>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</si>
  <si>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</si>
  <si>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</si>
  <si>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</si>
  <si>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</si>
  <si>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</si>
  <si>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</si>
  <si>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</si>
  <si>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</si>
  <si>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</si>
  <si>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</si>
  <si>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</si>
  <si>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</si>
  <si>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</si>
  <si>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</si>
  <si>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</si>
  <si>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</si>
  <si>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</si>
  <si>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</si>
  <si>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</si>
  <si>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</si>
  <si>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</si>
  <si>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</si>
  <si>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</si>
  <si>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</si>
  <si>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</si>
  <si>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</si>
  <si>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</si>
  <si>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</si>
  <si>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</si>
  <si>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</si>
  <si>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</si>
  <si>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</si>
  <si>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</si>
  <si>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</si>
  <si>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</si>
  <si>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</si>
  <si>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</si>
  <si>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</si>
  <si>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</si>
  <si>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</si>
  <si>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</si>
  <si>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</si>
  <si>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</si>
  <si>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</si>
  <si>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</si>
  <si>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</si>
  <si>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</si>
  <si>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</si>
  <si>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</si>
  <si>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</si>
  <si>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</si>
  <si>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</si>
  <si>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</si>
  <si>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</si>
  <si>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</si>
  <si>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</si>
  <si>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</si>
  <si>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</si>
  <si>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</si>
  <si>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</si>
  <si>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</si>
  <si>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</si>
  <si>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</si>
  <si>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</si>
  <si>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</si>
  <si>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</si>
  <si>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</si>
  <si>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</si>
  <si>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</si>
  <si>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</si>
  <si>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</si>
  <si>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</si>
  <si>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</si>
  <si>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</si>
  <si>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</si>
  <si>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</si>
  <si>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</si>
  <si>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</si>
  <si>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</si>
  <si>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</si>
  <si>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</si>
  <si>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</si>
  <si>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</si>
  <si>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</si>
  <si>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</si>
  <si>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</si>
  <si>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</si>
  <si>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</si>
  <si>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</si>
  <si>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</si>
  <si>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</si>
  <si>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</si>
  <si>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</si>
  <si>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</si>
  <si>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</si>
  <si>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</si>
  <si>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</si>
  <si>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</si>
  <si>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</si>
  <si>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</si>
  <si>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</si>
  <si>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</si>
  <si>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</si>
  <si>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</si>
  <si>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</si>
  <si>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</si>
  <si>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</si>
  <si>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</si>
  <si>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</si>
  <si>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</si>
  <si>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</si>
  <si>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</si>
  <si>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</si>
  <si>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</si>
  <si>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</si>
  <si>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</si>
  <si>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</si>
  <si>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</si>
  <si>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</si>
  <si>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</si>
  <si>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</si>
  <si>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</si>
  <si>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</si>
  <si>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</si>
  <si>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</si>
  <si>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</si>
  <si>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</si>
  <si>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</si>
  <si>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</si>
  <si>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</si>
  <si>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</si>
  <si>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</si>
  <si>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</si>
  <si>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</si>
  <si>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</si>
  <si>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</si>
  <si>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</si>
  <si>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</si>
  <si>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</si>
  <si>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</si>
  <si>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</si>
  <si>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</si>
  <si>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</si>
  <si>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</si>
  <si>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</si>
  <si>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</si>
  <si>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</si>
  <si>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</si>
  <si>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</si>
  <si>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</si>
  <si>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</si>
  <si>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</si>
  <si>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</si>
  <si>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</si>
  <si>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</si>
  <si>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</si>
  <si>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</si>
  <si>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</si>
  <si>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</si>
  <si>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</si>
  <si>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</si>
  <si>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</si>
  <si>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</si>
  <si>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</si>
  <si>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</si>
  <si>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</si>
  <si>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</si>
  <si>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</si>
  <si>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</si>
  <si>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</si>
  <si>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</si>
  <si>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</si>
  <si>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</si>
  <si>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</si>
  <si>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</si>
  <si>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</si>
  <si>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</si>
  <si>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</si>
  <si>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</si>
  <si>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</si>
  <si>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</si>
  <si>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</si>
  <si>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</si>
  <si>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</si>
  <si>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</si>
  <si>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</si>
  <si>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</si>
  <si>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</si>
  <si>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</si>
  <si>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</si>
  <si>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</si>
  <si>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</si>
  <si>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</si>
  <si>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</si>
  <si>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</si>
  <si>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</si>
  <si>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</si>
  <si>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</si>
  <si>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</si>
  <si>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</si>
  <si>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</si>
  <si>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</si>
  <si>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</si>
  <si>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</si>
  <si>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</si>
  <si>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</si>
  <si>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</si>
  <si>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</si>
  <si>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</si>
  <si>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</si>
  <si>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</si>
  <si>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</si>
  <si>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</si>
  <si>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</si>
  <si>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</si>
  <si>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</si>
  <si>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</si>
  <si>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</si>
  <si>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</si>
  <si>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</si>
  <si>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</si>
  <si>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</si>
  <si>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</si>
  <si>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</si>
  <si>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</si>
  <si>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</si>
  <si>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</si>
  <si>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</si>
  <si>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</si>
  <si>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</si>
  <si>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</si>
  <si>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</si>
  <si>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</si>
  <si>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</si>
  <si>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</si>
  <si>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</si>
  <si>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</si>
  <si>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</si>
  <si>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</si>
  <si>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</si>
  <si>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</si>
  <si>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</si>
  <si>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</si>
  <si>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</si>
  <si>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</si>
  <si>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</si>
  <si>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</si>
  <si>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</si>
  <si>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</si>
  <si>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</si>
  <si>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</si>
  <si>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</si>
  <si>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</si>
  <si>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</si>
  <si>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</si>
  <si>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</si>
  <si>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</si>
  <si>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</si>
  <si>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</si>
  <si>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</si>
  <si>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</si>
  <si>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</si>
  <si>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</si>
  <si>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</si>
  <si>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</si>
  <si>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</si>
  <si>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</si>
  <si>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</si>
  <si>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</si>
  <si>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</si>
  <si>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</si>
  <si>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</si>
  <si>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</si>
  <si>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</si>
  <si>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</si>
  <si>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</si>
  <si>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</si>
  <si>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</si>
  <si>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</si>
  <si>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</si>
  <si>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</si>
  <si>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</si>
  <si>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</si>
  <si>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</si>
  <si>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</si>
  <si>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</si>
  <si>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</si>
  <si>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</si>
  <si>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</si>
  <si>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</si>
  <si>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</si>
  <si>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</si>
  <si>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</si>
  <si>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</si>
  <si>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</si>
  <si>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</si>
  <si>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</si>
  <si>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</si>
  <si>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</si>
  <si>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</si>
  <si>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</si>
  <si>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</si>
  <si>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</si>
  <si>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</si>
  <si>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</si>
  <si>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</si>
  <si>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</si>
  <si>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</si>
  <si>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</si>
  <si>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</si>
  <si>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</si>
  <si>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</si>
  <si>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</si>
  <si>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</si>
  <si>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</si>
  <si>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</si>
  <si>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</si>
  <si>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</si>
  <si>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</si>
  <si>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</si>
  <si>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</si>
  <si>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</si>
  <si>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</si>
  <si>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</si>
  <si>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</si>
  <si>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</si>
  <si>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</si>
  <si>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</si>
  <si>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</si>
  <si>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</si>
  <si>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</si>
  <si>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</si>
  <si>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</si>
  <si>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</si>
  <si>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</si>
  <si>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</si>
  <si>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</si>
  <si>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</si>
  <si>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</si>
  <si>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</si>
  <si>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</si>
  <si>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</si>
  <si>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</si>
  <si>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</si>
  <si>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</si>
  <si>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</si>
  <si>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</si>
  <si>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</si>
  <si>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</si>
  <si>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</si>
  <si>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</si>
  <si>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</si>
  <si>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</si>
  <si>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</si>
  <si>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</si>
  <si>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</si>
  <si>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</si>
  <si>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</si>
  <si>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</si>
  <si>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</si>
  <si>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</si>
  <si>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</si>
  <si>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</si>
  <si>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</si>
  <si>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</si>
  <si>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</si>
  <si>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</si>
  <si>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</si>
  <si>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</si>
  <si>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</si>
  <si>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</si>
  <si>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</si>
  <si>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</si>
  <si>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</si>
  <si>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</si>
  <si>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</si>
  <si>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</si>
  <si>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</si>
  <si>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</si>
  <si>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</si>
  <si>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</si>
  <si>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</si>
  <si>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</si>
  <si>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</si>
  <si>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</si>
  <si>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</si>
  <si>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</si>
  <si>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</si>
  <si>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</si>
  <si>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</si>
  <si>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</si>
  <si>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</si>
  <si>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</si>
  <si>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</si>
  <si>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</si>
  <si>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</si>
  <si>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</si>
  <si>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</si>
  <si>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</si>
  <si>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</si>
  <si>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</si>
  <si>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</si>
  <si>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</si>
  <si>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</si>
  <si>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</si>
  <si>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</si>
  <si>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</si>
  <si>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</si>
  <si>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</si>
  <si>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</si>
  <si>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</si>
  <si>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</si>
  <si>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</si>
  <si>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</si>
  <si>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</si>
  <si>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</si>
  <si>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</si>
  <si>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</si>
  <si>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</si>
  <si>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</si>
  <si>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</si>
  <si>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</si>
  <si>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</si>
  <si>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</si>
  <si>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</si>
  <si>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</si>
  <si>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</si>
  <si>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</si>
  <si>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</si>
  <si>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</si>
  <si>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</si>
  <si>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</si>
  <si>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</si>
  <si>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</si>
  <si>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</si>
  <si>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</si>
  <si>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</si>
  <si>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</si>
  <si>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</si>
  <si>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</si>
  <si>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</si>
  <si>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</si>
  <si>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</si>
  <si>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</si>
  <si>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</si>
  <si>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</si>
  <si>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</si>
  <si>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</si>
  <si>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</si>
  <si>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</si>
  <si>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</si>
  <si>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</si>
  <si>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</si>
  <si>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</si>
  <si>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</si>
  <si>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</si>
  <si>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</si>
  <si>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</si>
  <si>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</si>
  <si>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</si>
  <si>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</si>
  <si>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</si>
  <si>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</si>
  <si>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</si>
  <si>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</si>
  <si>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</si>
  <si>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</si>
  <si>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</si>
  <si>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</si>
  <si>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</si>
  <si>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</si>
  <si>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</si>
  <si>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</si>
  <si>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</si>
  <si>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</si>
  <si>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</si>
  <si>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</si>
  <si>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</si>
  <si>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</si>
  <si>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</si>
  <si>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</si>
  <si>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</si>
  <si>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</si>
  <si>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</si>
  <si>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</si>
  <si>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</si>
  <si>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</si>
  <si>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</si>
  <si>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</si>
  <si>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</si>
  <si>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</si>
  <si>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</si>
  <si>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</si>
  <si>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</si>
  <si>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</si>
  <si>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</si>
  <si>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</si>
  <si>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</si>
  <si>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</si>
  <si>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</si>
  <si>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</si>
  <si>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</si>
  <si>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</si>
  <si>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</si>
  <si>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</si>
  <si>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</si>
  <si>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</si>
  <si>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</si>
  <si>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</si>
  <si>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</si>
  <si>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</si>
  <si>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</si>
  <si>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</si>
  <si>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</si>
  <si>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</si>
  <si>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</si>
  <si>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</si>
  <si>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</si>
  <si>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</si>
  <si>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</si>
  <si>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</si>
  <si>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</si>
  <si>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</si>
  <si>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</si>
  <si>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</si>
  <si>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</si>
  <si>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</si>
  <si>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</si>
  <si>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</si>
  <si>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</si>
  <si>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</si>
  <si>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</si>
  <si>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</si>
  <si>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</si>
  <si>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</si>
  <si>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</si>
  <si>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</si>
  <si>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</si>
  <si>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</si>
  <si>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</si>
  <si>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</si>
  <si>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</si>
  <si>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</si>
  <si>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</si>
  <si>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</si>
  <si>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</si>
  <si>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</si>
  <si>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</si>
  <si>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</si>
  <si>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</si>
  <si>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</si>
  <si>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</si>
  <si>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</si>
  <si>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</si>
  <si>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</si>
  <si>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</si>
  <si>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</si>
  <si>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</si>
  <si>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</si>
  <si>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</si>
  <si>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</si>
  <si>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</si>
  <si>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</si>
  <si>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</si>
  <si>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</si>
  <si>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</si>
  <si>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</si>
  <si>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</si>
  <si>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</si>
  <si>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</si>
  <si>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</si>
  <si>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</si>
  <si>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</si>
  <si>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</si>
  <si>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</si>
  <si>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</si>
  <si>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</si>
  <si>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</si>
  <si>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</si>
  <si>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</si>
  <si>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</si>
  <si>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</si>
  <si>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</si>
  <si>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</si>
  <si>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</si>
  <si>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</si>
  <si>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</si>
  <si>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</si>
  <si>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</si>
  <si>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</si>
  <si>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</si>
  <si>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</si>
  <si>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</si>
  <si>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</si>
  <si>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</si>
  <si>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</si>
  <si>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</si>
  <si>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</si>
  <si>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</si>
  <si>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</si>
  <si>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</si>
  <si>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</si>
  <si>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</si>
  <si>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</si>
  <si>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</si>
  <si>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</si>
  <si>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</si>
  <si>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</si>
  <si>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</si>
  <si>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</si>
  <si>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</si>
  <si>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</si>
  <si>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</si>
  <si>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</si>
  <si>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</si>
  <si>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</si>
  <si>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</si>
  <si>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</si>
  <si>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</si>
  <si>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</si>
  <si>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</si>
  <si>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</si>
  <si>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</si>
  <si>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</si>
  <si>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</si>
  <si>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</si>
  <si>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</si>
  <si>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</si>
  <si>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</si>
  <si>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</si>
  <si>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</si>
  <si>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</si>
  <si>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</si>
  <si>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</si>
  <si>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</si>
  <si>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</si>
  <si>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</si>
  <si>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</si>
  <si>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</si>
  <si>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</si>
  <si>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</si>
  <si>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</si>
  <si>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</si>
  <si>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</si>
  <si>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</si>
  <si>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</si>
  <si>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</si>
  <si>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</si>
  <si>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</si>
  <si>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</si>
  <si>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</si>
  <si>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</si>
  <si>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</si>
  <si>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</si>
  <si>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</si>
  <si>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</si>
  <si>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</si>
  <si>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</si>
  <si>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</si>
  <si>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</si>
  <si>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</si>
  <si>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</si>
  <si>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</si>
  <si>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</si>
  <si>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</si>
  <si>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</si>
  <si>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</si>
  <si>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</si>
  <si>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</si>
  <si>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</si>
  <si>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</si>
  <si>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</si>
  <si>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</si>
  <si>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</si>
  <si>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</si>
  <si>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</si>
  <si>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</si>
  <si>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</si>
  <si>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</si>
  <si>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</si>
  <si>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</si>
  <si>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</si>
  <si>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</si>
  <si>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</si>
  <si>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</si>
  <si>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</si>
  <si>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</si>
  <si>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</si>
  <si>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</si>
  <si>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</si>
  <si>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</si>
  <si>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</si>
  <si>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</si>
  <si>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</si>
  <si>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</si>
  <si>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</si>
  <si>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</si>
  <si>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</si>
  <si>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</si>
  <si>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</si>
  <si>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</si>
  <si>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</si>
  <si>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</si>
  <si>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</si>
  <si>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</si>
  <si>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</si>
  <si>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</si>
  <si>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</si>
  <si>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</si>
  <si>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</si>
  <si>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</si>
  <si>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</si>
  <si>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北京京城机电控股有限责任公司</t>
    <phoneticPr fontId="6" type="noConversion"/>
  </si>
  <si>
    <r>
      <rPr>
        <sz val="12"/>
        <color theme="9" tint="-0.249977111117893"/>
        <rFont val="宋体"/>
        <family val="3"/>
        <charset val="134"/>
      </rPr>
      <t>北京经济技术开发区景园街</t>
    </r>
    <r>
      <rPr>
        <sz val="12"/>
        <color theme="9" tint="-0.249977111117893"/>
        <rFont val="Arial"/>
        <family val="2"/>
      </rPr>
      <t>12</t>
    </r>
    <r>
      <rPr>
        <sz val="12"/>
        <color theme="9" tint="-0.249977111117893"/>
        <rFont val="宋体"/>
        <family val="3"/>
        <charset val="134"/>
      </rPr>
      <t>号</t>
    </r>
    <phoneticPr fontId="6" type="noConversion"/>
  </si>
  <si>
    <t>大兴区</t>
    <phoneticPr fontId="6" type="noConversion"/>
  </si>
  <si>
    <t>出让</t>
  </si>
  <si>
    <r>
      <rPr>
        <sz val="12"/>
        <color theme="9" tint="-0.249977111117893"/>
        <rFont val="宋体"/>
        <family val="3"/>
        <charset val="134"/>
      </rPr>
      <t>工业</t>
    </r>
    <r>
      <rPr>
        <sz val="12"/>
        <color theme="9" tint="-0.249977111117893"/>
        <rFont val="Arial"/>
        <family val="2"/>
      </rPr>
      <t>38.04</t>
    </r>
    <r>
      <rPr>
        <sz val="12"/>
        <color theme="9" tint="-0.249977111117893"/>
        <rFont val="宋体"/>
        <family val="3"/>
        <charset val="134"/>
      </rPr>
      <t>年</t>
    </r>
    <phoneticPr fontId="6" type="noConversion"/>
  </si>
  <si>
    <t>工业、配套办公</t>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</si>
  <si>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</si>
  <si>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开有限国用（</t>
    </r>
    <r>
      <rPr>
        <sz val="12"/>
        <color theme="9" tint="-0.249977111117893"/>
        <rFont val="Arial"/>
        <family val="2"/>
      </rPr>
      <t>2005</t>
    </r>
    <r>
      <rPr>
        <sz val="12"/>
        <color theme="9" tint="-0.249977111117893"/>
        <rFont val="宋体"/>
        <family val="3"/>
        <charset val="134"/>
      </rPr>
      <t>）第</t>
    </r>
    <r>
      <rPr>
        <sz val="12"/>
        <color theme="9" tint="-0.249977111117893"/>
        <rFont val="Arial"/>
        <family val="2"/>
      </rPr>
      <t>36</t>
    </r>
    <r>
      <rPr>
        <sz val="12"/>
        <color theme="9" tint="-0.249977111117893"/>
        <rFont val="宋体"/>
        <family val="3"/>
        <charset val="134"/>
      </rPr>
      <t>号</t>
    </r>
    <r>
      <rPr>
        <sz val="12"/>
        <color theme="9" tint="-0.249977111117893"/>
        <rFont val="Arial"/>
        <family val="2"/>
      </rPr>
      <t>]</t>
    </r>
    <phoneticPr fontId="6" type="noConversion"/>
  </si>
  <si>
    <t>地上</t>
  </si>
  <si>
    <t>配套办公</t>
  </si>
  <si>
    <t>配套办公</t>
    <phoneticPr fontId="16" type="noConversion"/>
  </si>
  <si>
    <t>Ⅵ-BDA核心</t>
  </si>
  <si>
    <t>工业用地</t>
  </si>
  <si>
    <t>不临58条商业街</t>
  </si>
  <si>
    <t>按公示增长率计算</t>
  </si>
  <si>
    <t>容积率修正</t>
  </si>
  <si>
    <t>是</t>
  </si>
  <si>
    <t>成新度</t>
  </si>
  <si>
    <t>六通一平</t>
  </si>
  <si>
    <t>缺少</t>
  </si>
  <si>
    <t>通热</t>
  </si>
  <si>
    <t>估价对象位于北京经济技术开发区，园区建设成熟度较好，产业集聚程度较好。</t>
    <phoneticPr fontId="41" type="noConversion"/>
  </si>
  <si>
    <t>估价对象紧邻城市支路——景园街，公共交通通达情况一般，周边有542、846路等公共交通，停车便捷程度较好，综合评价交通便捷度较好。</t>
    <phoneticPr fontId="41" type="noConversion"/>
  </si>
  <si>
    <t>估价对象所在区域2公里以内有：银行（华夏银行、中国工商银行），超市（康盛宏利超市、和禾便利店），医院（北京同仁医院南区），学校（齐齐哈尔大学北京研发中心）等，公共配套设施齐备情况较好。</t>
    <phoneticPr fontId="41" type="noConversion"/>
  </si>
  <si>
    <t>该园区内无污染型企业，绿化情况较好，卫生条件较好，整体环境状况较好。</t>
    <phoneticPr fontId="41" type="noConversion"/>
  </si>
  <si>
    <t>多面临街</t>
  </si>
  <si>
    <t>城市支路——景园街</t>
    <phoneticPr fontId="25" type="noConversion"/>
  </si>
  <si>
    <t>较好</t>
  </si>
  <si>
    <t>较差</t>
  </si>
  <si>
    <t>估价对象所在区域基础设施水平达到“七通”；估价对象为“六通”。</t>
    <phoneticPr fontId="25" type="noConversion"/>
  </si>
  <si>
    <t>未包含在土地购买价格中</t>
  </si>
  <si>
    <t>全部缴纳</t>
  </si>
  <si>
    <t>厂房</t>
  </si>
  <si>
    <t>钢混</t>
  </si>
  <si>
    <t>生产用房</t>
  </si>
  <si>
    <t>非生产用房</t>
  </si>
  <si>
    <t>押一</t>
  </si>
  <si>
    <t>成本法</t>
  </si>
  <si>
    <t>现房</t>
  </si>
  <si>
    <t>项目全部</t>
  </si>
  <si>
    <t>成本比率</t>
  </si>
  <si>
    <t>建筑物价值</t>
  </si>
  <si>
    <t>租金</t>
  </si>
  <si>
    <t>工业厂房</t>
  </si>
  <si>
    <t>工业厂房</t>
    <phoneticPr fontId="32" type="noConversion"/>
  </si>
  <si>
    <t>七通</t>
  </si>
  <si>
    <t>工业厂房：</t>
    <phoneticPr fontId="143" type="noConversion"/>
  </si>
  <si>
    <t>精装修</t>
    <phoneticPr fontId="32" type="noConversion"/>
  </si>
  <si>
    <t>普通装修</t>
    <phoneticPr fontId="32" type="noConversion"/>
  </si>
  <si>
    <t>简单装修</t>
    <phoneticPr fontId="32" type="noConversion"/>
  </si>
  <si>
    <t>毛坯</t>
    <phoneticPr fontId="32" type="noConversion"/>
  </si>
  <si>
    <t>办公用房：</t>
    <phoneticPr fontId="143" type="noConversion"/>
  </si>
  <si>
    <t>配套办公</t>
    <phoneticPr fontId="32" type="noConversion"/>
  </si>
  <si>
    <t>办公</t>
    <phoneticPr fontId="32" type="noConversion"/>
  </si>
  <si>
    <t>需扣减承租人权益</t>
  </si>
  <si>
    <t>工业项目</t>
  </si>
  <si>
    <t>宗地形状较为规则，对土地利用无不利影响。</t>
    <phoneticPr fontId="79" type="noConversion"/>
  </si>
  <si>
    <t>区域内多为工业用地，土地利用方向较为一致。</t>
    <phoneticPr fontId="25" type="noConversion"/>
  </si>
  <si>
    <t>已包含在土地取得成本中</t>
  </si>
  <si>
    <t>阳江</t>
    <phoneticPr fontId="143" type="noConversion"/>
  </si>
  <si>
    <t>韶关</t>
    <phoneticPr fontId="143" type="noConversion"/>
  </si>
  <si>
    <t>恒大中心</t>
    <phoneticPr fontId="143" type="noConversion"/>
  </si>
  <si>
    <t>评估值</t>
    <phoneticPr fontId="143" type="noConversion"/>
  </si>
  <si>
    <t>评估费</t>
    <phoneticPr fontId="143" type="noConversion"/>
  </si>
  <si>
    <t>工业</t>
    <phoneticPr fontId="7" type="noConversion"/>
  </si>
  <si>
    <t>综合建安</t>
    <phoneticPr fontId="3" type="noConversion"/>
  </si>
  <si>
    <t>综合成新度</t>
    <phoneticPr fontId="3" type="noConversion"/>
  </si>
  <si>
    <t>租期结束后成新度计算</t>
    <phoneticPr fontId="3" type="noConversion"/>
  </si>
  <si>
    <t>收益法工业</t>
  </si>
  <si>
    <t>好</t>
  </si>
  <si>
    <t>钢混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</si>
</sst>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54"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0" fillId="14" borderId="5" xfId="1" applyFont="1" applyFill="1" applyBorder="1" applyAlignment="1" applyProtection="1">
      <alignment horizontal="right" vertical="center"/>
      <protection locked="0"/>
    </xf>
    <xf numFmtId="0" fontId="50" fillId="9"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176" fontId="50" fillId="9" borderId="1" xfId="0" applyNumberFormat="1" applyFont="1" applyFill="1" applyBorder="1" applyAlignment="1" applyProtection="1">
      <alignment horizontal="center" vertical="center" wrapText="1"/>
      <protection locked="0"/>
    </xf>
    <xf numFmtId="179" fontId="50" fillId="0" borderId="1" xfId="1" applyNumberFormat="1" applyFont="1" applyFill="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9" borderId="0" xfId="0" applyNumberFormat="1" applyFont="1" applyFill="1" applyAlignment="1" applyProtection="1">
      <alignment vertical="center"/>
      <protection locked="0"/>
    </xf>
    <xf numFmtId="181" fontId="55" fillId="9" borderId="24"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304800</xdr:colOff>
      <xdr:row>7</xdr:row>
      <xdr:rowOff>9525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912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28575</xdr:rowOff>
    </xdr:from>
    <xdr:to>
      <xdr:col>8</xdr:col>
      <xdr:colOff>454587</xdr:colOff>
      <xdr:row>25</xdr:row>
      <xdr:rowOff>152400</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00175"/>
          <a:ext cx="5940987"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123825</xdr:rowOff>
    </xdr:from>
    <xdr:to>
      <xdr:col>8</xdr:col>
      <xdr:colOff>515930</xdr:colOff>
      <xdr:row>31</xdr:row>
      <xdr:rowOff>57150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410075"/>
          <a:ext cx="600233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657225</xdr:colOff>
      <xdr:row>1</xdr:row>
      <xdr:rowOff>28575</xdr:rowOff>
    </xdr:from>
    <xdr:to>
      <xdr:col>19</xdr:col>
      <xdr:colOff>274904</xdr:colOff>
      <xdr:row>18</xdr:row>
      <xdr:rowOff>114300</xdr:rowOff>
    </xdr:to>
    <xdr:pic>
      <xdr:nvPicPr>
        <xdr:cNvPr id="6" name="图片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3625" y="200025"/>
          <a:ext cx="7161479"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561976</xdr:colOff>
      <xdr:row>18</xdr:row>
      <xdr:rowOff>104775</xdr:rowOff>
    </xdr:from>
    <xdr:to>
      <xdr:col>21</xdr:col>
      <xdr:colOff>257176</xdr:colOff>
      <xdr:row>35</xdr:row>
      <xdr:rowOff>110428</xdr:rowOff>
    </xdr:to>
    <xdr:pic>
      <xdr:nvPicPr>
        <xdr:cNvPr id="8" name="图片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48376" y="3190875"/>
          <a:ext cx="8610600" cy="292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542925</xdr:colOff>
      <xdr:row>35</xdr:row>
      <xdr:rowOff>66676</xdr:rowOff>
    </xdr:from>
    <xdr:to>
      <xdr:col>20</xdr:col>
      <xdr:colOff>247650</xdr:colOff>
      <xdr:row>54</xdr:row>
      <xdr:rowOff>55352</xdr:rowOff>
    </xdr:to>
    <xdr:pic>
      <xdr:nvPicPr>
        <xdr:cNvPr id="10" name="图片 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29325" y="6067426"/>
          <a:ext cx="7934325" cy="324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19050</xdr:colOff>
      <xdr:row>1</xdr:row>
      <xdr:rowOff>19051</xdr:rowOff>
    </xdr:from>
    <xdr:to>
      <xdr:col>30</xdr:col>
      <xdr:colOff>115335</xdr:colOff>
      <xdr:row>19</xdr:row>
      <xdr:rowOff>57151</xdr:rowOff>
    </xdr:to>
    <xdr:pic>
      <xdr:nvPicPr>
        <xdr:cNvPr id="11" name="图片 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92450" y="190501"/>
          <a:ext cx="489688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15</xdr:row>
      <xdr:rowOff>95250</xdr:rowOff>
    </xdr:from>
    <xdr:to>
      <xdr:col>30</xdr:col>
      <xdr:colOff>123825</xdr:colOff>
      <xdr:row>33</xdr:row>
      <xdr:rowOff>137683</xdr:rowOff>
    </xdr:to>
    <xdr:pic>
      <xdr:nvPicPr>
        <xdr:cNvPr id="12" name="图片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73400" y="2667000"/>
          <a:ext cx="4924425" cy="312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9526</xdr:colOff>
      <xdr:row>30</xdr:row>
      <xdr:rowOff>1</xdr:rowOff>
    </xdr:from>
    <xdr:to>
      <xdr:col>30</xdr:col>
      <xdr:colOff>155576</xdr:colOff>
      <xdr:row>48</xdr:row>
      <xdr:rowOff>95251</xdr:rowOff>
    </xdr:to>
    <xdr:pic>
      <xdr:nvPicPr>
        <xdr:cNvPr id="14" name="图片 1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82926" y="5143501"/>
          <a:ext cx="4946650"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厂房"/>
      <sheetName val="收益法 (元)"/>
      <sheetName val="酒店收入计算"/>
      <sheetName val="比较法-住宅"/>
      <sheetName val="比较法-商业"/>
      <sheetName val="比较法-办公"/>
      <sheetName val="收益法配套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综合成新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B27">
            <v>150</v>
          </cell>
        </row>
        <row r="28">
          <cell r="B28">
            <v>190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北京市北京经济技术开发区景园街12号房地产市场价值预评估</v>
      </c>
    </row>
    <row r="3" spans="1:2" s="1597" customFormat="1">
      <c r="A3" s="1595" t="s">
        <v>1222</v>
      </c>
      <c r="B3" s="1596">
        <f>'预评函-封皮'!B40</f>
        <v>0</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受贵公司委托，我公司对北京市北京经济技术开发区景园街12号房地产市场价值进行了预评估。</v>
      </c>
    </row>
    <row r="7" spans="1:2" s="1597" customFormat="1">
      <c r="A7" s="1595" t="s">
        <v>1265</v>
      </c>
      <c r="B7" s="1596" t="str">
        <f>'预评函-1'!A7</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4" spans="1:2" s="1597" customFormat="1">
      <c r="A14" s="1595" t="s">
        <v>1229</v>
      </c>
      <c r="B14" s="1596" t="str">
        <f>'预评函-1'!A19</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24946</v>
      </c>
    </row>
    <row r="21" spans="1:2" s="1597" customFormat="1">
      <c r="A21" s="1595" t="s">
        <v>1236</v>
      </c>
      <c r="B21" s="1596">
        <f ca="1">'预评函-2'!D7</f>
        <v>8634</v>
      </c>
    </row>
    <row r="22" spans="1:2" s="1597" customFormat="1">
      <c r="A22" s="1595" t="s">
        <v>1237</v>
      </c>
      <c r="B22" s="1596" t="str">
        <f ca="1">'预评函-2'!D6</f>
        <v>贰亿肆仟玖佰肆拾陆万元整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24946</v>
      </c>
    </row>
    <row r="31" spans="1:2" s="1597" customFormat="1">
      <c r="A31" s="1595" t="s">
        <v>1275</v>
      </c>
      <c r="B31" s="1596">
        <f ca="1">'预评函-2'!D15</f>
        <v>8634</v>
      </c>
    </row>
    <row r="32" spans="1:2" s="1597" customFormat="1">
      <c r="A32" s="1595" t="s">
        <v>1242</v>
      </c>
      <c r="B32" s="1596" t="str">
        <f ca="1">'预评函-2'!D14</f>
        <v>贰亿肆仟玖佰肆拾陆万元整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北京市北京经济技术开发区景园街12号房地产</v>
      </c>
    </row>
    <row r="42" spans="1:2" s="1597" customFormat="1">
      <c r="A42" s="1595" t="s">
        <v>1289</v>
      </c>
      <c r="B42" s="1596" t="str">
        <f>'预评函-3'!B2</f>
        <v>建筑面积</v>
      </c>
    </row>
    <row r="43" spans="1:2" s="1597" customFormat="1">
      <c r="A43" s="1595" t="s">
        <v>1290</v>
      </c>
      <c r="B43" s="1596">
        <f>'预评函-3'!B4</f>
        <v>28894.02</v>
      </c>
    </row>
    <row r="44" spans="1:2" s="1597" customFormat="1">
      <c r="A44" s="1595" t="s">
        <v>1274</v>
      </c>
      <c r="B44" s="1596" t="str">
        <f>'预评函-3'!C2</f>
        <v>(分摊)土地面积</v>
      </c>
    </row>
    <row r="45" spans="1:2" s="1597" customFormat="1">
      <c r="A45" s="1595" t="s">
        <v>1246</v>
      </c>
      <c r="B45" s="1596">
        <f>'预评函-3'!C4</f>
        <v>66147</v>
      </c>
    </row>
    <row r="46" spans="1:2" s="1597" customFormat="1">
      <c r="A46" s="1595" t="s">
        <v>1272</v>
      </c>
      <c r="B46" s="1596" t="str">
        <f>'预评函-3'!D2</f>
        <v>出让国有建设用地使用权价值</v>
      </c>
    </row>
    <row r="47" spans="1:2" s="1597" customFormat="1">
      <c r="A47" s="1595" t="s">
        <v>1247</v>
      </c>
      <c r="B47" s="1596">
        <f ca="1">'预评函-3'!D4</f>
        <v>17637</v>
      </c>
    </row>
    <row r="48" spans="1:2" s="1597" customFormat="1">
      <c r="A48" s="1595" t="s">
        <v>1248</v>
      </c>
      <c r="B48" s="1596">
        <f ca="1">'预评函-3'!E4</f>
        <v>6104</v>
      </c>
    </row>
    <row r="49" spans="1:2" s="1597" customFormat="1">
      <c r="A49" s="1595" t="s">
        <v>1249</v>
      </c>
      <c r="B49" s="1596" t="str">
        <f ca="1">'预评函-3'!D5</f>
        <v>壹亿柒仟陆佰叁拾柒万元整</v>
      </c>
    </row>
    <row r="50" spans="1:2" s="1597" customFormat="1">
      <c r="A50" s="1595" t="s">
        <v>1273</v>
      </c>
      <c r="B50" s="1596" t="str">
        <f>'预评函-3'!F2</f>
        <v>建筑物价值</v>
      </c>
    </row>
    <row r="51" spans="1:2" s="1597" customFormat="1">
      <c r="A51" s="1595" t="s">
        <v>1250</v>
      </c>
      <c r="B51" s="1596">
        <f ca="1">'预评函-3'!F4</f>
        <v>7309</v>
      </c>
    </row>
    <row r="52" spans="1:2" s="1597" customFormat="1">
      <c r="A52" s="1595" t="s">
        <v>1251</v>
      </c>
      <c r="B52" s="1596">
        <f ca="1">'预评函-3'!G4</f>
        <v>2530</v>
      </c>
    </row>
    <row r="53" spans="1:2" s="1597" customFormat="1">
      <c r="A53" s="1595" t="s">
        <v>1279</v>
      </c>
      <c r="B53" s="1596" t="str">
        <f ca="1">'预评函-3'!F5</f>
        <v>柒仟叁佰零玖万元整</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3112</v>
      </c>
      <c r="C17" s="2019"/>
    </row>
    <row r="18" spans="1:3">
      <c r="A18" s="2018" t="s">
        <v>1768</v>
      </c>
      <c r="B18" s="2018"/>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3054</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12号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07"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7"/>
      <c r="B54" s="2026" t="s">
        <v>864</v>
      </c>
      <c r="C54" s="2023" t="s">
        <v>1282</v>
      </c>
    </row>
    <row r="55" spans="1:4">
      <c r="A55" s="3007"/>
      <c r="B55" s="2026" t="s">
        <v>865</v>
      </c>
      <c r="C55" s="2023" t="s">
        <v>1283</v>
      </c>
    </row>
    <row r="56" spans="1:4">
      <c r="A56" s="3007"/>
      <c r="B56" s="2026" t="s">
        <v>866</v>
      </c>
      <c r="C56" s="2023" t="s">
        <v>1287</v>
      </c>
    </row>
    <row r="57" spans="1:4">
      <c r="A57" s="3007"/>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41" sqref="G4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3016" t="str">
        <f>IF(B10="北京市","北京市",C10)&amp;F10&amp;IF(结果表!G1="在建","出让国有建设用地使用权及在建建筑物",IF(结果表!G1="土地","出让国有建设用地使用权",))&amp;B9&amp;"预评估"</f>
        <v>北京市北京经济技术开发区景园街12号房地产市场价值预评估</v>
      </c>
      <c r="C1" s="3017"/>
      <c r="D1" s="3017"/>
      <c r="E1" s="3017"/>
      <c r="F1" s="3017"/>
      <c r="G1" s="3017"/>
      <c r="H1" s="3017"/>
      <c r="I1" s="3018"/>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北京市北京经济技术开发区景园街12号房地产市场价值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北京市北京经济技术开发区景园街12号房地产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3039</v>
      </c>
      <c r="C4" s="1040">
        <f ca="1">SUMIF(注册房地产估价师,B4,估价师及机构信息!B3:B24)</f>
        <v>1120140022</v>
      </c>
      <c r="D4" s="2043" t="s">
        <v>3040</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18" customHeight="1" thickTop="1">
      <c r="A5" s="2048" t="s">
        <v>1782</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053"/>
      <c r="C6" s="2054"/>
      <c r="D6" s="2055"/>
      <c r="E6" s="2038"/>
      <c r="F6" s="2046"/>
      <c r="G6" s="2046"/>
      <c r="H6" s="2046"/>
      <c r="I6" s="2046"/>
      <c r="J6" s="2046"/>
      <c r="K6" s="2056" t="str">
        <f>IF(COUNTIF(B6,"*上海银行*"),"上海银行","")</f>
        <v/>
      </c>
      <c r="L6" s="2032"/>
      <c r="M6" s="2032"/>
      <c r="N6" s="2033"/>
      <c r="O6" s="2034"/>
      <c r="P6" s="2033"/>
      <c r="Q6" s="2033"/>
      <c r="R6" s="2033"/>
    </row>
    <row r="7" spans="1:19" ht="18" customHeight="1">
      <c r="A7" s="2052" t="s">
        <v>1784</v>
      </c>
      <c r="B7" s="2057"/>
      <c r="C7" s="2054"/>
      <c r="D7" s="2055"/>
      <c r="E7" s="2038"/>
      <c r="F7" s="2046"/>
      <c r="G7" s="2046"/>
      <c r="H7" s="2046"/>
      <c r="I7" s="2046"/>
      <c r="J7" s="2046"/>
      <c r="K7" s="2058"/>
      <c r="L7" s="2032"/>
      <c r="M7" s="2032"/>
      <c r="N7" s="2033"/>
      <c r="O7" s="2034"/>
      <c r="P7" s="2033"/>
      <c r="Q7" s="2033"/>
      <c r="R7" s="2033"/>
    </row>
    <row r="8" spans="1:19" ht="18" customHeight="1">
      <c r="A8" s="2052" t="s">
        <v>1785</v>
      </c>
      <c r="B8" s="2059" t="s">
        <v>3041</v>
      </c>
      <c r="C8" s="2060"/>
      <c r="D8" s="3019" t="s">
        <v>1786</v>
      </c>
      <c r="E8" s="2061"/>
      <c r="F8" s="2062"/>
      <c r="G8" s="2030"/>
      <c r="H8" s="2030"/>
      <c r="I8" s="2030"/>
      <c r="J8" s="2046"/>
      <c r="K8" s="2047"/>
      <c r="L8" s="2032"/>
      <c r="M8" s="2032"/>
      <c r="N8" s="2033"/>
      <c r="O8" s="2034"/>
      <c r="P8" s="2033"/>
      <c r="Q8" s="2033"/>
      <c r="R8" s="2033"/>
    </row>
    <row r="9" spans="1:19" ht="18" customHeight="1" thickBot="1">
      <c r="A9" s="2044" t="s">
        <v>1787</v>
      </c>
      <c r="B9" s="2063" t="s">
        <v>3042</v>
      </c>
      <c r="C9" s="2064"/>
      <c r="D9" s="3020"/>
      <c r="E9" s="2063"/>
      <c r="F9" s="2065"/>
      <c r="G9" s="2066"/>
      <c r="H9" s="2066"/>
      <c r="I9" s="2066"/>
      <c r="J9" s="2046"/>
      <c r="K9" s="2058"/>
      <c r="L9" s="2032"/>
      <c r="M9" s="2032"/>
      <c r="N9" s="2033"/>
      <c r="O9" s="2034"/>
      <c r="P9" s="2033"/>
      <c r="Q9" s="2033"/>
      <c r="R9" s="2033"/>
    </row>
    <row r="10" spans="1:19" ht="18" customHeight="1" thickTop="1">
      <c r="A10" s="2067" t="s">
        <v>1788</v>
      </c>
      <c r="B10" s="2068" t="s">
        <v>3043</v>
      </c>
      <c r="C10" s="2940" t="s">
        <v>3046</v>
      </c>
      <c r="D10" s="2051"/>
      <c r="E10" s="2069" t="s">
        <v>1789</v>
      </c>
      <c r="F10" s="2070" t="s">
        <v>3045</v>
      </c>
      <c r="G10" s="2071"/>
      <c r="H10" s="2072"/>
      <c r="I10" s="2051"/>
      <c r="J10" s="2046"/>
      <c r="K10" s="2058"/>
      <c r="L10" s="2032"/>
      <c r="M10" s="2032"/>
      <c r="N10" s="2033"/>
      <c r="O10" s="2034"/>
      <c r="P10" s="2033"/>
      <c r="Q10" s="2033"/>
      <c r="R10" s="2033"/>
    </row>
    <row r="11" spans="1:19" ht="18" customHeight="1">
      <c r="A11" s="2073" t="s">
        <v>1790</v>
      </c>
      <c r="B11" s="2074"/>
      <c r="C11" s="2939" t="s">
        <v>3044</v>
      </c>
      <c r="D11" s="2075"/>
      <c r="E11" s="2046"/>
      <c r="F11" s="2046"/>
      <c r="G11" s="2046"/>
      <c r="H11" s="2046"/>
      <c r="I11" s="2046"/>
      <c r="J11" s="2046"/>
      <c r="K11" s="2058"/>
      <c r="L11" s="2032"/>
      <c r="M11" s="2032"/>
      <c r="N11" s="2033"/>
      <c r="O11" s="2034"/>
      <c r="P11" s="2033"/>
      <c r="Q11" s="2033"/>
      <c r="R11" s="2033"/>
    </row>
    <row r="12" spans="1:19" ht="18" customHeight="1">
      <c r="A12" s="2076" t="s">
        <v>1791</v>
      </c>
      <c r="B12" s="2074" t="s">
        <v>3047</v>
      </c>
      <c r="C12" s="2077" t="s">
        <v>1792</v>
      </c>
      <c r="D12" s="2078" t="s">
        <v>1793</v>
      </c>
      <c r="E12" s="2078" t="s">
        <v>1794</v>
      </c>
      <c r="F12" s="2078" t="s">
        <v>1795</v>
      </c>
      <c r="G12" s="2078" t="s">
        <v>1796</v>
      </c>
      <c r="H12" s="2078" t="s">
        <v>1797</v>
      </c>
      <c r="I12" s="2078" t="s">
        <v>1798</v>
      </c>
      <c r="J12" s="2046"/>
      <c r="K12" s="2058"/>
      <c r="L12" s="2032"/>
      <c r="M12" s="2032"/>
      <c r="N12" s="2033"/>
      <c r="O12" s="2034"/>
      <c r="P12" s="2033"/>
      <c r="Q12" s="2033"/>
      <c r="R12" s="2033"/>
    </row>
    <row r="13" spans="1:19" ht="18" customHeight="1">
      <c r="A13" s="2079"/>
      <c r="B13" s="2080"/>
      <c r="C13" s="2081" t="s">
        <v>1799</v>
      </c>
      <c r="D13" s="2082"/>
      <c r="E13" s="2082"/>
      <c r="F13" s="2082"/>
      <c r="G13" s="2082"/>
      <c r="H13" s="2082"/>
      <c r="I13" s="1050">
        <v>56933</v>
      </c>
      <c r="J13" s="2046"/>
      <c r="K13" s="2058"/>
      <c r="L13" s="2032"/>
      <c r="M13" s="2032"/>
      <c r="N13" s="2033"/>
      <c r="O13" s="2034"/>
      <c r="P13" s="2033"/>
      <c r="Q13" s="2033"/>
      <c r="R13" s="2033"/>
    </row>
    <row r="14" spans="1:19" ht="18" customHeight="1">
      <c r="A14" s="2079"/>
      <c r="B14" s="2080"/>
      <c r="C14" s="2081" t="s">
        <v>1800</v>
      </c>
      <c r="D14" s="1053"/>
      <c r="E14" s="1053"/>
      <c r="F14" s="1053"/>
      <c r="G14" s="1053"/>
      <c r="H14" s="1053"/>
      <c r="I14" s="1053">
        <v>50</v>
      </c>
      <c r="J14" s="2046"/>
      <c r="K14" s="2083"/>
      <c r="L14" s="2032"/>
      <c r="M14" s="2032"/>
      <c r="N14" s="2033"/>
      <c r="O14" s="2034"/>
      <c r="P14" s="2033"/>
      <c r="Q14" s="2033"/>
      <c r="R14" s="2033"/>
    </row>
    <row r="15" spans="1:19" ht="18" customHeight="1">
      <c r="A15" s="2067"/>
      <c r="B15" s="2084"/>
      <c r="C15" s="2081"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38.04</v>
      </c>
      <c r="J15" s="2046"/>
      <c r="K15" s="2085"/>
      <c r="L15" s="2086"/>
      <c r="M15" s="2086"/>
      <c r="N15" s="2087"/>
      <c r="O15" s="2086"/>
      <c r="P15" s="2087"/>
      <c r="Q15" s="2033"/>
      <c r="R15" s="2033"/>
    </row>
    <row r="16" spans="1:19" ht="30.75" customHeight="1">
      <c r="A16" s="2069" t="s">
        <v>1802</v>
      </c>
      <c r="B16" s="3026" t="s">
        <v>3049</v>
      </c>
      <c r="C16" s="3027"/>
      <c r="D16" s="3028"/>
      <c r="E16" s="2088" t="s">
        <v>1803</v>
      </c>
      <c r="F16" s="3029" t="s">
        <v>3048</v>
      </c>
      <c r="G16" s="3030"/>
      <c r="H16" s="3030"/>
      <c r="I16" s="3031"/>
      <c r="J16" s="2033"/>
      <c r="K16" s="2085"/>
      <c r="L16" s="2086"/>
      <c r="M16" s="2086"/>
      <c r="N16" s="2087"/>
      <c r="O16" s="2086"/>
      <c r="P16" s="2087"/>
      <c r="Q16" s="2033"/>
      <c r="R16" s="2033"/>
    </row>
    <row r="17" spans="1:22" ht="18" customHeight="1">
      <c r="A17" s="2089" t="s">
        <v>1804</v>
      </c>
      <c r="B17" s="2039" t="s">
        <v>1805</v>
      </c>
      <c r="C17" s="1057">
        <f>'数据-汇总表'!E3</f>
        <v>28894.02</v>
      </c>
      <c r="D17" s="2090" t="s">
        <v>1806</v>
      </c>
      <c r="E17" s="3032" t="s">
        <v>3050</v>
      </c>
      <c r="F17" s="3033"/>
      <c r="G17" s="3033"/>
      <c r="H17" s="3033"/>
      <c r="I17" s="3034"/>
      <c r="J17" s="2033"/>
      <c r="K17" s="2091"/>
      <c r="L17" s="2086"/>
      <c r="M17" s="2086"/>
      <c r="N17" s="2087"/>
      <c r="O17" s="2086"/>
      <c r="P17" s="2087"/>
      <c r="Q17" s="2033"/>
      <c r="R17" s="2033"/>
      <c r="S17" s="2033"/>
      <c r="T17" s="2033"/>
      <c r="U17" s="2033"/>
      <c r="V17" s="2033"/>
    </row>
    <row r="18" spans="1:22" ht="36" customHeight="1" thickBot="1">
      <c r="A18" s="2092" t="s">
        <v>70</v>
      </c>
      <c r="B18" s="2042" t="s">
        <v>1807</v>
      </c>
      <c r="C18" s="1447">
        <f>'数据-汇总表'!D3</f>
        <v>66147</v>
      </c>
      <c r="D18" s="2093" t="s">
        <v>1806</v>
      </c>
      <c r="E18" s="3035" t="s">
        <v>3051</v>
      </c>
      <c r="F18" s="3036"/>
      <c r="G18" s="3036"/>
      <c r="H18" s="3036"/>
      <c r="I18" s="3037"/>
      <c r="J18" s="2033"/>
      <c r="K18" s="2091"/>
      <c r="L18" s="2086"/>
      <c r="M18" s="2086"/>
      <c r="N18" s="2087"/>
      <c r="O18" s="2086"/>
      <c r="P18" s="2087"/>
      <c r="Q18" s="2033"/>
      <c r="R18" s="2033"/>
      <c r="S18" s="2033"/>
      <c r="T18" s="2033"/>
      <c r="U18" s="2033"/>
      <c r="V18" s="2033"/>
    </row>
    <row r="19" spans="1:22" ht="37.5" customHeight="1" thickTop="1" thickBot="1">
      <c r="A19" s="373" t="s">
        <v>1808</v>
      </c>
      <c r="B19" s="352" t="s">
        <v>1809</v>
      </c>
      <c r="C19" s="2094"/>
      <c r="D19" s="2095" t="s">
        <v>1810</v>
      </c>
      <c r="E19" s="2096"/>
      <c r="F19" s="2097" t="str">
        <f>IF(AND(C19="是",E19="否"),"是否提供他项权证或相关说明","")</f>
        <v/>
      </c>
      <c r="G19" s="2098"/>
      <c r="H19" s="2046"/>
      <c r="I19" s="2046"/>
      <c r="J19" s="2046"/>
      <c r="K19" s="2058"/>
      <c r="L19" s="2032"/>
      <c r="M19" s="2032"/>
      <c r="N19" s="2087"/>
      <c r="O19" s="2086"/>
      <c r="P19" s="2087"/>
      <c r="Q19" s="2033"/>
      <c r="R19" s="2033"/>
      <c r="S19" s="2033"/>
      <c r="T19" s="2033"/>
      <c r="U19" s="2033"/>
      <c r="V19" s="2033"/>
    </row>
    <row r="20" spans="1:22" ht="18" customHeight="1">
      <c r="A20" s="2099" t="s">
        <v>1811</v>
      </c>
      <c r="B20" s="3022" t="s">
        <v>1812</v>
      </c>
      <c r="C20" s="3023"/>
      <c r="D20" s="3024" t="s">
        <v>1813</v>
      </c>
      <c r="E20" s="3025"/>
      <c r="F20" s="2100" t="s">
        <v>1814</v>
      </c>
      <c r="G20" s="2046"/>
      <c r="H20" s="2046"/>
      <c r="I20" s="2046"/>
      <c r="J20" s="2046"/>
      <c r="K20" s="3021"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2"/>
      <c r="N20" s="2087"/>
      <c r="O20" s="2086"/>
      <c r="P20" s="2087"/>
      <c r="Q20" s="2033"/>
      <c r="R20" s="2033"/>
      <c r="S20" s="2033"/>
      <c r="T20" s="2033"/>
      <c r="U20" s="2033"/>
      <c r="V20" s="2033"/>
    </row>
    <row r="21" spans="1:22" ht="24.75" customHeight="1">
      <c r="A21" s="2099"/>
      <c r="B21" s="2101" t="s">
        <v>1816</v>
      </c>
      <c r="C21" s="2102" t="s">
        <v>1817</v>
      </c>
      <c r="D21" s="2103" t="s">
        <v>1818</v>
      </c>
      <c r="E21" s="2104" t="s">
        <v>1817</v>
      </c>
      <c r="F21" s="2105"/>
      <c r="G21" s="2046"/>
      <c r="H21" s="2046"/>
      <c r="I21" s="2046"/>
      <c r="J21" s="2046"/>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7"/>
      <c r="O21" s="2086"/>
      <c r="P21" s="2087"/>
      <c r="Q21" s="2033"/>
      <c r="R21" s="2033"/>
      <c r="S21" s="2033"/>
      <c r="T21" s="2033"/>
      <c r="U21" s="2033"/>
      <c r="V21" s="2033"/>
    </row>
    <row r="22" spans="1:22" ht="24.75" customHeight="1" thickBot="1">
      <c r="A22" s="2099"/>
      <c r="B22" s="2106" t="s">
        <v>1819</v>
      </c>
      <c r="C22" s="2102" t="s">
        <v>1820</v>
      </c>
      <c r="D22" s="2030"/>
      <c r="E22" s="2030"/>
      <c r="F22" s="2107"/>
      <c r="G22" s="2046"/>
      <c r="H22" s="2046"/>
      <c r="I22" s="2046"/>
      <c r="J22" s="2046"/>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8"/>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6"/>
      <c r="H26" s="2066"/>
      <c r="I26" s="2066"/>
      <c r="J26" s="2046"/>
      <c r="K26" s="2058"/>
      <c r="L26" s="2032"/>
      <c r="M26" s="2032"/>
      <c r="N26" s="2087"/>
      <c r="O26" s="2086"/>
      <c r="P26" s="2087"/>
      <c r="Q26" s="2033"/>
      <c r="R26" s="2033"/>
      <c r="S26" s="2033"/>
      <c r="T26" s="2033"/>
      <c r="U26" s="2033"/>
      <c r="V26" s="2033"/>
    </row>
    <row r="27" spans="1:22" ht="18" customHeight="1" thickTop="1">
      <c r="A27" s="3009" t="s">
        <v>1827</v>
      </c>
      <c r="B27" s="2067" t="s">
        <v>1828</v>
      </c>
      <c r="C27" s="2122" t="s">
        <v>3099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09"/>
      <c r="B28" s="2039" t="s">
        <v>1829</v>
      </c>
      <c r="C28" s="2124"/>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09"/>
      <c r="B29" s="2039" t="s">
        <v>1830</v>
      </c>
      <c r="C29" s="2127"/>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10"/>
      <c r="B30" s="2039" t="s">
        <v>1831</v>
      </c>
      <c r="C30" s="3011"/>
      <c r="D30" s="3012"/>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13" t="s">
        <v>1832</v>
      </c>
      <c r="B31" s="2129" t="s">
        <v>3082</v>
      </c>
      <c r="C31" s="2130" t="str">
        <f>IF(B31="现房","成新及维护状况正常否",IF(B31="在建","工程状态是否正常",IF(B31="土地","是否闲置","-")))</f>
        <v>成新及维护状况正常否</v>
      </c>
      <c r="D31" s="2131"/>
      <c r="E31" s="2132"/>
      <c r="F31" s="2046"/>
      <c r="G31" s="2046"/>
      <c r="H31" s="2046"/>
      <c r="I31" s="2046"/>
      <c r="J31" s="2046"/>
      <c r="K31" s="2056"/>
      <c r="L31" s="2032"/>
      <c r="M31" s="2032"/>
      <c r="N31" s="2033"/>
      <c r="O31" s="2034"/>
      <c r="P31" s="2033"/>
      <c r="Q31" s="2033"/>
      <c r="R31" s="2033"/>
      <c r="S31" s="2033"/>
      <c r="T31" s="2033"/>
      <c r="U31" s="2033"/>
      <c r="V31" s="2033"/>
    </row>
    <row r="32" spans="1:22" ht="18" customHeight="1">
      <c r="A32" s="3014"/>
      <c r="B32" s="2129"/>
      <c r="C32" s="2130" t="str">
        <f>IF(B32="现房","成新及维护状况是否正常",IF(B32="在建","工程状态是否正常",IF(B32="土地","是否闲置","-")))</f>
        <v>-</v>
      </c>
      <c r="D32" s="2131"/>
      <c r="E32" s="2132"/>
      <c r="F32" s="2046"/>
      <c r="G32" s="2046"/>
      <c r="H32" s="2046"/>
      <c r="I32" s="2046"/>
      <c r="J32" s="2046"/>
      <c r="K32" s="2058"/>
      <c r="L32" s="2032"/>
      <c r="M32" s="2032"/>
      <c r="N32" s="2033"/>
      <c r="O32" s="2034"/>
      <c r="P32" s="2033"/>
      <c r="Q32" s="2033"/>
      <c r="R32" s="2033"/>
      <c r="S32" s="2033"/>
      <c r="T32" s="2033"/>
      <c r="U32" s="2033"/>
      <c r="V32" s="2033"/>
    </row>
    <row r="33" spans="1:22" ht="18" customHeight="1">
      <c r="A33" s="3014"/>
      <c r="B33" s="2133"/>
      <c r="C33" s="2073" t="str">
        <f>IF(B33="现房","成新及维护状况是否正常",IF(B33="在建","工程状态是否正常",IF(B33="土地","是否闲置","-")))</f>
        <v>-</v>
      </c>
      <c r="D33" s="2134"/>
      <c r="E33" s="2135"/>
      <c r="F33" s="2046"/>
      <c r="G33" s="2046"/>
      <c r="H33" s="2046"/>
      <c r="I33" s="2046"/>
      <c r="J33" s="2046"/>
      <c r="K33" s="2058"/>
      <c r="L33" s="2032"/>
      <c r="M33" s="2032"/>
      <c r="N33" s="2033"/>
      <c r="O33" s="2034"/>
      <c r="P33" s="2033"/>
      <c r="Q33" s="2033"/>
      <c r="R33" s="2033"/>
      <c r="S33" s="2033"/>
      <c r="T33" s="2033"/>
      <c r="U33" s="2033"/>
      <c r="V33" s="2033"/>
    </row>
    <row r="34" spans="1:22" ht="18" customHeight="1">
      <c r="A34" s="2039" t="s">
        <v>1833</v>
      </c>
      <c r="B34" s="2136"/>
      <c r="C34" s="2136"/>
      <c r="D34" s="2136"/>
      <c r="E34" s="2136"/>
      <c r="F34" s="2136"/>
      <c r="G34" s="2136"/>
      <c r="H34" s="2136"/>
      <c r="I34" s="2046"/>
      <c r="J34" s="2046"/>
      <c r="K34" s="1799">
        <f>COUNTIF(B34:H34,"——")</f>
        <v>0</v>
      </c>
      <c r="L34" s="2077" t="s">
        <v>1834</v>
      </c>
      <c r="M34" s="2077" t="s">
        <v>1835</v>
      </c>
      <c r="N34" s="2077" t="s">
        <v>1836</v>
      </c>
      <c r="O34" s="2077" t="s">
        <v>1837</v>
      </c>
      <c r="P34" s="2077" t="s">
        <v>1838</v>
      </c>
      <c r="Q34" s="2077" t="s">
        <v>1839</v>
      </c>
      <c r="R34" s="2077" t="s">
        <v>1840</v>
      </c>
      <c r="S34" s="3008" t="s">
        <v>1841</v>
      </c>
      <c r="T34" s="2137" t="str">
        <f>NUMBERSTRING(7-K34,1)&amp;"通"</f>
        <v>七通</v>
      </c>
      <c r="U34" s="2033"/>
      <c r="V34" s="2033"/>
    </row>
    <row r="35" spans="1:22" ht="18" customHeight="1">
      <c r="A35" s="2138"/>
      <c r="B35" s="3015" t="s">
        <v>1842</v>
      </c>
      <c r="C35" s="3015"/>
      <c r="D35" s="3015"/>
      <c r="E35" s="3015"/>
      <c r="F35" s="2139" t="str">
        <f>C10</f>
        <v>大兴区</v>
      </c>
      <c r="G35" s="2046"/>
      <c r="H35" s="2046"/>
      <c r="I35" s="2046"/>
      <c r="J35" s="2046"/>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3"/>
      <c r="V35" s="2033"/>
    </row>
    <row r="36" spans="1:22" ht="18" customHeight="1">
      <c r="A36" s="2140"/>
      <c r="B36" s="2139" t="s">
        <v>1843</v>
      </c>
      <c r="C36" s="2139" t="s">
        <v>1844</v>
      </c>
      <c r="D36" s="2139" t="s">
        <v>1845</v>
      </c>
      <c r="E36" s="2139" t="s">
        <v>1846</v>
      </c>
      <c r="F36" s="2141"/>
      <c r="G36" s="2046"/>
      <c r="H36" s="2046"/>
      <c r="I36" s="2046"/>
      <c r="J36" s="2046"/>
      <c r="K36" s="2058"/>
      <c r="L36" s="2032"/>
      <c r="M36" s="2032"/>
      <c r="N36" s="2033"/>
      <c r="O36" s="2034"/>
      <c r="P36" s="2033"/>
      <c r="Q36" s="2033"/>
      <c r="R36" s="2033"/>
      <c r="S36" s="2033"/>
      <c r="T36" s="2033"/>
      <c r="U36" s="2033"/>
      <c r="V36" s="2033"/>
    </row>
    <row r="37" spans="1:22" ht="18" customHeight="1">
      <c r="A37" s="2142" t="s">
        <v>1847</v>
      </c>
      <c r="B37" s="2143" t="s">
        <v>56</v>
      </c>
      <c r="C37" s="2143" t="s">
        <v>56</v>
      </c>
      <c r="D37" s="2143" t="s">
        <v>56</v>
      </c>
      <c r="E37" s="2143" t="s">
        <v>56</v>
      </c>
      <c r="F37" s="2141"/>
      <c r="G37" s="2046"/>
      <c r="H37" s="2046"/>
      <c r="I37" s="2046"/>
      <c r="J37" s="2046"/>
      <c r="K37" s="2058"/>
      <c r="L37" s="2032"/>
      <c r="M37" s="2032"/>
      <c r="N37" s="2033"/>
      <c r="O37" s="2034"/>
      <c r="P37" s="2033"/>
      <c r="Q37" s="2033"/>
      <c r="R37" s="2033"/>
      <c r="S37" s="2033"/>
      <c r="T37" s="2033"/>
      <c r="U37" s="2033"/>
      <c r="V37" s="2033"/>
    </row>
    <row r="38" spans="1:22" ht="18" customHeight="1" thickBot="1">
      <c r="A38" s="2144" t="s">
        <v>1848</v>
      </c>
      <c r="B38" s="2145" t="s">
        <v>3055</v>
      </c>
      <c r="C38" s="2145" t="s">
        <v>3055</v>
      </c>
      <c r="D38" s="2145" t="s">
        <v>3055</v>
      </c>
      <c r="E38" s="2145" t="s">
        <v>3055</v>
      </c>
      <c r="F38" s="2146"/>
      <c r="G38" s="2066"/>
      <c r="H38" s="2066"/>
      <c r="I38" s="2066"/>
      <c r="J38" s="2046"/>
      <c r="K38" s="2058"/>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hidden="1"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66147</v>
      </c>
      <c r="B3" s="14">
        <f>IF(C3="否",G5-AT5,G5)</f>
        <v>28894.02</v>
      </c>
      <c r="C3" s="2171"/>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1877</v>
      </c>
      <c r="B5" s="1807"/>
      <c r="C5" s="1807"/>
      <c r="D5" s="1810"/>
      <c r="E5" s="16" t="s">
        <v>1</v>
      </c>
      <c r="F5" s="16">
        <f>SUM(F13:F587)</f>
        <v>0</v>
      </c>
      <c r="G5" s="16">
        <f>SUM(G13:G587)</f>
        <v>28894.02</v>
      </c>
      <c r="H5" s="16">
        <f t="shared" ref="H5:AT5" si="0">SUM(H13:H656)</f>
        <v>28495.38</v>
      </c>
      <c r="I5" s="16">
        <f t="shared" si="0"/>
        <v>28495.38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398.64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179.31</v>
      </c>
      <c r="AM5" s="16">
        <f t="shared" si="0"/>
        <v>0</v>
      </c>
      <c r="AN5" s="16">
        <f t="shared" si="0"/>
        <v>219.32999999999998</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28894.02</v>
      </c>
      <c r="BA5" s="18">
        <f t="shared" si="1"/>
        <v>28495.38</v>
      </c>
      <c r="BB5" s="18">
        <f t="shared" si="1"/>
        <v>28495.38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398.64</v>
      </c>
      <c r="BM5" s="18">
        <f t="shared" si="1"/>
        <v>0</v>
      </c>
      <c r="BN5" s="18">
        <f t="shared" si="1"/>
        <v>0</v>
      </c>
      <c r="BO5" s="18">
        <f t="shared" si="1"/>
        <v>0</v>
      </c>
      <c r="BP5" s="18">
        <f t="shared" si="1"/>
        <v>0</v>
      </c>
      <c r="BQ5" s="18">
        <f t="shared" si="1"/>
        <v>179.31</v>
      </c>
      <c r="BR5" s="18">
        <f t="shared" si="1"/>
        <v>219.32999999999998</v>
      </c>
      <c r="BS5" s="18">
        <f t="shared" si="1"/>
        <v>0</v>
      </c>
      <c r="BT5" s="19">
        <f t="shared" si="1"/>
        <v>0</v>
      </c>
    </row>
    <row r="6" spans="1:72" s="2180" customFormat="1" ht="12.75">
      <c r="A6" s="15" t="s">
        <v>1878</v>
      </c>
      <c r="B6" s="2177"/>
      <c r="C6" s="2177"/>
      <c r="D6" s="2178"/>
      <c r="E6" s="16">
        <f>H6+AC6+AT6</f>
        <v>66146.990000000005</v>
      </c>
      <c r="F6" s="16" t="s">
        <v>1</v>
      </c>
      <c r="G6" s="16" t="s">
        <v>2</v>
      </c>
      <c r="H6" s="20">
        <f>SUMIF(I$12:AB$12,"总值",I6:AB6)</f>
        <v>65234.39</v>
      </c>
      <c r="I6" s="16">
        <f t="shared" ref="I6:AB6" si="2">ROUND($A$3*I5/$B$3,2)</f>
        <v>65234.39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912.6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410.49</v>
      </c>
      <c r="AM6" s="16">
        <f t="shared" si="3"/>
        <v>0</v>
      </c>
      <c r="AN6" s="16">
        <f t="shared" si="3"/>
        <v>502.11</v>
      </c>
      <c r="AO6" s="16">
        <f t="shared" si="3"/>
        <v>0</v>
      </c>
      <c r="AP6" s="16">
        <f t="shared" si="3"/>
        <v>0</v>
      </c>
      <c r="AQ6" s="16">
        <f t="shared" si="3"/>
        <v>0</v>
      </c>
      <c r="AR6" s="16">
        <f t="shared" si="3"/>
        <v>0</v>
      </c>
      <c r="AS6" s="16">
        <f t="shared" si="3"/>
        <v>0</v>
      </c>
      <c r="AT6" s="20">
        <f>IF(C3="是",ROUND($A$3*AT5/$B$3,2),0)</f>
        <v>0</v>
      </c>
      <c r="AU6" s="2179"/>
      <c r="AV6" s="15" t="s">
        <v>1878</v>
      </c>
      <c r="AW6" s="2177"/>
      <c r="AX6" s="2177"/>
      <c r="AY6" s="21">
        <f>IF(AY3&gt;0,AY3,ROUND($A$3*AZ5/$B$3,2))</f>
        <v>66147</v>
      </c>
      <c r="AZ6" s="16" t="s">
        <v>3</v>
      </c>
      <c r="BA6" s="16">
        <f>ROUND($AY$6*BA5/$AZ$5,2)</f>
        <v>65234.39</v>
      </c>
      <c r="BB6" s="16">
        <f>ROUND($AY$6*BB5/$AZ$5,2)</f>
        <v>65234.39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912.61</v>
      </c>
      <c r="BM6" s="16">
        <f t="shared" si="5"/>
        <v>0</v>
      </c>
      <c r="BN6" s="16">
        <f t="shared" si="5"/>
        <v>0</v>
      </c>
      <c r="BO6" s="16">
        <f t="shared" si="5"/>
        <v>0</v>
      </c>
      <c r="BP6" s="16">
        <f t="shared" si="5"/>
        <v>0</v>
      </c>
      <c r="BQ6" s="16">
        <f t="shared" si="5"/>
        <v>410.49</v>
      </c>
      <c r="BR6" s="16">
        <f t="shared" si="5"/>
        <v>502.11</v>
      </c>
      <c r="BS6" s="16">
        <f t="shared" si="5"/>
        <v>0</v>
      </c>
      <c r="BT6" s="22">
        <f t="shared" si="5"/>
        <v>0</v>
      </c>
    </row>
    <row r="7" spans="1:72" s="2170" customFormat="1" ht="24.75">
      <c r="A7" s="2112" t="s">
        <v>1879</v>
      </c>
      <c r="B7" s="2112" t="s">
        <v>1880</v>
      </c>
      <c r="C7" s="2112" t="s">
        <v>1881</v>
      </c>
      <c r="D7" s="2112" t="s">
        <v>1882</v>
      </c>
      <c r="E7" s="2112" t="s">
        <v>1883</v>
      </c>
      <c r="F7" s="2112" t="s">
        <v>1884</v>
      </c>
      <c r="G7" s="2181" t="s">
        <v>1885</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1886</v>
      </c>
      <c r="AV7" s="23" t="s">
        <v>1887</v>
      </c>
      <c r="AW7" s="2169" t="s">
        <v>1888</v>
      </c>
      <c r="AX7" s="23" t="s">
        <v>1881</v>
      </c>
      <c r="AY7" s="1807" t="s">
        <v>1889</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1890</v>
      </c>
      <c r="H8" s="2187" t="s">
        <v>1891</v>
      </c>
      <c r="I8" s="2188"/>
      <c r="J8" s="1822"/>
      <c r="K8" s="1822"/>
      <c r="L8" s="1822"/>
      <c r="M8" s="1822"/>
      <c r="N8" s="1822"/>
      <c r="O8" s="1822"/>
      <c r="P8" s="1822"/>
      <c r="Q8" s="1822"/>
      <c r="R8" s="1822"/>
      <c r="S8" s="1822"/>
      <c r="T8" s="1822"/>
      <c r="U8" s="1822"/>
      <c r="V8" s="2189"/>
      <c r="W8" s="1822"/>
      <c r="X8" s="1822"/>
      <c r="Y8" s="1822"/>
      <c r="Z8" s="1822"/>
      <c r="AA8" s="2189"/>
      <c r="AB8" s="2190"/>
      <c r="AC8" s="984" t="s">
        <v>1892</v>
      </c>
      <c r="AD8" s="2191"/>
      <c r="AE8" s="2183"/>
      <c r="AF8" s="1822"/>
      <c r="AG8" s="1822"/>
      <c r="AH8" s="1822"/>
      <c r="AI8" s="1822"/>
      <c r="AJ8" s="1822"/>
      <c r="AK8" s="1822"/>
      <c r="AL8" s="1822"/>
      <c r="AM8" s="1822"/>
      <c r="AN8" s="1822"/>
      <c r="AO8" s="1822"/>
      <c r="AP8" s="1822"/>
      <c r="AQ8" s="1822"/>
      <c r="AR8" s="1822"/>
      <c r="AS8" s="1822"/>
      <c r="AT8" s="1295" t="s">
        <v>1893</v>
      </c>
      <c r="AU8" s="2185" t="s">
        <v>1894</v>
      </c>
      <c r="AV8" s="1295"/>
      <c r="AW8" s="2168"/>
      <c r="AX8" s="1295"/>
      <c r="AY8" s="2169"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1897</v>
      </c>
      <c r="I9" s="2194" t="s">
        <v>3052</v>
      </c>
      <c r="J9" s="984"/>
      <c r="K9" s="2194"/>
      <c r="L9" s="984"/>
      <c r="M9" s="2194"/>
      <c r="N9" s="984"/>
      <c r="O9" s="2194"/>
      <c r="P9" s="984"/>
      <c r="Q9" s="2194"/>
      <c r="R9" s="984"/>
      <c r="S9" s="2194"/>
      <c r="T9" s="984"/>
      <c r="U9" s="2194"/>
      <c r="V9" s="984"/>
      <c r="W9" s="2194"/>
      <c r="X9" s="2195"/>
      <c r="Y9" s="2194"/>
      <c r="Z9" s="984"/>
      <c r="AA9" s="2194"/>
      <c r="AB9" s="984"/>
      <c r="AC9" s="2186"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6"/>
      <c r="AT9" s="2185"/>
      <c r="AU9" s="2185" t="s">
        <v>1900</v>
      </c>
      <c r="AV9" s="1295"/>
      <c r="AW9" s="2168"/>
      <c r="AX9" s="1295"/>
      <c r="AY9" s="28"/>
      <c r="AZ9" s="28" t="s">
        <v>1890</v>
      </c>
      <c r="BA9" s="2197" t="s">
        <v>1901</v>
      </c>
      <c r="BB9" s="2198"/>
      <c r="BC9" s="1341"/>
      <c r="BD9" s="1341"/>
      <c r="BE9" s="1341"/>
      <c r="BF9" s="1341"/>
      <c r="BG9" s="1341"/>
      <c r="BH9" s="1341"/>
      <c r="BI9" s="1341"/>
      <c r="BJ9" s="1341"/>
      <c r="BK9" s="2199"/>
      <c r="BL9" s="15" t="s">
        <v>1902</v>
      </c>
      <c r="BM9" s="1822"/>
      <c r="BN9" s="2188"/>
      <c r="BO9" s="1822"/>
      <c r="BP9" s="1822"/>
      <c r="BQ9" s="1822"/>
      <c r="BR9" s="1822"/>
      <c r="BS9" s="1822"/>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1903</v>
      </c>
      <c r="AE10" s="2201"/>
      <c r="AF10" s="15" t="s">
        <v>1903</v>
      </c>
      <c r="AG10" s="2201"/>
      <c r="AH10" s="15" t="s">
        <v>1904</v>
      </c>
      <c r="AI10" s="2201"/>
      <c r="AJ10" s="15" t="s">
        <v>1904</v>
      </c>
      <c r="AK10" s="2201"/>
      <c r="AL10" s="15" t="s">
        <v>1905</v>
      </c>
      <c r="AM10" s="1301"/>
      <c r="AN10" s="15" t="s">
        <v>1905</v>
      </c>
      <c r="AO10" s="1301"/>
      <c r="AP10" s="15" t="s">
        <v>1906</v>
      </c>
      <c r="AQ10" s="1301"/>
      <c r="AR10" s="15" t="s">
        <v>1906</v>
      </c>
      <c r="AS10" s="1301"/>
      <c r="AT10" s="2185"/>
      <c r="AU10" s="2185"/>
      <c r="AV10" s="1295"/>
      <c r="AW10" s="2168"/>
      <c r="AX10" s="1295"/>
      <c r="AY10" s="28"/>
      <c r="AZ10" s="28"/>
      <c r="BA10" s="2202" t="s">
        <v>1897</v>
      </c>
      <c r="BB10" s="2203"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1907</v>
      </c>
      <c r="AE11" s="1823"/>
      <c r="AF11" s="2207" t="s">
        <v>1907</v>
      </c>
      <c r="AG11" s="1823"/>
      <c r="AH11" s="2207" t="s">
        <v>1908</v>
      </c>
      <c r="AI11" s="2208"/>
      <c r="AJ11" s="2207" t="s">
        <v>1908</v>
      </c>
      <c r="AK11" s="1823"/>
      <c r="AL11" s="1821"/>
      <c r="AM11" s="1823"/>
      <c r="AN11" s="1821"/>
      <c r="AO11" s="1823"/>
      <c r="AP11" s="1821"/>
      <c r="AQ11" s="1823"/>
      <c r="AR11" s="1821"/>
      <c r="AS11" s="1823"/>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2"/>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10" t="s">
        <v>1910</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3060</v>
      </c>
      <c r="E13" s="16">
        <f>IF($C$3="是",ROUND($A$3*G13/$B$3,2),ROUND($A$3*(G13-AT13)/$B$3,2))</f>
        <v>66147</v>
      </c>
      <c r="F13" s="32"/>
      <c r="G13" s="33">
        <f>H13+AC13+AT13</f>
        <v>28894.02</v>
      </c>
      <c r="H13" s="20">
        <f>SUMIF(I$12:AB$12,"总值",I13:AB13)</f>
        <v>28495.38</v>
      </c>
      <c r="I13" s="2217">
        <f>23140.06+5355.32</f>
        <v>28495.38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398.64</v>
      </c>
      <c r="AD13" s="2218"/>
      <c r="AE13" s="2218"/>
      <c r="AF13" s="2218"/>
      <c r="AG13" s="2218"/>
      <c r="AH13" s="2218"/>
      <c r="AI13" s="2218"/>
      <c r="AJ13" s="2218"/>
      <c r="AK13" s="2218"/>
      <c r="AL13" s="2218">
        <v>179.31</v>
      </c>
      <c r="AM13" s="2218"/>
      <c r="AN13" s="2957">
        <f>42.17+177.16</f>
        <v>219.32999999999998</v>
      </c>
      <c r="AO13" s="2218"/>
      <c r="AP13" s="2218"/>
      <c r="AQ13" s="2218"/>
      <c r="AR13" s="2218"/>
      <c r="AS13" s="2218"/>
      <c r="AT13" s="2219"/>
      <c r="AU13" s="2220"/>
      <c r="AV13" s="11">
        <f t="shared" ref="AV13:AX17" si="6">A13</f>
        <v>0</v>
      </c>
      <c r="AW13" s="11">
        <f t="shared" si="6"/>
        <v>0</v>
      </c>
      <c r="AX13" s="11">
        <f t="shared" si="6"/>
        <v>0</v>
      </c>
      <c r="AY13" s="1810">
        <f>ROUND($AY$6*AZ13/$AZ$5,2)</f>
        <v>66147</v>
      </c>
      <c r="AZ13" s="16">
        <f>BA13+BL13</f>
        <v>28894.02</v>
      </c>
      <c r="BA13" s="16">
        <f>SUM(BB13:BK13)</f>
        <v>28495.38</v>
      </c>
      <c r="BB13" s="16">
        <f>IF($D13="是",I13-J13,0)</f>
        <v>28495.38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398.64</v>
      </c>
      <c r="BM13" s="16">
        <f>IF($D13="是",AD13-AE13,0)</f>
        <v>0</v>
      </c>
      <c r="BN13" s="16">
        <f>IF($D13="是",AF13-AG13,0)</f>
        <v>0</v>
      </c>
      <c r="BO13" s="16">
        <f>IF($D13="是",AH13-AI13,0)</f>
        <v>0</v>
      </c>
      <c r="BP13" s="16">
        <f>IF($D13="是",AJ13-AK13,0)</f>
        <v>0</v>
      </c>
      <c r="BQ13" s="16">
        <f>IF($D13="是",AL13-AM13,0)</f>
        <v>179.31</v>
      </c>
      <c r="BR13" s="16">
        <f>IF($D13="是",AN13-AO13,0)</f>
        <v>219.32999999999998</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1936</v>
      </c>
      <c r="B1" s="1395"/>
      <c r="C1" s="1395"/>
      <c r="D1" s="1395"/>
      <c r="E1" s="1395"/>
      <c r="F1" s="1395"/>
      <c r="G1" s="1395"/>
      <c r="H1" s="1395"/>
      <c r="I1" s="1395"/>
      <c r="J1" s="1395"/>
      <c r="K1" s="1395"/>
      <c r="L1" s="1395"/>
      <c r="M1" s="1395"/>
      <c r="N1" s="1395"/>
      <c r="O1" s="1395"/>
      <c r="P1" s="1395"/>
    </row>
    <row r="2" spans="1:16" ht="15">
      <c r="A2" s="3049" t="s">
        <v>1937</v>
      </c>
      <c r="B2" s="3049"/>
      <c r="C2" s="3049"/>
      <c r="D2" s="970" t="s">
        <v>1913</v>
      </c>
      <c r="E2" s="2230" t="s">
        <v>1914</v>
      </c>
      <c r="F2" s="1395"/>
      <c r="G2" s="2231"/>
      <c r="H2" s="2232"/>
      <c r="I2" s="2233" t="s">
        <v>1938</v>
      </c>
      <c r="J2" s="1395"/>
      <c r="K2" s="1395"/>
      <c r="L2" s="1395"/>
      <c r="M2" s="1395"/>
      <c r="N2" s="1430"/>
      <c r="O2" s="1395"/>
      <c r="P2" s="1395"/>
    </row>
    <row r="3" spans="1:16" ht="15.75" thickBot="1">
      <c r="A3" s="3050" t="s">
        <v>1911</v>
      </c>
      <c r="B3" s="3050"/>
      <c r="C3" s="3050"/>
      <c r="D3" s="46">
        <f>'数据-基础表'!AY6</f>
        <v>66147</v>
      </c>
      <c r="E3" s="46">
        <f>'数据-基础表'!AZ5</f>
        <v>28894.02</v>
      </c>
      <c r="F3" s="1395"/>
      <c r="G3" s="1402"/>
      <c r="H3" s="1250" t="s">
        <v>1912</v>
      </c>
      <c r="I3" s="55">
        <f>ROUND('数据-基础表'!B3/'数据-基础表'!A3,2)</f>
        <v>0.44</v>
      </c>
      <c r="J3" s="1395"/>
      <c r="K3" s="1395"/>
      <c r="L3" s="1395"/>
      <c r="M3" s="1395"/>
      <c r="N3" s="1430"/>
      <c r="O3" s="1395"/>
      <c r="P3" s="1395"/>
    </row>
    <row r="4" spans="1:16" ht="15">
      <c r="A4" s="3051"/>
      <c r="B4" s="3052"/>
      <c r="C4" s="3053"/>
      <c r="D4" s="2234" t="s">
        <v>1913</v>
      </c>
      <c r="E4" s="2235" t="s">
        <v>1914</v>
      </c>
      <c r="F4" s="1395"/>
      <c r="G4" s="2236" t="s">
        <v>1939</v>
      </c>
      <c r="H4" s="1250" t="s">
        <v>1919</v>
      </c>
      <c r="I4" s="55">
        <f>ROUND(SUMIF('数据-基础表'!I9:AS9,"地上",'数据-基础表'!I5:AS5)/'数据-基础表'!A3,2)</f>
        <v>0.43</v>
      </c>
      <c r="J4" s="1395"/>
      <c r="K4" s="1395"/>
      <c r="L4" s="1395"/>
      <c r="M4" s="1395"/>
      <c r="N4" s="1430"/>
      <c r="O4" s="1395"/>
      <c r="P4" s="1395"/>
    </row>
    <row r="5" spans="1:16">
      <c r="A5" s="47" t="s">
        <v>1915</v>
      </c>
      <c r="B5" s="3054" t="s">
        <v>1916</v>
      </c>
      <c r="C5" s="3054"/>
      <c r="D5" s="48">
        <f>ROUND($D$3*E5/$E$3,2)</f>
        <v>0</v>
      </c>
      <c r="E5" s="49">
        <f>SUMIF('数据-基础表'!$11:$11,"住宅",'数据-基础表'!$5:$5)</f>
        <v>0</v>
      </c>
      <c r="F5" s="1395"/>
      <c r="G5" s="1402"/>
      <c r="H5" s="1250" t="s">
        <v>1912</v>
      </c>
      <c r="I5" s="55">
        <f>ROUND(E31/D31,2)</f>
        <v>0.44</v>
      </c>
      <c r="J5" s="1395"/>
      <c r="K5" s="1395"/>
      <c r="L5" s="1395"/>
      <c r="M5" s="1395"/>
      <c r="N5" s="1395"/>
      <c r="O5" s="1395"/>
      <c r="P5" s="1395"/>
    </row>
    <row r="6" spans="1:16" ht="15" thickBot="1">
      <c r="A6" s="2237"/>
      <c r="B6" s="3054" t="s">
        <v>1917</v>
      </c>
      <c r="C6" s="3054"/>
      <c r="D6" s="48">
        <f>ROUND($D$3*E6/$E$3,2)</f>
        <v>66147</v>
      </c>
      <c r="E6" s="49">
        <f>E3-E5</f>
        <v>28894.02</v>
      </c>
      <c r="F6" s="1395"/>
      <c r="G6" s="2238" t="s">
        <v>1918</v>
      </c>
      <c r="H6" s="1402" t="s">
        <v>1919</v>
      </c>
      <c r="I6" s="942">
        <f>ROUND(F31/D31,2)</f>
        <v>0.43</v>
      </c>
      <c r="J6" s="1395"/>
      <c r="K6" s="1395"/>
      <c r="L6" s="1395"/>
      <c r="M6" s="1395"/>
      <c r="N6" s="1395"/>
      <c r="O6" s="1395"/>
      <c r="P6" s="1395"/>
    </row>
    <row r="7" spans="1:16" ht="15">
      <c r="A7" s="3046"/>
      <c r="B7" s="3047"/>
      <c r="C7" s="3048"/>
      <c r="D7" s="2234" t="s">
        <v>1913</v>
      </c>
      <c r="E7" s="2239" t="s">
        <v>1920</v>
      </c>
      <c r="F7" s="1395"/>
      <c r="G7" s="2231" t="s">
        <v>1921</v>
      </c>
      <c r="H7" s="64"/>
      <c r="I7" s="420"/>
      <c r="J7" s="1395"/>
      <c r="K7" s="1395"/>
      <c r="L7" s="1395"/>
      <c r="M7" s="1395"/>
      <c r="N7" s="1395"/>
      <c r="O7" s="1395"/>
      <c r="P7" s="1395"/>
    </row>
    <row r="8" spans="1:16">
      <c r="A8" s="47" t="s">
        <v>1922</v>
      </c>
      <c r="B8" s="50" t="s">
        <v>1923</v>
      </c>
      <c r="C8" s="48" t="s">
        <v>1924</v>
      </c>
      <c r="D8" s="48">
        <f t="shared" ref="D8:D15" si="0">ROUND($D$3*E8/$E$3,2)</f>
        <v>65234.39</v>
      </c>
      <c r="E8" s="51">
        <f>SUMIF('数据-基础表'!BB10:BK10,"地上",'数据-基础表'!BB5:BK5)</f>
        <v>28495.38</v>
      </c>
      <c r="F8" s="1395"/>
      <c r="G8" s="2240"/>
      <c r="H8" s="2240"/>
      <c r="I8" s="1395"/>
      <c r="J8" s="1395"/>
      <c r="K8" s="1395"/>
      <c r="L8" s="1395"/>
      <c r="M8" s="1395"/>
      <c r="N8" s="1395"/>
      <c r="O8" s="1395"/>
      <c r="P8" s="1395"/>
    </row>
    <row r="9" spans="1:16">
      <c r="A9" s="2241"/>
      <c r="B9" s="2242"/>
      <c r="C9" s="48" t="s">
        <v>1925</v>
      </c>
      <c r="D9" s="48">
        <f t="shared" si="0"/>
        <v>0</v>
      </c>
      <c r="E9" s="52">
        <v>0</v>
      </c>
      <c r="F9" s="1395"/>
      <c r="G9" s="2240"/>
      <c r="H9" s="2240"/>
      <c r="I9" s="1395"/>
      <c r="J9" s="1395"/>
      <c r="K9" s="1395"/>
      <c r="L9" s="1395"/>
      <c r="M9" s="1395"/>
      <c r="N9" s="1395"/>
      <c r="O9" s="1395"/>
      <c r="P9" s="1395"/>
    </row>
    <row r="10" spans="1:16">
      <c r="A10" s="2241"/>
      <c r="B10" s="2242"/>
      <c r="C10" s="48" t="s">
        <v>1934</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1926</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1927</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1928</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1940</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1935</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1929</v>
      </c>
      <c r="D16" s="50">
        <f>SUM(D8:D15)</f>
        <v>65234.39</v>
      </c>
      <c r="E16" s="53">
        <f>SUM(E8:E15)</f>
        <v>28495.38</v>
      </c>
      <c r="F16" s="1395"/>
      <c r="G16" s="2240"/>
      <c r="H16" s="2243" t="s">
        <v>1941</v>
      </c>
      <c r="I16" s="2244"/>
      <c r="J16" s="1395"/>
      <c r="K16" s="3043" t="s">
        <v>1941</v>
      </c>
      <c r="L16" s="3044"/>
      <c r="M16" s="3044"/>
      <c r="N16" s="3044"/>
      <c r="O16" s="3044"/>
      <c r="P16" s="3045"/>
    </row>
    <row r="17" spans="1:19" ht="15">
      <c r="A17" s="2245" t="s">
        <v>1942</v>
      </c>
      <c r="B17" s="2246" t="s">
        <v>1943</v>
      </c>
      <c r="C17" s="2247" t="s">
        <v>1944</v>
      </c>
      <c r="D17" s="2248" t="s">
        <v>1932</v>
      </c>
      <c r="E17" s="2249" t="s">
        <v>1933</v>
      </c>
      <c r="F17" s="2250"/>
      <c r="G17" s="2251"/>
      <c r="H17" s="2252" t="s">
        <v>1945</v>
      </c>
      <c r="I17" s="2253" t="s">
        <v>1930</v>
      </c>
      <c r="J17" s="1395"/>
      <c r="K17" s="3040" t="s">
        <v>1946</v>
      </c>
      <c r="L17" s="3041"/>
      <c r="M17" s="3042"/>
      <c r="N17" s="3040" t="s">
        <v>1947</v>
      </c>
      <c r="O17" s="3041"/>
      <c r="P17" s="3042"/>
      <c r="R17" s="2231" t="s">
        <v>1948</v>
      </c>
      <c r="S17" s="64"/>
    </row>
    <row r="18" spans="1:19" ht="15">
      <c r="A18" s="2241"/>
      <c r="B18" s="2254"/>
      <c r="C18" s="2255"/>
      <c r="D18" s="2256"/>
      <c r="E18" s="2257" t="s">
        <v>1949</v>
      </c>
      <c r="F18" s="2258" t="s">
        <v>1950</v>
      </c>
      <c r="G18" s="2259" t="s">
        <v>1951</v>
      </c>
      <c r="H18" s="1265" t="s">
        <v>1952</v>
      </c>
      <c r="I18" s="2260" t="s">
        <v>1953</v>
      </c>
      <c r="J18" s="1395"/>
      <c r="K18" s="1265" t="s">
        <v>1954</v>
      </c>
      <c r="L18" s="2261" t="s">
        <v>1955</v>
      </c>
      <c r="M18" s="1049" t="s">
        <v>1956</v>
      </c>
      <c r="N18" s="1265" t="s">
        <v>1954</v>
      </c>
      <c r="O18" s="2261" t="s">
        <v>1955</v>
      </c>
      <c r="P18" s="1049" t="s">
        <v>1956</v>
      </c>
      <c r="R18" s="1250" t="s">
        <v>1957</v>
      </c>
      <c r="S18" s="1250" t="s">
        <v>1958</v>
      </c>
    </row>
    <row r="19" spans="1:19">
      <c r="A19" s="2262"/>
      <c r="B19" s="50" t="s">
        <v>1931</v>
      </c>
      <c r="C19" s="2941" t="s">
        <v>3108</v>
      </c>
      <c r="D19" s="48">
        <f>ROUND($D$3*E19/$E$3,2)</f>
        <v>65234.39</v>
      </c>
      <c r="E19" s="56">
        <f t="shared" ref="E19:E26" si="1">SUM(F19:G19)</f>
        <v>28495.38</v>
      </c>
      <c r="F19" s="57">
        <f>'数据-基础表'!I13</f>
        <v>28495.38</v>
      </c>
      <c r="G19" s="58"/>
      <c r="H19" s="723">
        <f>ROUND($D$3*I19/$E$3,2)</f>
        <v>912.61</v>
      </c>
      <c r="I19" s="51">
        <f t="shared" ref="I19:I26" si="2">IF($I$17="自定义",P19,M19)</f>
        <v>398.64</v>
      </c>
      <c r="J19" s="1395"/>
      <c r="K19" s="1394">
        <f t="shared" ref="K19:K26" si="3">ROUND(E$28*E19/E$27,2)</f>
        <v>398.64</v>
      </c>
      <c r="L19" s="1250">
        <f t="shared" ref="L19:L26" si="4">ROUND(IF(COUNTIF(C19,"*住宅*")&gt;0,E$29*E19/E$32,0),2)</f>
        <v>0</v>
      </c>
      <c r="M19" s="1406">
        <f>K19+L19</f>
        <v>398.64</v>
      </c>
      <c r="N19" s="2264"/>
      <c r="O19" s="2265"/>
      <c r="P19" s="1406">
        <f>N19+O19</f>
        <v>0</v>
      </c>
      <c r="R19" s="1250">
        <f t="shared" ref="R19:S26" si="5">D19+H19</f>
        <v>66147</v>
      </c>
      <c r="S19" s="1251">
        <f t="shared" si="5"/>
        <v>28894.02</v>
      </c>
    </row>
    <row r="20" spans="1:19">
      <c r="A20" s="2266"/>
      <c r="B20" s="50" t="s">
        <v>1959</v>
      </c>
      <c r="C20" s="294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1959</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1960</v>
      </c>
      <c r="D27" s="1396">
        <f>SUM(D19:D26)</f>
        <v>65234.39</v>
      </c>
      <c r="E27" s="1397">
        <f>IF(SUM(E19:E26)='数据-基础表'!BA5,SUM(E19:E26),IF(F27="地上面积有误","面积有误","地下面积有误"))</f>
        <v>28495.38</v>
      </c>
      <c r="F27" s="1396">
        <f>IF(SUM(F19:F26)=E8,SUM(F19:F26),"地上面积有误")</f>
        <v>28495.38</v>
      </c>
      <c r="G27" s="1398">
        <f>SUM(G19:G26)</f>
        <v>0</v>
      </c>
      <c r="H27" s="1399">
        <f>SUM(H19:H26)</f>
        <v>912.61</v>
      </c>
      <c r="I27" s="1400">
        <f>SUM(I19:I26)</f>
        <v>398.64</v>
      </c>
      <c r="J27" s="1395"/>
      <c r="K27" s="1403">
        <f>SUM(K19:K26)</f>
        <v>398.64</v>
      </c>
      <c r="L27" s="1404">
        <f>SUM(L19:L26)</f>
        <v>0</v>
      </c>
      <c r="M27" s="1407">
        <f>SUM(M19:M26)</f>
        <v>398.64</v>
      </c>
      <c r="N27" s="1403">
        <f t="shared" ref="N27:O27" si="10">SUM(N19:N26)</f>
        <v>0</v>
      </c>
      <c r="O27" s="1404">
        <f t="shared" si="10"/>
        <v>0</v>
      </c>
      <c r="P27" s="1405">
        <f>SUM(P19:P26)</f>
        <v>0</v>
      </c>
      <c r="R27" s="1252">
        <f>IF(SUM(R19:R26)=$D$3,SUM(R19:R26),SUM(R19:R26)&amp;"误差"&amp;ROUND(SUM(R19:R26)-$D$3,2))</f>
        <v>66147</v>
      </c>
      <c r="S27" s="1250">
        <f>IF(SUM(S19:S26)=$E$3,SUM(S19:S26),SUM(S19:S26)&amp;"误差"&amp;ROUND(SUM(S19:S26)-E3,2))</f>
        <v>28894.02</v>
      </c>
    </row>
    <row r="28" spans="1:19">
      <c r="A28" s="2266"/>
      <c r="B28" s="50" t="s">
        <v>1961</v>
      </c>
      <c r="C28" s="1262" t="s">
        <v>1962</v>
      </c>
      <c r="D28" s="48">
        <f>ROUND($D$3*E28/$E$3,2)</f>
        <v>912.61</v>
      </c>
      <c r="E28" s="56">
        <f>SUM(F28:G28)</f>
        <v>398.64</v>
      </c>
      <c r="F28" s="64">
        <f>'数据-基础表'!BQ5+'数据-基础表'!BS5</f>
        <v>179.31</v>
      </c>
      <c r="G28" s="65">
        <f>'数据-基础表'!BR5+'数据-基础表'!BT5</f>
        <v>219.32999999999998</v>
      </c>
      <c r="H28" s="1395"/>
      <c r="I28" s="1395"/>
      <c r="J28" s="1395"/>
      <c r="K28" s="1395"/>
      <c r="L28" s="1395"/>
      <c r="M28" s="1395"/>
      <c r="N28" s="1395"/>
      <c r="O28" s="1395"/>
      <c r="P28" s="1395"/>
    </row>
    <row r="29" spans="1:19">
      <c r="A29" s="2266"/>
      <c r="B29" s="50" t="s">
        <v>1961</v>
      </c>
      <c r="C29" s="2270"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1960</v>
      </c>
      <c r="D30" s="1396">
        <f>SUM(D28:D29)</f>
        <v>912.61</v>
      </c>
      <c r="E30" s="1396">
        <f>SUM(E28:E29)</f>
        <v>398.64</v>
      </c>
      <c r="F30" s="1396">
        <f>SUM(F28:F29)</f>
        <v>179.31</v>
      </c>
      <c r="G30" s="1398">
        <f>SUM(G28:G29)</f>
        <v>219.32999999999998</v>
      </c>
      <c r="H30" s="1395"/>
      <c r="I30" s="1395"/>
      <c r="J30" s="1395"/>
      <c r="K30" s="1395"/>
      <c r="L30" s="1395"/>
      <c r="M30" s="1395"/>
      <c r="N30" s="1395"/>
      <c r="O30" s="1395"/>
      <c r="P30" s="1395"/>
    </row>
    <row r="31" spans="1:19" ht="15.75" thickBot="1">
      <c r="A31" s="2272"/>
      <c r="B31" s="2273"/>
      <c r="C31" s="1010" t="s">
        <v>1964</v>
      </c>
      <c r="D31" s="729">
        <f>D27+D30</f>
        <v>66147</v>
      </c>
      <c r="E31" s="729">
        <f>E27+E30</f>
        <v>28894.02</v>
      </c>
      <c r="F31" s="730">
        <f>F27+F30</f>
        <v>28674.690000000002</v>
      </c>
      <c r="G31" s="731">
        <f>G27+G30</f>
        <v>219.32999999999998</v>
      </c>
      <c r="H31" s="1395"/>
      <c r="I31" s="1395"/>
      <c r="J31" s="1395"/>
      <c r="K31" s="1395"/>
      <c r="L31" s="1395"/>
      <c r="M31" s="1395"/>
      <c r="N31" s="1395"/>
      <c r="O31" s="1395"/>
      <c r="P31" s="1395"/>
    </row>
    <row r="32" spans="1:19">
      <c r="A32" s="2236"/>
      <c r="B32" s="2236" t="s">
        <v>1965</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1966</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1967</v>
      </c>
      <c r="B2" s="1269">
        <f>项目基本情况!D3</f>
        <v>43047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1968</v>
      </c>
      <c r="B4" s="2284"/>
      <c r="C4" s="2285"/>
      <c r="D4" s="2286"/>
      <c r="E4" s="2285" t="s">
        <v>1969</v>
      </c>
      <c r="F4" s="2285"/>
      <c r="G4" s="2285"/>
      <c r="H4" s="2285"/>
      <c r="I4" s="2285"/>
      <c r="J4" s="2287"/>
      <c r="K4" s="2288"/>
      <c r="L4" s="2289"/>
      <c r="M4" s="2285"/>
      <c r="N4" s="2285" t="s">
        <v>1970</v>
      </c>
      <c r="O4" s="2285"/>
      <c r="P4" s="2285"/>
      <c r="Q4" s="2285"/>
      <c r="R4" s="2285"/>
      <c r="S4" s="2287"/>
      <c r="T4" s="2290" t="str">
        <f>'数据-汇总表'!I17</f>
        <v>按面积比例</v>
      </c>
      <c r="U4" s="2284" t="s">
        <v>1971</v>
      </c>
      <c r="V4" s="2285"/>
      <c r="W4" s="2285"/>
      <c r="X4" s="2285"/>
      <c r="Y4" s="2287"/>
      <c r="Z4" s="2247" t="s">
        <v>1972</v>
      </c>
      <c r="AA4" s="2247"/>
      <c r="AB4" s="2247"/>
      <c r="AC4" s="2247"/>
      <c r="AD4" s="2247"/>
      <c r="AE4" s="2245" t="s">
        <v>1973</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1974</v>
      </c>
      <c r="B5" s="2293" t="s">
        <v>1975</v>
      </c>
      <c r="C5" s="2294" t="s">
        <v>1976</v>
      </c>
      <c r="D5" s="2295" t="s">
        <v>1977</v>
      </c>
      <c r="E5" s="1271" t="s">
        <v>1978</v>
      </c>
      <c r="F5" s="2296" t="s">
        <v>1979</v>
      </c>
      <c r="G5" s="1271" t="s">
        <v>1980</v>
      </c>
      <c r="H5" s="1271" t="s">
        <v>1981</v>
      </c>
      <c r="I5" s="1271" t="s">
        <v>1982</v>
      </c>
      <c r="J5" s="2297" t="s">
        <v>1983</v>
      </c>
      <c r="K5" s="2298" t="s">
        <v>1984</v>
      </c>
      <c r="L5" s="2299" t="s">
        <v>1985</v>
      </c>
      <c r="M5" s="2300" t="s">
        <v>1986</v>
      </c>
      <c r="N5" s="2301" t="s">
        <v>3061</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56933</v>
      </c>
      <c r="F6" s="72">
        <f>SUMIF(项目基本情况!D$12:I$12,C6,项目基本情况!D$15:I$15)</f>
        <v>38.04</v>
      </c>
      <c r="G6" s="73">
        <f>IF(ISERROR(ROUND(POWER(1+H6,D6-F6)*(POWER(1+H6,F6)-1)/(POWER(1+H6,D6)-1),3)),0,ROUND(POWER(1+H6,D6-F6)*(POWER(1+H6,F6)-1)/(POWER(1+H6,D6)-1),3))</f>
        <v>0.90200000000000002</v>
      </c>
      <c r="H6" s="802">
        <v>0.04</v>
      </c>
      <c r="I6" s="802">
        <v>0.05</v>
      </c>
      <c r="J6" s="74">
        <v>8.5000000000000006E-2</v>
      </c>
      <c r="K6" s="1254">
        <f>SUMIF('数据-汇总表'!C$19:C$33,A6,'数据-汇总表'!E$19:E$33)</f>
        <v>28495.38</v>
      </c>
      <c r="L6" s="2958">
        <f>M21</f>
        <v>2275.17</v>
      </c>
      <c r="M6" s="75">
        <f t="shared" ref="M6:M14" si="0">ROUND(K6*L6/10000,0)</f>
        <v>6483</v>
      </c>
      <c r="N6" s="801">
        <f>M26</f>
        <v>0.78749999999999998</v>
      </c>
      <c r="O6" s="75" t="str">
        <f>IF($N$5="成新度","——",ROUND(M6*N6,0))</f>
        <v>——</v>
      </c>
      <c r="P6" s="76" t="str">
        <f>IF($N$5="成新度","——",M6-O6)</f>
        <v>——</v>
      </c>
      <c r="Q6" s="804">
        <v>0.15</v>
      </c>
      <c r="R6" s="77">
        <f ca="1">SUMIF('数据-汇总表'!C$19:C$33,A6,'数据-汇总表'!R$19:R$27)</f>
        <v>66147</v>
      </c>
      <c r="S6" s="54">
        <f>IF('数据-汇总表'!$I$17="按面积比例",SUMIF('数据-汇总表'!C$19:C$33,A6,'数据-汇总表'!K$19:K$33),SUMIF('数据-汇总表'!C$19:C$33,A6,'数据-汇总表'!N$19:N$33))</f>
        <v>398.64</v>
      </c>
      <c r="T6" s="1446">
        <f>ROUND($L$14*S6/10000,0)</f>
        <v>0</v>
      </c>
      <c r="U6" s="78">
        <f>ROUND(912000*12/K16/365,2)</f>
        <v>1.04</v>
      </c>
      <c r="V6" s="79">
        <v>0</v>
      </c>
      <c r="W6" s="79">
        <v>0</v>
      </c>
      <c r="X6" s="1264"/>
      <c r="Y6" s="80">
        <f>N6</f>
        <v>0.78749999999999998</v>
      </c>
      <c r="Z6" s="81">
        <f>Z18</f>
        <v>1.9</v>
      </c>
      <c r="AA6" s="74">
        <v>1.4999999999999999E-2</v>
      </c>
      <c r="AB6" s="74">
        <v>0.05</v>
      </c>
      <c r="AC6" s="1264"/>
      <c r="AD6" s="2959">
        <f>AD22</f>
        <v>0.70940000000000003</v>
      </c>
      <c r="AE6" s="1265">
        <f t="shared" ref="AE6:AE13" ca="1" si="1">IF(AN6="",0,SUMIF(INDIRECT("'"&amp;AN6&amp;"'"&amp;"!E:E"),$AE$5,INDIRECT("'"&amp;AN6&amp;"'"&amp;"!F:F")))</f>
        <v>38.04</v>
      </c>
      <c r="AF6" s="1808">
        <v>3.56</v>
      </c>
      <c r="AG6" s="146">
        <f ca="1">IF(AF6="",0,AE6-AF6)</f>
        <v>34.479999999999997</v>
      </c>
      <c r="AH6" s="83"/>
      <c r="AI6" s="85">
        <v>365</v>
      </c>
      <c r="AJ6" s="86"/>
      <c r="AK6" s="87">
        <v>0.02</v>
      </c>
      <c r="AL6" s="88">
        <v>2E-3</v>
      </c>
      <c r="AM6" s="89">
        <v>0.02</v>
      </c>
      <c r="AN6" s="2312" t="s">
        <v>3112</v>
      </c>
      <c r="AO6" s="55">
        <f t="shared" ref="AO6:AO13" ca="1" si="2">SUMIF(INDIRECT("'"&amp;AN6&amp;"'"&amp;"!A:A"),"总价",INDIRECT("'"&amp;AN6&amp;"'"&amp;"!B:B"))</f>
        <v>26188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3">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4">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5">IF($N$5="成新度","——",ROUND(M7*N7,0))</f>
        <v>——</v>
      </c>
      <c r="P7" s="76" t="str">
        <f t="shared" ref="P7:P14" si="6">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7">ROUND($L$14*S7/10000,0)</f>
        <v>0</v>
      </c>
      <c r="U7" s="78"/>
      <c r="V7" s="79"/>
      <c r="W7" s="79"/>
      <c r="X7" s="1264"/>
      <c r="Y7" s="80"/>
      <c r="Z7" s="81"/>
      <c r="AA7" s="74"/>
      <c r="AB7" s="74"/>
      <c r="AC7" s="1264"/>
      <c r="AD7" s="82"/>
      <c r="AE7" s="1265">
        <f t="shared" ca="1" si="1"/>
        <v>0</v>
      </c>
      <c r="AF7" s="1808"/>
      <c r="AG7" s="146">
        <f>IF(AF7="",0,AE7-AF7)</f>
        <v>0</v>
      </c>
      <c r="AH7" s="83"/>
      <c r="AI7" s="85">
        <v>365</v>
      </c>
      <c r="AJ7" s="86"/>
      <c r="AK7" s="87"/>
      <c r="AL7" s="88"/>
      <c r="AM7" s="89"/>
      <c r="AN7" s="2312"/>
      <c r="AO7" s="55" t="e">
        <f t="shared" ca="1" si="2"/>
        <v>#REF!</v>
      </c>
      <c r="AP7" s="2313">
        <f t="shared" ref="AP7:AP13" si="8">IF(C7="住宅",K7*L7,0)</f>
        <v>0</v>
      </c>
      <c r="AQ7" s="55">
        <f t="shared" ref="AQ7:AQ13" si="9">ROUND($L$14*$N$14*S7/10000,0)</f>
        <v>0</v>
      </c>
      <c r="AR7" s="55">
        <f t="shared" ref="AR7:AR13" si="10">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3"/>
        <v/>
      </c>
      <c r="C8" s="2311"/>
      <c r="D8" s="1054">
        <f>SUMIF(项目基本情况!D$12:I$12,C8,项目基本情况!D$14:I$14)</f>
        <v>0</v>
      </c>
      <c r="E8" s="1051" t="str">
        <f>IF(B8="","",SUMIF(项目基本情况!D$12:I$12,C8,项目基本情况!D$13:I$13))</f>
        <v/>
      </c>
      <c r="F8" s="72">
        <f>SUMIF(项目基本情况!D$12:I$12,C8,项目基本情况!D$15:I$15)</f>
        <v>0</v>
      </c>
      <c r="G8" s="73">
        <f t="shared" si="4"/>
        <v>0</v>
      </c>
      <c r="H8" s="802"/>
      <c r="I8" s="802"/>
      <c r="J8" s="74"/>
      <c r="K8" s="1254">
        <f>SUMIF('数据-汇总表'!C$19:C$33,A8,'数据-汇总表'!E$19:E$33)</f>
        <v>0</v>
      </c>
      <c r="L8" s="803"/>
      <c r="M8" s="75">
        <f>ROUND(K8*L8/10000,0)</f>
        <v>0</v>
      </c>
      <c r="N8" s="801"/>
      <c r="O8" s="75" t="str">
        <f t="shared" si="5"/>
        <v>——</v>
      </c>
      <c r="P8" s="76" t="str">
        <f t="shared" si="6"/>
        <v>——</v>
      </c>
      <c r="Q8" s="804"/>
      <c r="R8" s="77">
        <f ca="1">SUMIF('数据-汇总表'!C$19:C$33,A8,'数据-汇总表'!R$19:R$27)</f>
        <v>0</v>
      </c>
      <c r="S8" s="54">
        <f>IF('数据-汇总表'!$I$17="按面积比例",SUMIF('数据-汇总表'!C$19:C$33,A8,'数据-汇总表'!K$19:K$33),SUMIF('数据-汇总表'!C$19:C$33,A8,'数据-汇总表'!N$19:N$33))</f>
        <v>0</v>
      </c>
      <c r="T8" s="1446">
        <f t="shared" si="7"/>
        <v>0</v>
      </c>
      <c r="U8" s="805"/>
      <c r="V8" s="806"/>
      <c r="W8" s="806"/>
      <c r="X8" s="1264"/>
      <c r="Y8" s="807"/>
      <c r="Z8" s="81"/>
      <c r="AA8" s="74"/>
      <c r="AB8" s="74"/>
      <c r="AC8" s="1264"/>
      <c r="AD8" s="82"/>
      <c r="AE8" s="1265">
        <f t="shared" ca="1" si="1"/>
        <v>0</v>
      </c>
      <c r="AF8" s="1808"/>
      <c r="AG8" s="146">
        <f t="shared" ref="AG8:AG13" si="11">IF(AF8="",0,AE8-AF8)</f>
        <v>0</v>
      </c>
      <c r="AH8" s="808"/>
      <c r="AI8" s="85"/>
      <c r="AJ8" s="86"/>
      <c r="AK8" s="809"/>
      <c r="AL8" s="810"/>
      <c r="AM8" s="811"/>
      <c r="AN8" s="2312"/>
      <c r="AO8" s="55" t="e">
        <f t="shared" ca="1" si="2"/>
        <v>#REF!</v>
      </c>
      <c r="AP8" s="2313">
        <f t="shared" si="8"/>
        <v>0</v>
      </c>
      <c r="AQ8" s="55">
        <f t="shared" si="9"/>
        <v>0</v>
      </c>
      <c r="AR8" s="55">
        <f t="shared" si="10"/>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3"/>
        <v/>
      </c>
      <c r="C9" s="2311"/>
      <c r="D9" s="1054">
        <f>SUMIF(项目基本情况!D$12:I$12,C9,项目基本情况!D$14:I$14)</f>
        <v>0</v>
      </c>
      <c r="E9" s="1051" t="str">
        <f>IF(B9="","",SUMIF(项目基本情况!D$12:I$12,C9,项目基本情况!D$13:I$13))</f>
        <v/>
      </c>
      <c r="F9" s="72">
        <f>SUMIF(项目基本情况!D$12:I$12,C9,项目基本情况!D$15:I$15)</f>
        <v>0</v>
      </c>
      <c r="G9" s="73">
        <f t="shared" si="4"/>
        <v>0</v>
      </c>
      <c r="H9" s="74"/>
      <c r="I9" s="74"/>
      <c r="J9" s="74"/>
      <c r="K9" s="1254">
        <f>SUMIF('数据-汇总表'!C$19:C$33,A9,'数据-汇总表'!E$19:E$33)</f>
        <v>0</v>
      </c>
      <c r="L9" s="803"/>
      <c r="M9" s="75">
        <f t="shared" si="0"/>
        <v>0</v>
      </c>
      <c r="N9" s="801"/>
      <c r="O9" s="75" t="str">
        <f t="shared" si="5"/>
        <v>——</v>
      </c>
      <c r="P9" s="76" t="str">
        <f t="shared" si="6"/>
        <v>——</v>
      </c>
      <c r="Q9" s="90"/>
      <c r="R9" s="77">
        <f ca="1">SUMIF('数据-汇总表'!C$19:C$33,A9,'数据-汇总表'!R$19:R$27)</f>
        <v>0</v>
      </c>
      <c r="S9" s="54">
        <f>IF('数据-汇总表'!$I$17="按面积比例",SUMIF('数据-汇总表'!C$19:C$33,A9,'数据-汇总表'!K$19:K$33),SUMIF('数据-汇总表'!C$19:C$33,A9,'数据-汇总表'!N$19:N$33))</f>
        <v>0</v>
      </c>
      <c r="T9" s="1446">
        <f t="shared" si="7"/>
        <v>0</v>
      </c>
      <c r="U9" s="78"/>
      <c r="V9" s="79"/>
      <c r="W9" s="79"/>
      <c r="X9" s="1264"/>
      <c r="Y9" s="80"/>
      <c r="Z9" s="81"/>
      <c r="AA9" s="74"/>
      <c r="AB9" s="74"/>
      <c r="AC9" s="1264"/>
      <c r="AD9" s="82"/>
      <c r="AE9" s="1265">
        <f t="shared" ca="1" si="1"/>
        <v>0</v>
      </c>
      <c r="AF9" s="1808"/>
      <c r="AG9" s="146">
        <f t="shared" si="11"/>
        <v>0</v>
      </c>
      <c r="AH9" s="83"/>
      <c r="AI9" s="85"/>
      <c r="AJ9" s="86"/>
      <c r="AK9" s="87"/>
      <c r="AL9" s="88"/>
      <c r="AM9" s="89"/>
      <c r="AN9" s="2312"/>
      <c r="AO9" s="55" t="e">
        <f t="shared" ca="1" si="2"/>
        <v>#REF!</v>
      </c>
      <c r="AP9" s="2313">
        <f t="shared" si="8"/>
        <v>0</v>
      </c>
      <c r="AQ9" s="55">
        <f t="shared" si="9"/>
        <v>0</v>
      </c>
      <c r="AR9" s="55">
        <f t="shared" si="10"/>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3"/>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4"/>
        <v>0</v>
      </c>
      <c r="H10" s="74"/>
      <c r="I10" s="74"/>
      <c r="J10" s="74"/>
      <c r="K10" s="1254">
        <f>SUMIF('数据-汇总表'!C$19:C$33,A10,'数据-汇总表'!E$19:E$33)</f>
        <v>0</v>
      </c>
      <c r="L10" s="803"/>
      <c r="M10" s="75">
        <f t="shared" si="0"/>
        <v>0</v>
      </c>
      <c r="N10" s="801"/>
      <c r="O10" s="75" t="str">
        <f t="shared" si="5"/>
        <v>——</v>
      </c>
      <c r="P10" s="76" t="str">
        <f t="shared" si="6"/>
        <v>——</v>
      </c>
      <c r="Q10" s="90"/>
      <c r="R10" s="77">
        <f ca="1">SUMIF('数据-汇总表'!C$19:C$33,A10,'数据-汇总表'!R$19:R$27)</f>
        <v>0</v>
      </c>
      <c r="S10" s="54">
        <f>IF('数据-汇总表'!$I$17="按面积比例",SUMIF('数据-汇总表'!C$19:C$33,A10,'数据-汇总表'!K$19:K$33),SUMIF('数据-汇总表'!C$19:C$33,A10,'数据-汇总表'!N$19:N$33))</f>
        <v>0</v>
      </c>
      <c r="T10" s="1446">
        <f t="shared" si="7"/>
        <v>0</v>
      </c>
      <c r="U10" s="78"/>
      <c r="V10" s="79"/>
      <c r="W10" s="79"/>
      <c r="X10" s="1264"/>
      <c r="Y10" s="80"/>
      <c r="Z10" s="81"/>
      <c r="AA10" s="74"/>
      <c r="AB10" s="74"/>
      <c r="AC10" s="1264"/>
      <c r="AD10" s="82"/>
      <c r="AE10" s="1265">
        <f t="shared" ca="1" si="1"/>
        <v>0</v>
      </c>
      <c r="AF10" s="1808"/>
      <c r="AG10" s="146">
        <f t="shared" si="11"/>
        <v>0</v>
      </c>
      <c r="AH10" s="83"/>
      <c r="AI10" s="85"/>
      <c r="AJ10" s="86"/>
      <c r="AK10" s="87"/>
      <c r="AL10" s="88"/>
      <c r="AM10" s="89"/>
      <c r="AN10" s="2312"/>
      <c r="AO10" s="55" t="e">
        <f t="shared" ca="1" si="2"/>
        <v>#REF!</v>
      </c>
      <c r="AP10" s="2313">
        <f t="shared" si="8"/>
        <v>0</v>
      </c>
      <c r="AQ10" s="55">
        <f t="shared" si="9"/>
        <v>0</v>
      </c>
      <c r="AR10" s="55">
        <f t="shared" si="10"/>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3"/>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4"/>
        <v>0</v>
      </c>
      <c r="H11" s="74"/>
      <c r="I11" s="74"/>
      <c r="J11" s="74"/>
      <c r="K11" s="1254">
        <f>SUMIF('数据-汇总表'!C$19:C$33,A11,'数据-汇总表'!E$19:E$33)</f>
        <v>0</v>
      </c>
      <c r="L11" s="91"/>
      <c r="M11" s="75">
        <f t="shared" si="0"/>
        <v>0</v>
      </c>
      <c r="N11" s="92"/>
      <c r="O11" s="75" t="str">
        <f t="shared" si="5"/>
        <v>——</v>
      </c>
      <c r="P11" s="76" t="str">
        <f t="shared" si="6"/>
        <v>——</v>
      </c>
      <c r="Q11" s="90"/>
      <c r="R11" s="77">
        <f ca="1">SUMIF('数据-汇总表'!C$19:C$33,A11,'数据-汇总表'!R$19:R$27)</f>
        <v>0</v>
      </c>
      <c r="S11" s="54">
        <f>IF('数据-汇总表'!$I$17="按面积比例",SUMIF('数据-汇总表'!C$19:C$33,A11,'数据-汇总表'!K$19:K$33),SUMIF('数据-汇总表'!C$19:C$33,A11,'数据-汇总表'!N$19:N$33))</f>
        <v>0</v>
      </c>
      <c r="T11" s="1446">
        <f t="shared" si="7"/>
        <v>0</v>
      </c>
      <c r="U11" s="83"/>
      <c r="V11" s="74"/>
      <c r="W11" s="74"/>
      <c r="X11" s="1264"/>
      <c r="Y11" s="80"/>
      <c r="Z11" s="93"/>
      <c r="AA11" s="74"/>
      <c r="AB11" s="74"/>
      <c r="AC11" s="1264"/>
      <c r="AD11" s="82"/>
      <c r="AE11" s="1265">
        <f t="shared" ca="1" si="1"/>
        <v>0</v>
      </c>
      <c r="AF11" s="1808"/>
      <c r="AG11" s="146">
        <f t="shared" si="11"/>
        <v>0</v>
      </c>
      <c r="AH11" s="83"/>
      <c r="AI11" s="85"/>
      <c r="AJ11" s="86"/>
      <c r="AK11" s="94"/>
      <c r="AL11" s="95"/>
      <c r="AM11" s="96"/>
      <c r="AN11" s="2312"/>
      <c r="AO11" s="55" t="e">
        <f t="shared" ca="1" si="2"/>
        <v>#REF!</v>
      </c>
      <c r="AP11" s="2313">
        <f t="shared" si="8"/>
        <v>0</v>
      </c>
      <c r="AQ11" s="55">
        <f t="shared" si="9"/>
        <v>0</v>
      </c>
      <c r="AR11" s="55">
        <f t="shared" si="10"/>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3"/>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5"/>
        <v>——</v>
      </c>
      <c r="P12" s="76" t="str">
        <f t="shared" si="6"/>
        <v>——</v>
      </c>
      <c r="Q12" s="90"/>
      <c r="R12" s="77">
        <f ca="1">SUMIF('数据-汇总表'!C$19:C$33,A12,'数据-汇总表'!R$19:R$27)</f>
        <v>0</v>
      </c>
      <c r="S12" s="54">
        <f>IF('数据-汇总表'!$I$17="按面积比例",SUMIF('数据-汇总表'!C$19:C$33,A12,'数据-汇总表'!K$19:K$33),SUMIF('数据-汇总表'!C$19:C$33,A12,'数据-汇总表'!N$19:N$33))</f>
        <v>0</v>
      </c>
      <c r="T12" s="1446">
        <f t="shared" si="7"/>
        <v>0</v>
      </c>
      <c r="U12" s="83"/>
      <c r="V12" s="74"/>
      <c r="W12" s="74"/>
      <c r="X12" s="1264"/>
      <c r="Y12" s="80"/>
      <c r="Z12" s="93"/>
      <c r="AA12" s="74"/>
      <c r="AB12" s="74"/>
      <c r="AC12" s="1264"/>
      <c r="AD12" s="82"/>
      <c r="AE12" s="1265">
        <f t="shared" ca="1" si="1"/>
        <v>0</v>
      </c>
      <c r="AF12" s="1808"/>
      <c r="AG12" s="146">
        <f t="shared" si="11"/>
        <v>0</v>
      </c>
      <c r="AH12" s="83"/>
      <c r="AI12" s="85"/>
      <c r="AJ12" s="86"/>
      <c r="AK12" s="94"/>
      <c r="AL12" s="95"/>
      <c r="AM12" s="96"/>
      <c r="AN12" s="2312"/>
      <c r="AO12" s="55" t="e">
        <f t="shared" ca="1" si="2"/>
        <v>#REF!</v>
      </c>
      <c r="AP12" s="2313">
        <f t="shared" si="8"/>
        <v>0</v>
      </c>
      <c r="AQ12" s="55">
        <f t="shared" si="9"/>
        <v>0</v>
      </c>
      <c r="AR12" s="55">
        <f t="shared" si="10"/>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3"/>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5"/>
        <v>——</v>
      </c>
      <c r="P13" s="76" t="str">
        <f t="shared" si="6"/>
        <v>——</v>
      </c>
      <c r="Q13" s="90"/>
      <c r="R13" s="77">
        <f ca="1">SUMIF('数据-汇总表'!C$19:C$33,A13,'数据-汇总表'!R$19:R$27)</f>
        <v>0</v>
      </c>
      <c r="S13" s="54">
        <f>IF('数据-汇总表'!$I$17="按面积比例",SUMIF('数据-汇总表'!C$19:C$33,A13,'数据-汇总表'!K$19:K$33),SUMIF('数据-汇总表'!C$19:C$33,A13,'数据-汇总表'!N$19:N$33))</f>
        <v>0</v>
      </c>
      <c r="T13" s="1446">
        <f t="shared" si="7"/>
        <v>0</v>
      </c>
      <c r="U13" s="78"/>
      <c r="V13" s="79"/>
      <c r="W13" s="79"/>
      <c r="X13" s="1264"/>
      <c r="Y13" s="80"/>
      <c r="Z13" s="81"/>
      <c r="AA13" s="74"/>
      <c r="AB13" s="74"/>
      <c r="AC13" s="1264"/>
      <c r="AD13" s="82"/>
      <c r="AE13" s="1265">
        <f t="shared" ca="1" si="1"/>
        <v>0</v>
      </c>
      <c r="AF13" s="1808"/>
      <c r="AG13" s="146">
        <f t="shared" si="11"/>
        <v>0</v>
      </c>
      <c r="AH13" s="83"/>
      <c r="AI13" s="85"/>
      <c r="AJ13" s="86"/>
      <c r="AK13" s="87"/>
      <c r="AL13" s="88"/>
      <c r="AM13" s="89"/>
      <c r="AN13" s="2312"/>
      <c r="AO13" s="55" t="e">
        <f t="shared" ca="1" si="2"/>
        <v>#REF!</v>
      </c>
      <c r="AP13" s="2313">
        <f t="shared" si="8"/>
        <v>0</v>
      </c>
      <c r="AQ13" s="55">
        <f t="shared" si="9"/>
        <v>0</v>
      </c>
      <c r="AR13" s="55">
        <f t="shared" si="10"/>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2011</v>
      </c>
      <c r="B14" s="2310" t="s">
        <v>2012</v>
      </c>
      <c r="C14" s="2315" t="s">
        <v>2011</v>
      </c>
      <c r="D14" s="1054"/>
      <c r="E14" s="1051"/>
      <c r="F14" s="72"/>
      <c r="G14" s="73"/>
      <c r="H14" s="1253"/>
      <c r="I14" s="1253"/>
      <c r="J14" s="1253"/>
      <c r="K14" s="1254">
        <f>SUMIF('数据-汇总表'!C$19:C$33,A14,'数据-汇总表'!E$19:E$33)</f>
        <v>398.64</v>
      </c>
      <c r="L14" s="91"/>
      <c r="M14" s="75">
        <f t="shared" si="0"/>
        <v>0</v>
      </c>
      <c r="N14" s="92"/>
      <c r="O14" s="75" t="str">
        <f t="shared" si="5"/>
        <v>——</v>
      </c>
      <c r="P14" s="76" t="str">
        <f t="shared" si="6"/>
        <v>——</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2015</v>
      </c>
      <c r="B16" s="97"/>
      <c r="C16" s="1008"/>
      <c r="D16" s="2317"/>
      <c r="E16" s="97"/>
      <c r="F16" s="97"/>
      <c r="G16" s="98">
        <f>ROUND(SUMPRODUCT(G6:G13,K6:K13)/SUMPRODUCT((G6:G13&gt;0)*(K6:K13)),3)</f>
        <v>0.90200000000000002</v>
      </c>
      <c r="H16" s="99">
        <f>ROUND(SUMPRODUCT(H6:H13,K6:K13)/SUMPRODUCT((H6:H13&gt;0)*(K6:K13)),3)</f>
        <v>0.04</v>
      </c>
      <c r="I16" s="100"/>
      <c r="J16" s="100"/>
      <c r="K16" s="101">
        <f>SUM(K6:K15)</f>
        <v>28894.02</v>
      </c>
      <c r="L16" s="102">
        <f>ROUND(M16*10000/SUM(K6:K14),0)</f>
        <v>2244</v>
      </c>
      <c r="M16" s="102">
        <f>SUM(M6:M14)</f>
        <v>6483</v>
      </c>
      <c r="N16" s="103">
        <f>ROUND(SUMPRODUCT(M6:M14,N6:N14)/M16,3)</f>
        <v>0.78800000000000003</v>
      </c>
      <c r="O16" s="102">
        <f>SUM(O6:O14)</f>
        <v>0</v>
      </c>
      <c r="P16" s="102">
        <f>SUM(P6:P14)</f>
        <v>0</v>
      </c>
      <c r="Q16" s="104">
        <f>ROUND(SUMPRODUCT(Q6:Q13,K6:K13)/SUMPRODUCT((Q6:Q13&gt;0)*(K6:K13)),2)</f>
        <v>0.15</v>
      </c>
      <c r="R16" s="1258">
        <f ca="1">SUM(R6:R13)</f>
        <v>66147</v>
      </c>
      <c r="S16" s="105">
        <f>SUM(S6:S13)</f>
        <v>398.64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3"/>
      <c r="C18" s="2280"/>
      <c r="D18" s="2281"/>
      <c r="E18" s="2280"/>
      <c r="F18" s="2280"/>
      <c r="G18" s="2280"/>
      <c r="H18" s="2280"/>
      <c r="I18" s="2280"/>
      <c r="J18" s="2280"/>
      <c r="K18" s="2954" t="s">
        <v>3109</v>
      </c>
      <c r="L18" s="168"/>
      <c r="M18" s="1585"/>
      <c r="N18" s="1585"/>
      <c r="O18" s="1585"/>
      <c r="P18" s="1585"/>
      <c r="Q18" s="1585"/>
      <c r="R18" s="1585"/>
      <c r="S18" s="1585"/>
      <c r="T18" s="1585"/>
      <c r="U18" s="1585"/>
      <c r="V18" s="1585"/>
      <c r="W18" s="1585"/>
      <c r="X18" s="1585"/>
      <c r="Y18" s="1585"/>
      <c r="Z18" s="1585">
        <f>ROUND('比较法-工业'!C43*(1+'数据-取费表'!AA6)^'数据-取费表'!AF6,2)</f>
        <v>1.9</v>
      </c>
      <c r="AA18" s="1585"/>
      <c r="AB18" s="1585"/>
      <c r="AC18" s="1585"/>
      <c r="AD18" s="1585"/>
      <c r="AE18" s="1585"/>
      <c r="AF18" s="1585"/>
      <c r="AG18" s="1585"/>
      <c r="AH18" s="1585"/>
      <c r="AI18" s="1585"/>
      <c r="AJ18" s="1585"/>
      <c r="AK18" s="1585"/>
      <c r="AL18" s="1585"/>
      <c r="AM18" s="1585"/>
    </row>
    <row r="19" spans="1:67" ht="14.25">
      <c r="A19" s="2319" t="s">
        <v>2017</v>
      </c>
      <c r="B19" s="112">
        <v>0</v>
      </c>
      <c r="C19" s="2280" t="s">
        <v>2018</v>
      </c>
      <c r="D19" s="2281"/>
      <c r="E19" s="2280"/>
      <c r="F19" s="2280"/>
      <c r="G19" s="2280"/>
      <c r="H19" s="2280"/>
      <c r="I19" s="2280"/>
      <c r="J19" s="2963" t="s">
        <v>3114</v>
      </c>
      <c r="K19" s="168">
        <v>23140.06</v>
      </c>
      <c r="L19" s="168">
        <v>2200</v>
      </c>
      <c r="M19" s="1585"/>
      <c r="N19" s="1585"/>
      <c r="O19" s="1585"/>
      <c r="P19" s="1585"/>
      <c r="Q19" s="1585"/>
      <c r="R19" s="1585"/>
      <c r="S19" s="1585"/>
      <c r="T19" s="1585"/>
      <c r="U19" s="1585"/>
      <c r="V19" s="1585"/>
      <c r="W19" s="1585"/>
      <c r="X19" s="1585"/>
      <c r="Y19" s="1585"/>
      <c r="Z19" s="1585"/>
      <c r="AA19" s="1585"/>
      <c r="AB19" s="1585"/>
      <c r="AC19" s="2956" t="s">
        <v>3111</v>
      </c>
      <c r="AD19" s="1585"/>
      <c r="AE19" s="1585"/>
      <c r="AF19" s="1585"/>
      <c r="AG19" s="1585"/>
      <c r="AH19" s="1585"/>
      <c r="AI19" s="1585"/>
      <c r="AJ19" s="1585"/>
      <c r="AK19" s="1585"/>
      <c r="AL19" s="1585"/>
      <c r="AM19" s="1585"/>
    </row>
    <row r="20" spans="1:67" ht="14.25">
      <c r="A20" s="2320" t="s">
        <v>2019</v>
      </c>
      <c r="B20" s="113">
        <v>1.5</v>
      </c>
      <c r="C20" s="2280" t="s">
        <v>2020</v>
      </c>
      <c r="D20" s="2281"/>
      <c r="E20" s="2280"/>
      <c r="F20" s="2280"/>
      <c r="G20" s="2280"/>
      <c r="H20" s="2280"/>
      <c r="I20" s="2280"/>
      <c r="J20" s="2280"/>
      <c r="K20" s="168">
        <v>5355.32</v>
      </c>
      <c r="L20" s="168">
        <v>2600</v>
      </c>
      <c r="M20" s="1585"/>
      <c r="N20" s="1585"/>
      <c r="O20" s="1585"/>
      <c r="P20" s="1585"/>
      <c r="Q20" s="1585"/>
      <c r="R20" s="1585"/>
      <c r="S20" s="1585"/>
      <c r="T20" s="1585"/>
      <c r="U20" s="1585"/>
      <c r="V20" s="1585"/>
      <c r="W20" s="1585"/>
      <c r="X20" s="1585"/>
      <c r="Y20" s="1585"/>
      <c r="Z20" s="1585"/>
      <c r="AA20" s="1585"/>
      <c r="AB20" s="1585"/>
      <c r="AC20" s="168">
        <v>23140.06</v>
      </c>
      <c r="AD20" s="2955">
        <v>0.7</v>
      </c>
      <c r="AE20" s="1585"/>
      <c r="AF20" s="1585"/>
      <c r="AG20" s="1585"/>
      <c r="AH20" s="1585"/>
      <c r="AI20" s="1585"/>
      <c r="AJ20" s="1585"/>
      <c r="AK20" s="1585"/>
      <c r="AL20" s="1585"/>
      <c r="AM20" s="1585"/>
    </row>
    <row r="21" spans="1:67" ht="14.25">
      <c r="A21" s="2321" t="s">
        <v>2021</v>
      </c>
      <c r="B21" s="113">
        <v>1.5</v>
      </c>
      <c r="C21" s="2280"/>
      <c r="D21" s="2281"/>
      <c r="E21" s="2280"/>
      <c r="F21" s="2280"/>
      <c r="G21" s="2280"/>
      <c r="H21" s="2280"/>
      <c r="I21" s="2280"/>
      <c r="J21" s="2280"/>
      <c r="K21" s="168">
        <f>K19+K20</f>
        <v>28495.38</v>
      </c>
      <c r="L21" s="168">
        <f>K19*L19+K20*L20</f>
        <v>64831964</v>
      </c>
      <c r="M21" s="2953">
        <f>ROUND(L21/K21,2)</f>
        <v>2275.17</v>
      </c>
      <c r="N21" s="1585"/>
      <c r="O21" s="1585"/>
      <c r="P21" s="1585"/>
      <c r="Q21" s="1585"/>
      <c r="R21" s="1585"/>
      <c r="S21" s="1585"/>
      <c r="T21" s="1585"/>
      <c r="U21" s="1585"/>
      <c r="V21" s="1585"/>
      <c r="W21" s="1585"/>
      <c r="X21" s="1585"/>
      <c r="Y21" s="1585"/>
      <c r="Z21" s="1585"/>
      <c r="AA21" s="1585"/>
      <c r="AB21" s="1585"/>
      <c r="AC21" s="168">
        <v>5355.32</v>
      </c>
      <c r="AD21" s="2955">
        <v>0.75</v>
      </c>
      <c r="AE21" s="1585"/>
      <c r="AF21" s="1585"/>
      <c r="AG21" s="1585"/>
      <c r="AH21" s="1585"/>
      <c r="AI21" s="1585"/>
      <c r="AJ21" s="1585"/>
      <c r="AK21" s="1585"/>
      <c r="AL21" s="1585"/>
      <c r="AM21" s="1585"/>
    </row>
    <row r="22" spans="1:67" ht="14.25">
      <c r="A22" s="2320" t="s">
        <v>2022</v>
      </c>
      <c r="B22" s="114">
        <f>B19+B20</f>
        <v>1.5</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68">
        <f>AC20+AC21</f>
        <v>28495.38</v>
      </c>
      <c r="AD22" s="2955">
        <f>ROUND((AC20*AD20+AC21*AD21)/AC22,4)</f>
        <v>0.70940000000000003</v>
      </c>
      <c r="AE22" s="1585"/>
      <c r="AF22" s="1585"/>
      <c r="AG22" s="1585"/>
      <c r="AH22" s="1585"/>
      <c r="AI22" s="1585"/>
      <c r="AJ22" s="1585"/>
      <c r="AK22" s="1585"/>
      <c r="AL22" s="1585"/>
      <c r="AM22" s="1585"/>
    </row>
    <row r="23" spans="1:67" ht="14.25">
      <c r="A23" s="2321" t="s">
        <v>2023</v>
      </c>
      <c r="B23" s="114">
        <f>B19+B21</f>
        <v>1.5</v>
      </c>
      <c r="C23" s="2280"/>
      <c r="D23" s="2281"/>
      <c r="E23" s="2280"/>
      <c r="F23" s="2280"/>
      <c r="G23" s="2280"/>
      <c r="H23" s="2280"/>
      <c r="I23" s="2280"/>
      <c r="J23" s="2280"/>
      <c r="K23" s="2954" t="s">
        <v>3110</v>
      </c>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2024</v>
      </c>
      <c r="B24" s="115">
        <f>B20-B21</f>
        <v>0</v>
      </c>
      <c r="C24" s="2280"/>
      <c r="D24" s="2281"/>
      <c r="E24" s="2280"/>
      <c r="F24" s="2280"/>
      <c r="G24" s="2280"/>
      <c r="H24" s="2280"/>
      <c r="I24" s="2280"/>
      <c r="J24" s="2280"/>
      <c r="K24" s="168">
        <v>23140.06</v>
      </c>
      <c r="L24" s="2485">
        <v>0.78</v>
      </c>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v>5355.32</v>
      </c>
      <c r="L25" s="2485">
        <v>0.82</v>
      </c>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2025</v>
      </c>
      <c r="B26" s="2323" t="s">
        <v>2026</v>
      </c>
      <c r="C26" s="2324" t="s">
        <v>2027</v>
      </c>
      <c r="D26" s="2281"/>
      <c r="E26" s="2280"/>
      <c r="F26" s="2280"/>
      <c r="G26" s="2280"/>
      <c r="H26" s="2280"/>
      <c r="I26" s="2280"/>
      <c r="J26" s="2280"/>
      <c r="K26" s="168"/>
      <c r="L26" s="168">
        <f>K24*L24+K25*L25</f>
        <v>22440.609199999999</v>
      </c>
      <c r="M26" s="2960">
        <f>ROUND(L26/K21,4)</f>
        <v>0.78749999999999998</v>
      </c>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2028</v>
      </c>
      <c r="B27" s="968"/>
      <c r="C27" s="1768" t="s">
        <v>2029</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968"/>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0">
        <f ca="1">成本法!C10</f>
        <v>549</v>
      </c>
      <c r="C29" s="1768" t="s">
        <v>2032</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19">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0.03</v>
      </c>
      <c r="C33" s="1767" t="s">
        <v>2037</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1">
        <v>0</v>
      </c>
      <c r="C34" s="1767" t="s">
        <v>2039</v>
      </c>
      <c r="D34" s="2281" t="s">
        <v>2040</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8">
        <v>200</v>
      </c>
      <c r="C35" s="1767" t="s">
        <v>2042</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2">
        <v>1.4999999999999999E-2</v>
      </c>
      <c r="C36" s="1767" t="s">
        <v>2044</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2045</v>
      </c>
      <c r="B37" s="123">
        <v>0.02</v>
      </c>
      <c r="C37" s="1767" t="s">
        <v>2046</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2047</v>
      </c>
      <c r="B38" s="121">
        <v>0.02</v>
      </c>
      <c r="C38" s="1767" t="s">
        <v>2046</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2048</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2049</v>
      </c>
      <c r="B40" s="1303">
        <f ca="1">存贷款利率!G1</f>
        <v>4.7500000000000001E-2</v>
      </c>
      <c r="C40" s="1767" t="s">
        <v>2050</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2051</v>
      </c>
      <c r="B41" s="124">
        <f>B42+B43</f>
        <v>5.5000000000000007E-2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2052</v>
      </c>
      <c r="B42" s="125">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2053</v>
      </c>
      <c r="B43" s="126">
        <f>B42*(B44+B45+B46)+B47</f>
        <v>5.000000000000001E-3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2054</v>
      </c>
      <c r="B44" s="127">
        <v>0.05</v>
      </c>
      <c r="C44" s="1767" t="s">
        <v>2055</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2056</v>
      </c>
      <c r="B45" s="125">
        <v>0.03</v>
      </c>
      <c r="C45" s="1768" t="s">
        <v>2057</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2058</v>
      </c>
      <c r="B46" s="125">
        <v>0.02</v>
      </c>
      <c r="C46" s="1768" t="s">
        <v>2059</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2060</v>
      </c>
      <c r="B47" s="128"/>
      <c r="C47" s="1768" t="s">
        <v>2061</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2062</v>
      </c>
      <c r="B48" s="129">
        <v>0.03</v>
      </c>
      <c r="C48" s="1775" t="s">
        <v>2063</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2064</v>
      </c>
      <c r="B49" s="125">
        <v>5.0000000000000001E-4</v>
      </c>
      <c r="C49" s="1775" t="s">
        <v>2065</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2066</v>
      </c>
      <c r="B50" s="130">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2067</v>
      </c>
      <c r="B51" s="131">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2068</v>
      </c>
      <c r="B52" s="132">
        <f>SUMIF(A54:A63,B53,B54:B63)</f>
        <v>1.5</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2069</v>
      </c>
      <c r="B53" s="2339" t="s">
        <v>56</v>
      </c>
      <c r="C53" s="1430" t="s">
        <v>2070</v>
      </c>
      <c r="D53" s="2340" t="s">
        <v>2071</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2072</v>
      </c>
      <c r="B54" s="84"/>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2073</v>
      </c>
      <c r="B55" s="84"/>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2074</v>
      </c>
      <c r="B56" s="84"/>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2075</v>
      </c>
      <c r="B57" s="84"/>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2076</v>
      </c>
      <c r="B58" s="84"/>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2077</v>
      </c>
      <c r="B59" s="84">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2078</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2079</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2080</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2081</v>
      </c>
      <c r="B63" s="133"/>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55" t="s">
        <v>2082</v>
      </c>
      <c r="B1" s="3056"/>
      <c r="C1" s="3056"/>
      <c r="D1" s="3056"/>
      <c r="E1" s="3056"/>
      <c r="F1" s="3056"/>
      <c r="G1" s="305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942" t="s">
        <v>3065</v>
      </c>
      <c r="H3" s="2371"/>
      <c r="I3" s="2371"/>
      <c r="J3" s="2371"/>
      <c r="K3" s="2371"/>
      <c r="L3" s="2371"/>
      <c r="M3" s="2371"/>
      <c r="N3" s="2371"/>
      <c r="O3" s="2371"/>
      <c r="P3" s="2371"/>
      <c r="Q3" s="2371"/>
      <c r="R3" s="2371"/>
    </row>
    <row r="4" spans="1:29" ht="67.5">
      <c r="A4" s="431"/>
      <c r="B4" s="1799" t="s">
        <v>2089</v>
      </c>
      <c r="C4" s="2376" t="s">
        <v>2090</v>
      </c>
      <c r="D4" s="2374"/>
      <c r="E4" s="2377"/>
      <c r="F4" s="42" t="s">
        <v>2091</v>
      </c>
      <c r="G4" s="2943" t="s">
        <v>3066</v>
      </c>
      <c r="H4" s="2371"/>
      <c r="I4" s="2371"/>
      <c r="J4" s="2371"/>
      <c r="K4" s="2371"/>
      <c r="L4" s="2371"/>
      <c r="M4" s="2371"/>
      <c r="N4" s="2371"/>
      <c r="O4" s="2371"/>
      <c r="P4" s="2371"/>
      <c r="Q4" s="2371"/>
      <c r="R4" s="2371"/>
    </row>
    <row r="5" spans="1:29" ht="94.5">
      <c r="A5" s="431"/>
      <c r="B5" s="1799" t="s">
        <v>2093</v>
      </c>
      <c r="C5" s="2376" t="s">
        <v>2094</v>
      </c>
      <c r="D5" s="2374"/>
      <c r="E5" s="2377"/>
      <c r="F5" s="1799" t="s">
        <v>2095</v>
      </c>
      <c r="G5" s="2943" t="s">
        <v>3067</v>
      </c>
      <c r="H5" s="2371"/>
      <c r="I5" s="2371"/>
      <c r="J5" s="2371"/>
      <c r="K5" s="2371"/>
      <c r="L5" s="2371"/>
      <c r="M5" s="2371"/>
      <c r="N5" s="2371"/>
      <c r="O5" s="2371"/>
      <c r="P5" s="2371"/>
      <c r="Q5" s="2371"/>
      <c r="R5" s="2371"/>
    </row>
    <row r="6" spans="1:29" ht="54">
      <c r="A6" s="431"/>
      <c r="B6" s="1799" t="s">
        <v>2097</v>
      </c>
      <c r="C6" s="2378" t="s">
        <v>2092</v>
      </c>
      <c r="D6" s="2374"/>
      <c r="E6" s="2377"/>
      <c r="F6" s="1799" t="s">
        <v>2098</v>
      </c>
      <c r="G6" s="2943" t="s">
        <v>3073</v>
      </c>
      <c r="H6" s="2371"/>
      <c r="I6" s="2371"/>
      <c r="J6" s="2371"/>
      <c r="K6" s="2371"/>
      <c r="L6" s="2371"/>
      <c r="M6" s="2371"/>
      <c r="N6" s="2371"/>
      <c r="O6" s="2371"/>
      <c r="P6" s="2371"/>
      <c r="Q6" s="2371"/>
      <c r="R6" s="2371"/>
    </row>
    <row r="7" spans="1:29" ht="41.25" thickBot="1">
      <c r="A7" s="431"/>
      <c r="B7" s="1799" t="s">
        <v>2095</v>
      </c>
      <c r="C7" s="2378" t="s">
        <v>2096</v>
      </c>
      <c r="D7" s="2379"/>
      <c r="E7" s="2380"/>
      <c r="F7" s="2381" t="s">
        <v>2100</v>
      </c>
      <c r="G7" s="2944" t="s">
        <v>3068</v>
      </c>
      <c r="H7" s="2371"/>
      <c r="I7" s="2371"/>
      <c r="J7" s="2371"/>
      <c r="K7" s="2371"/>
      <c r="L7" s="2371"/>
      <c r="M7" s="2371"/>
      <c r="N7" s="2371"/>
      <c r="O7" s="2371"/>
      <c r="P7" s="2371"/>
      <c r="Q7" s="2371"/>
      <c r="R7" s="2371"/>
    </row>
    <row r="8" spans="1:29" ht="27">
      <c r="A8" s="431"/>
      <c r="B8" s="1799" t="s">
        <v>2098</v>
      </c>
      <c r="C8" s="2378" t="s">
        <v>2099</v>
      </c>
      <c r="D8" s="2379"/>
      <c r="E8" s="2379"/>
      <c r="F8" s="1136"/>
      <c r="G8" s="1136"/>
      <c r="H8" s="2371"/>
      <c r="I8" s="2371"/>
      <c r="J8" s="2371"/>
      <c r="K8" s="2371"/>
      <c r="L8" s="2371"/>
      <c r="M8" s="2371"/>
      <c r="N8" s="2371"/>
      <c r="O8" s="2371"/>
      <c r="P8" s="2371"/>
      <c r="Q8" s="2371"/>
      <c r="R8" s="2371"/>
    </row>
    <row r="9" spans="1:29" ht="27">
      <c r="A9" s="431"/>
      <c r="B9" s="1799" t="s">
        <v>2101</v>
      </c>
      <c r="C9" s="2376" t="s">
        <v>2102</v>
      </c>
      <c r="D9" s="2374"/>
      <c r="E9" s="2379"/>
      <c r="F9" s="1136"/>
      <c r="G9" s="1136"/>
      <c r="H9" s="2371"/>
      <c r="I9" s="2371"/>
      <c r="J9" s="2371"/>
      <c r="K9" s="2371"/>
      <c r="L9" s="2371"/>
      <c r="M9" s="2371"/>
      <c r="N9" s="2371"/>
      <c r="O9" s="2371"/>
      <c r="P9" s="2371"/>
      <c r="Q9" s="2371"/>
      <c r="R9" s="2371"/>
    </row>
    <row r="10" spans="1:29" s="116" customFormat="1" ht="15.75" thickBot="1">
      <c r="A10" s="2382"/>
      <c r="B10" s="2383" t="s">
        <v>2103</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6"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2104</v>
      </c>
      <c r="B13" s="2389"/>
      <c r="C13" s="2389"/>
      <c r="D13" s="2396"/>
      <c r="E13" s="2389"/>
      <c r="F13" s="2389"/>
      <c r="G13" s="2389"/>
    </row>
    <row r="14" spans="1:29" ht="15.75" thickBot="1">
      <c r="A14" s="2400"/>
      <c r="B14" s="2401"/>
      <c r="C14" s="2402" t="s">
        <v>2105</v>
      </c>
      <c r="D14" s="2374"/>
      <c r="E14" s="2403"/>
      <c r="F14" s="2403"/>
      <c r="G14" s="2368" t="s">
        <v>2106</v>
      </c>
    </row>
    <row r="15" spans="1:29" ht="57">
      <c r="A15" s="68" t="s">
        <v>2107</v>
      </c>
      <c r="B15" s="1270" t="s">
        <v>2086</v>
      </c>
      <c r="C15" s="2404" t="str">
        <f>C3</f>
        <v>估价对象周边居住用地比例、居住小区规模和社区发展完善程度，综合评价居住社区成熟度一般</v>
      </c>
      <c r="D15" s="2374"/>
      <c r="E15" s="2405" t="s">
        <v>2108</v>
      </c>
      <c r="F15" s="1270" t="s">
        <v>2109</v>
      </c>
      <c r="G15" s="134" t="str">
        <f>G3</f>
        <v>估价对象位于北京经济技术开发区，园区建设成熟度较好，产业集聚程度较好。</v>
      </c>
    </row>
    <row r="16" spans="1:29" ht="71.25">
      <c r="A16" s="645"/>
      <c r="B16" s="2406" t="s">
        <v>2089</v>
      </c>
      <c r="C16" s="2407" t="str">
        <f>C4</f>
        <v>估价对象位于XX商圈，周边商业氛围成熟，人流量大，商业繁华度好</v>
      </c>
      <c r="D16" s="2374"/>
      <c r="E16" s="2408"/>
      <c r="F16" s="2409" t="s">
        <v>2091</v>
      </c>
      <c r="G16" s="135" t="str">
        <f>G4</f>
        <v>估价对象紧邻城市支路——景园街，公共交通通达情况一般，周边有542、846路等公共交通，停车便捷程度较好，综合评价交通便捷度较好。</v>
      </c>
    </row>
    <row r="17" spans="1:18" ht="42.75">
      <c r="A17" s="645"/>
      <c r="B17" s="2406" t="s">
        <v>2093</v>
      </c>
      <c r="C17" s="2407" t="str">
        <f>C5</f>
        <v>估价对象位于XX商圈，周边办公楼项目较多，入驻率高，办公集聚程度较好</v>
      </c>
      <c r="D17" s="2379"/>
      <c r="E17" s="2408"/>
      <c r="F17" s="2409" t="s">
        <v>2110</v>
      </c>
      <c r="G17" s="2945" t="s">
        <v>3101</v>
      </c>
    </row>
    <row r="18" spans="1:18" ht="57">
      <c r="A18" s="645"/>
      <c r="B18" s="2409" t="s">
        <v>2097</v>
      </c>
      <c r="C18" s="135" t="str">
        <f>C6</f>
        <v>估价对象周边道路状况、公共交通通达情况、停车便捷程度，综合评价交通便捷度较好</v>
      </c>
      <c r="D18" s="2379"/>
      <c r="E18" s="2408"/>
      <c r="F18" s="2409" t="s">
        <v>2100</v>
      </c>
      <c r="G18" s="135" t="str">
        <f>G7</f>
        <v>该园区内无污染型企业，绿化情况较好，卫生条件较好，整体环境状况较好。</v>
      </c>
    </row>
    <row r="19" spans="1:18" ht="99.75">
      <c r="A19" s="645"/>
      <c r="B19" s="2409" t="s">
        <v>2111</v>
      </c>
      <c r="C19" s="1573"/>
      <c r="D19" s="2374"/>
      <c r="E19" s="2408"/>
      <c r="F19" s="1799" t="s">
        <v>2095</v>
      </c>
      <c r="G19" s="135" t="str">
        <f>G5</f>
        <v>估价对象所在区域2公里以内有：银行（华夏银行、中国工商银行），超市（康盛宏利超市、和禾便利店），医院（北京同仁医院南区），学校（齐齐哈尔大学北京研发中心）等，公共配套设施齐备情况较好。</v>
      </c>
    </row>
    <row r="20" spans="1:18" ht="42.75">
      <c r="A20" s="645"/>
      <c r="B20" s="2409" t="s">
        <v>2112</v>
      </c>
      <c r="C20" s="2407" t="str">
        <f>C9</f>
        <v>区域自然环境：；人文环境；综合评价环境状况一般</v>
      </c>
      <c r="D20" s="2379"/>
      <c r="E20" s="2408"/>
      <c r="F20" s="1799" t="s">
        <v>2113</v>
      </c>
      <c r="G20" s="135" t="str">
        <f>G6</f>
        <v>估价对象所在区域基础设施水平达到“七通”；估价对象为“六通”。</v>
      </c>
    </row>
    <row r="21" spans="1:18" ht="28.5">
      <c r="A21" s="645"/>
      <c r="B21" s="1799" t="s">
        <v>2095</v>
      </c>
      <c r="C21" s="135" t="str">
        <f>C7</f>
        <v>估价对象所在区域公共配套设施齐备情况</v>
      </c>
      <c r="D21" s="2374"/>
      <c r="E21" s="2408"/>
      <c r="F21" s="2409" t="s">
        <v>2114</v>
      </c>
      <c r="G21" s="2410" t="s">
        <v>3069</v>
      </c>
    </row>
    <row r="22" spans="1:18" ht="13.5" customHeight="1">
      <c r="A22" s="645"/>
      <c r="B22" s="1799" t="s">
        <v>2098</v>
      </c>
      <c r="C22" s="135" t="str">
        <f>C8</f>
        <v>估价对象所在区域基础设施水平</v>
      </c>
      <c r="D22" s="2374"/>
      <c r="E22" s="2408"/>
      <c r="F22" s="2409" t="s">
        <v>2103</v>
      </c>
      <c r="G22" s="2945" t="s">
        <v>3070</v>
      </c>
    </row>
    <row r="23" spans="1:18" s="2371"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71" customFormat="1" ht="15.75" thickBot="1">
      <c r="A24" s="2414"/>
      <c r="B24" s="2412" t="s">
        <v>2116</v>
      </c>
      <c r="C24" s="136">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28894.02</v>
      </c>
      <c r="C1" s="1746"/>
      <c r="D1" s="1746"/>
      <c r="E1" s="1746"/>
      <c r="F1" s="1746"/>
      <c r="G1" s="1744"/>
    </row>
    <row r="2" spans="1:10" ht="16.5">
      <c r="A2" s="1747" t="s">
        <v>1354</v>
      </c>
      <c r="B2" s="1747">
        <f>SUM(C14:C23)</f>
        <v>66147</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24946</v>
      </c>
      <c r="C5" s="1747">
        <f ca="1">ROUND(B5*10000/$B$1,0)</f>
        <v>8634</v>
      </c>
      <c r="D5" s="1747">
        <f ca="1">ROUND(B5*10000/$B$2,0)</f>
        <v>3771</v>
      </c>
      <c r="E5" s="1746"/>
      <c r="F5" s="1744"/>
      <c r="G5" s="1744"/>
    </row>
    <row r="6" spans="1:10" ht="16.5">
      <c r="A6" s="1747" t="s">
        <v>1357</v>
      </c>
      <c r="B6" s="1747">
        <f ca="1">SUM(G14:G23)</f>
        <v>24946</v>
      </c>
      <c r="C6" s="1747">
        <f ca="1">ROUND(B6*10000/$B$1,0)</f>
        <v>8634</v>
      </c>
      <c r="D6" s="1747">
        <f ca="1">ROUND(B6*10000/$B$2,0)</f>
        <v>3771</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28894.02</v>
      </c>
      <c r="C14" s="1745">
        <f>结果表!C118</f>
        <v>66147</v>
      </c>
      <c r="D14" s="1745">
        <f ca="1">结果表!H118</f>
        <v>24946</v>
      </c>
      <c r="E14" s="1745">
        <f ca="1">ROUND(D14*10000/B14,0)</f>
        <v>8634</v>
      </c>
      <c r="F14" s="1745">
        <f ca="1">ROUND(D14*10000/C14,0)</f>
        <v>3771</v>
      </c>
      <c r="G14" s="1745">
        <f ca="1">结果表!D122</f>
        <v>24946</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1" sqref="J1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2117</v>
      </c>
      <c r="B1" s="2420"/>
      <c r="C1" s="2421"/>
      <c r="D1" s="2420"/>
      <c r="E1" s="2420"/>
      <c r="F1" s="2422" t="s">
        <v>2118</v>
      </c>
      <c r="G1" s="2074" t="s">
        <v>3082</v>
      </c>
      <c r="H1" s="2423" t="str">
        <f>IF(G1="现房","——","估价对象范围")</f>
        <v>——</v>
      </c>
      <c r="I1" s="2424" t="s">
        <v>3083</v>
      </c>
    </row>
    <row r="2" spans="1:12" ht="21.75" customHeight="1" thickBot="1">
      <c r="A2" s="3090" t="str">
        <f>项目基本情况!S2</f>
        <v>北京市北京经济技术开发区景园街12号房地产</v>
      </c>
      <c r="B2" s="3091"/>
      <c r="C2" s="3091"/>
      <c r="D2" s="3091"/>
      <c r="E2" s="3091"/>
      <c r="F2" s="3091"/>
      <c r="G2" s="3091"/>
      <c r="H2" s="3091"/>
      <c r="I2" s="3092"/>
    </row>
    <row r="3" spans="1:12" ht="12.75">
      <c r="A3" s="3094" t="s">
        <v>2119</v>
      </c>
      <c r="B3" s="3095"/>
      <c r="C3" s="3095"/>
      <c r="D3" s="3095"/>
      <c r="E3" s="3095"/>
      <c r="F3" s="3095"/>
      <c r="G3" s="3095"/>
      <c r="H3" s="3095"/>
      <c r="I3" s="3095"/>
    </row>
    <row r="4" spans="1:12" ht="14.25">
      <c r="A4" s="2427" t="s">
        <v>2120</v>
      </c>
      <c r="B4" s="2428" t="s">
        <v>2121</v>
      </c>
      <c r="C4" s="2429" t="s">
        <v>3081</v>
      </c>
      <c r="D4" s="2429" t="s">
        <v>3112</v>
      </c>
      <c r="E4" s="3087" t="s">
        <v>2122</v>
      </c>
      <c r="F4" s="3088"/>
      <c r="G4" s="3088"/>
      <c r="H4" s="3088"/>
      <c r="I4" s="309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2123</v>
      </c>
      <c r="B5" s="3008">
        <v>25</v>
      </c>
      <c r="C5" s="3073"/>
      <c r="D5" s="3093"/>
      <c r="E5" s="139" t="s">
        <v>2124</v>
      </c>
      <c r="F5" s="2431"/>
      <c r="G5" s="2431"/>
      <c r="H5" s="2431"/>
      <c r="I5" s="1835"/>
    </row>
    <row r="6" spans="1:12" ht="12.75">
      <c r="A6" s="3070"/>
      <c r="B6" s="3008"/>
      <c r="C6" s="3074"/>
      <c r="D6" s="3093"/>
      <c r="E6" s="139" t="s">
        <v>2125</v>
      </c>
      <c r="F6" s="2431"/>
      <c r="G6" s="2431"/>
      <c r="H6" s="2431"/>
      <c r="I6" s="1835"/>
    </row>
    <row r="7" spans="1:12" ht="12.75">
      <c r="A7" s="3070"/>
      <c r="B7" s="3008"/>
      <c r="C7" s="3075"/>
      <c r="D7" s="3093"/>
      <c r="E7" s="139" t="s">
        <v>2126</v>
      </c>
      <c r="F7" s="2431"/>
      <c r="G7" s="2431"/>
      <c r="H7" s="2431"/>
      <c r="I7" s="1835"/>
    </row>
    <row r="8" spans="1:12" ht="12.75">
      <c r="A8" s="3070" t="s">
        <v>2127</v>
      </c>
      <c r="B8" s="3008">
        <v>15</v>
      </c>
      <c r="C8" s="3073"/>
      <c r="D8" s="3093"/>
      <c r="E8" s="139" t="s">
        <v>2128</v>
      </c>
      <c r="F8" s="2431"/>
      <c r="G8" s="2431"/>
      <c r="H8" s="2431"/>
      <c r="I8" s="1835"/>
    </row>
    <row r="9" spans="1:12" ht="12.75">
      <c r="A9" s="3070"/>
      <c r="B9" s="3008"/>
      <c r="C9" s="3075"/>
      <c r="D9" s="3093"/>
      <c r="E9" s="139" t="s">
        <v>2129</v>
      </c>
      <c r="F9" s="2431"/>
      <c r="G9" s="2431"/>
      <c r="H9" s="2431"/>
      <c r="I9" s="1835"/>
    </row>
    <row r="10" spans="1:12" ht="12.75">
      <c r="A10" s="3070" t="s">
        <v>2130</v>
      </c>
      <c r="B10" s="3008">
        <v>15</v>
      </c>
      <c r="C10" s="3073"/>
      <c r="D10" s="3093"/>
      <c r="E10" s="139" t="s">
        <v>2131</v>
      </c>
      <c r="F10" s="2431"/>
      <c r="G10" s="2431"/>
      <c r="H10" s="2431"/>
      <c r="I10" s="1835"/>
    </row>
    <row r="11" spans="1:12" ht="12.75">
      <c r="A11" s="3070"/>
      <c r="B11" s="3008"/>
      <c r="C11" s="3075"/>
      <c r="D11" s="3093"/>
      <c r="E11" s="139" t="s">
        <v>2132</v>
      </c>
      <c r="F11" s="2431"/>
      <c r="G11" s="2431"/>
      <c r="H11" s="2431"/>
      <c r="I11" s="1835"/>
    </row>
    <row r="12" spans="1:12" ht="12.75">
      <c r="A12" s="3070" t="s">
        <v>2133</v>
      </c>
      <c r="B12" s="3008">
        <v>15</v>
      </c>
      <c r="C12" s="3073"/>
      <c r="D12" s="3093"/>
      <c r="E12" s="139" t="s">
        <v>2134</v>
      </c>
      <c r="F12" s="2431"/>
      <c r="G12" s="2431"/>
      <c r="H12" s="2431"/>
      <c r="I12" s="1835"/>
    </row>
    <row r="13" spans="1:12" ht="12.75">
      <c r="A13" s="3070"/>
      <c r="B13" s="3008"/>
      <c r="C13" s="3075"/>
      <c r="D13" s="3093"/>
      <c r="E13" s="139" t="s">
        <v>2135</v>
      </c>
      <c r="F13" s="2431"/>
      <c r="G13" s="2431"/>
      <c r="H13" s="2431"/>
      <c r="I13" s="1835"/>
    </row>
    <row r="14" spans="1:12" ht="12.75">
      <c r="A14" s="3070" t="s">
        <v>2136</v>
      </c>
      <c r="B14" s="3008">
        <v>30</v>
      </c>
      <c r="C14" s="3073">
        <v>5</v>
      </c>
      <c r="D14" s="3093">
        <v>5</v>
      </c>
      <c r="E14" s="139" t="s">
        <v>2137</v>
      </c>
      <c r="F14" s="2431"/>
      <c r="G14" s="2431"/>
      <c r="H14" s="2431"/>
      <c r="I14" s="1835"/>
    </row>
    <row r="15" spans="1:12" ht="12.75">
      <c r="A15" s="3070"/>
      <c r="B15" s="3008"/>
      <c r="C15" s="3074"/>
      <c r="D15" s="3093"/>
      <c r="E15" s="139" t="s">
        <v>2138</v>
      </c>
      <c r="F15" s="2431"/>
      <c r="G15" s="2431"/>
      <c r="H15" s="2431"/>
      <c r="I15" s="1835"/>
    </row>
    <row r="16" spans="1:12" ht="12.75">
      <c r="A16" s="3070"/>
      <c r="B16" s="3008"/>
      <c r="C16" s="3075"/>
      <c r="D16" s="3093"/>
      <c r="E16" s="139" t="s">
        <v>2139</v>
      </c>
      <c r="F16" s="2431"/>
      <c r="G16" s="2431"/>
      <c r="H16" s="2431"/>
      <c r="I16" s="1835"/>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28894.02</v>
      </c>
      <c r="M18" s="2430">
        <f>IF(C1="",'数据-汇总表'!E3,SUMIF(项目类型,C1,'数据-汇总表'!E17:E26))</f>
        <v>28894.02</v>
      </c>
    </row>
    <row r="19" spans="1:35" ht="15">
      <c r="A19" s="2436" t="s">
        <v>2145</v>
      </c>
      <c r="B19" s="2437" t="s">
        <v>2146</v>
      </c>
      <c r="C19" s="142">
        <f ca="1">SUMIF(INDIRECT("'"&amp;C4&amp;"'"&amp;"!A:A"),结果表!B19,INDIRECT("'"&amp;C4&amp;"'"&amp;"!B:B"))</f>
        <v>23704</v>
      </c>
      <c r="D19" s="143">
        <f ca="1">SUMIF(INDIRECT("'"&amp;D4&amp;"'"&amp;"!A:A"),结果表!B19,INDIRECT("'"&amp;D4&amp;"'"&amp;"!B:B"))</f>
        <v>26188</v>
      </c>
      <c r="E19" s="2436" t="s">
        <v>2147</v>
      </c>
      <c r="F19" s="2437" t="s">
        <v>2146</v>
      </c>
      <c r="G19" s="144">
        <f ca="1">ROUND(C19*$C$18+D19*$D$18,0)</f>
        <v>24946</v>
      </c>
      <c r="H19" s="2438" t="s">
        <v>2148</v>
      </c>
      <c r="I19" s="137"/>
      <c r="K19" s="2430" t="s">
        <v>2149</v>
      </c>
      <c r="L19" s="2430">
        <f>IF(C1="",'数据-汇总表'!D3,SUMIF(项目类型,C1,'数据-汇总表'!D17:D26)+SUMIF(项目类型,C1,'数据-汇总表'!H17:H27))</f>
        <v>66147</v>
      </c>
      <c r="M19" s="2430">
        <f>IF(C1="",'数据-汇总表'!D3,SUMIF(项目类型,C1,'数据-汇总表'!D17:D26))</f>
        <v>66147</v>
      </c>
    </row>
    <row r="20" spans="1:35" ht="15">
      <c r="A20" s="2439"/>
      <c r="B20" s="1250" t="s">
        <v>2150</v>
      </c>
      <c r="C20" s="145">
        <f ca="1">SUMIF(INDIRECT("'"&amp;C4&amp;"'"&amp;"!A:A"),结果表!B20,INDIRECT("'"&amp;C4&amp;"'"&amp;"!B:B"))</f>
        <v>8204</v>
      </c>
      <c r="D20" s="146">
        <f ca="1">SUMIF(INDIRECT("'"&amp;D4&amp;"'"&amp;"!A:A"),结果表!B20,INDIRECT("'"&amp;D4&amp;"'"&amp;"!B:B"))</f>
        <v>9190</v>
      </c>
      <c r="E20" s="2439"/>
      <c r="F20" s="1250" t="s">
        <v>2150</v>
      </c>
      <c r="G20" s="147">
        <f ca="1">ROUND(C20*$C$18+D20*$D$18,0)</f>
        <v>8697</v>
      </c>
      <c r="H20" s="983" t="s">
        <v>2151</v>
      </c>
      <c r="I20" s="137"/>
    </row>
    <row r="21" spans="1:35" ht="15" customHeight="1" thickBot="1">
      <c r="A21" s="1003"/>
      <c r="B21" s="2440" t="s">
        <v>2152</v>
      </c>
      <c r="C21" s="789">
        <f ca="1">ROUND(C19*10000/L19,0)</f>
        <v>3584</v>
      </c>
      <c r="D21" s="790">
        <f ca="1">ROUND(D19*10000/L19,0)</f>
        <v>3959</v>
      </c>
      <c r="E21" s="1003"/>
      <c r="F21" s="2440" t="s">
        <v>2152</v>
      </c>
      <c r="G21" s="148">
        <f ca="1">ROUND(G19*10000/L19,0)</f>
        <v>3771</v>
      </c>
      <c r="H21" s="2441" t="s">
        <v>2151</v>
      </c>
      <c r="I21" s="137"/>
    </row>
    <row r="22" spans="1:35" ht="15" thickBot="1">
      <c r="A22" s="2284" t="s">
        <v>2153</v>
      </c>
      <c r="B22" s="2442"/>
      <c r="C22" s="2443"/>
      <c r="D22" s="791">
        <f ca="1">IF(C19&lt;D19,D19/C19-1,C19/D19-1)</f>
        <v>0.10479244009449884</v>
      </c>
      <c r="E22" s="137"/>
      <c r="F22" s="137"/>
      <c r="G22" s="137"/>
      <c r="H22" s="137"/>
      <c r="I22" s="137"/>
    </row>
    <row r="23" spans="1:35" ht="13.5" thickBot="1">
      <c r="A23" s="2420"/>
      <c r="B23" s="2420"/>
      <c r="C23" s="2420"/>
      <c r="D23" s="2420"/>
      <c r="E23" s="137"/>
      <c r="F23" s="137"/>
      <c r="G23" s="137"/>
      <c r="H23" s="137"/>
      <c r="I23" s="137"/>
    </row>
    <row r="24" spans="1:35" ht="14.25">
      <c r="A24" s="3064" t="s">
        <v>2154</v>
      </c>
      <c r="B24" s="2437" t="s">
        <v>2146</v>
      </c>
      <c r="C24" s="144">
        <f>IF(B30=0,0,D30)</f>
        <v>0</v>
      </c>
      <c r="D24" s="2444"/>
      <c r="E24" s="137"/>
      <c r="F24" s="137"/>
      <c r="G24" s="137"/>
      <c r="H24" s="137"/>
      <c r="I24" s="137"/>
    </row>
    <row r="25" spans="1:35" ht="14.25">
      <c r="A25" s="3065"/>
      <c r="B25" s="1250"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2" t="s">
        <v>2159</v>
      </c>
      <c r="B30" s="152">
        <f>SUM(B27:B29)</f>
        <v>0</v>
      </c>
      <c r="C30" s="152" t="e">
        <f>ROUND(D30*10000/B30,0)</f>
        <v>#DIV/0!</v>
      </c>
      <c r="D30" s="152">
        <f>SUM(D27:D29)</f>
        <v>0</v>
      </c>
      <c r="E30" s="137"/>
      <c r="F30" s="137"/>
      <c r="G30" s="137"/>
      <c r="H30" s="137"/>
      <c r="I30" s="137"/>
    </row>
    <row r="31" spans="1:35" s="2448" customFormat="1" ht="15" thickBot="1">
      <c r="A31" s="2447"/>
      <c r="B31" s="2447"/>
      <c r="C31" s="2447"/>
      <c r="D31" s="2447"/>
      <c r="E31" s="137"/>
      <c r="F31" s="137"/>
      <c r="G31" s="137"/>
      <c r="H31" s="137"/>
      <c r="I31" s="137"/>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24946</v>
      </c>
      <c r="D32" s="2451" t="s">
        <v>2161</v>
      </c>
      <c r="E32" s="137"/>
      <c r="F32" s="137"/>
      <c r="G32" s="137"/>
      <c r="H32" s="137"/>
      <c r="I32" s="137"/>
    </row>
    <row r="33" spans="1:15" ht="15">
      <c r="A33" s="960" t="s">
        <v>2162</v>
      </c>
      <c r="B33" s="2452"/>
      <c r="C33" s="2453" t="s">
        <v>3084</v>
      </c>
      <c r="D33" s="2454" t="s">
        <v>3081</v>
      </c>
      <c r="E33" s="2455" t="s">
        <v>2163</v>
      </c>
      <c r="F33" s="2456" t="str">
        <f>IF(D32="楼面单价","取值（单价）","取值（总价）")</f>
        <v>取值（总价）</v>
      </c>
      <c r="G33" s="137"/>
      <c r="H33" s="137"/>
      <c r="I33" s="137"/>
    </row>
    <row r="34" spans="1:15" ht="15">
      <c r="A34" s="2457"/>
      <c r="B34" s="2458" t="s">
        <v>2164</v>
      </c>
      <c r="C34" s="157">
        <f ca="1">IF(C33="自定义",F34,C32-C35)</f>
        <v>17637</v>
      </c>
      <c r="D34" s="1058">
        <f ca="1">IF(C33="自定义",ROUND(C34/C32,3),IF(C33="收益比率",SUMIF(INDIRECT("'"&amp;D33&amp;"'"&amp;"!b:b"),"土地收益比率",INDIRECT("'"&amp;D33&amp;"'"&amp;"!c:c")),SUMIF(INDIRECT("'"&amp;D33&amp;"'"&amp;"!b:b"),"土地成本比率",INDIRECT("'"&amp;D33&amp;"'"&amp;"!c:c"))))</f>
        <v>0.70700000000000007</v>
      </c>
      <c r="E34" s="2459" t="s">
        <v>2165</v>
      </c>
      <c r="F34" s="1740"/>
      <c r="G34" s="137"/>
      <c r="H34" s="137"/>
      <c r="I34" s="137"/>
    </row>
    <row r="35" spans="1:15" ht="15.75" thickBot="1">
      <c r="A35" s="2460"/>
      <c r="B35" s="2461" t="s">
        <v>2166</v>
      </c>
      <c r="C35" s="1444">
        <f ca="1">IF(C33="自定义",F35,ROUND(C32*D35,0))</f>
        <v>7309</v>
      </c>
      <c r="D35" s="1445">
        <f ca="1">IF(C33="自定义",ROUND(C35/C32,3),IF(C33="收益比率",SUMIF(INDIRECT("'"&amp;D33&amp;"'"&amp;"!b:b"),"建筑物收益比率",INDIRECT("'"&amp;D33&amp;"'"&amp;"!c:c")),SUMIF(INDIRECT("'"&amp;D33&amp;"'"&amp;"!b:b"),"建筑物成本比率",INDIRECT("'"&amp;D33&amp;"'"&amp;"!c:c"))))</f>
        <v>0.29299999999999998</v>
      </c>
      <c r="E35" s="2462" t="s">
        <v>2167</v>
      </c>
      <c r="F35" s="163"/>
      <c r="G35" s="137"/>
      <c r="H35" s="137"/>
      <c r="I35" s="137"/>
    </row>
    <row r="36" spans="1:15" ht="15.75" thickBot="1">
      <c r="A36" s="3082" t="s">
        <v>2168</v>
      </c>
      <c r="B36" s="2463" t="s">
        <v>2169</v>
      </c>
      <c r="C36" s="154"/>
      <c r="D36" s="2464"/>
      <c r="E36" s="2465"/>
      <c r="F36" s="2466"/>
      <c r="G36" s="137"/>
      <c r="H36" s="137"/>
      <c r="I36" s="137"/>
    </row>
    <row r="37" spans="1:15" ht="15.75" thickBot="1">
      <c r="A37" s="3083"/>
      <c r="B37" s="2270" t="s">
        <v>2170</v>
      </c>
      <c r="C37" s="156"/>
      <c r="D37" s="1395"/>
      <c r="E37" s="1395"/>
      <c r="F37" s="2466"/>
      <c r="G37" s="137"/>
      <c r="H37" s="137"/>
      <c r="I37" s="137"/>
    </row>
    <row r="38" spans="1:15" ht="15.75" thickBot="1">
      <c r="A38" s="3084"/>
      <c r="B38" s="2467" t="s">
        <v>2171</v>
      </c>
      <c r="C38" s="727"/>
      <c r="D38" s="2468" t="s">
        <v>2172</v>
      </c>
      <c r="E38" s="1395"/>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8"/>
      <c r="C40" s="159"/>
      <c r="D40" s="159"/>
      <c r="E40" s="160"/>
      <c r="F40" s="2466"/>
      <c r="G40" s="137"/>
      <c r="H40" s="137"/>
      <c r="I40" s="137"/>
    </row>
    <row r="41" spans="1:15" ht="14.25">
      <c r="A41" s="2472" t="s">
        <v>2179</v>
      </c>
      <c r="B41" s="158"/>
      <c r="C41" s="159"/>
      <c r="D41" s="159"/>
      <c r="E41" s="160"/>
      <c r="F41" s="2466"/>
      <c r="G41" s="137"/>
      <c r="H41" s="137"/>
      <c r="I41" s="137"/>
    </row>
    <row r="42" spans="1:15" ht="15" thickBot="1">
      <c r="A42" s="2473"/>
      <c r="B42" s="161"/>
      <c r="C42" s="162"/>
      <c r="D42" s="162"/>
      <c r="E42" s="163"/>
      <c r="F42" s="2466"/>
      <c r="G42" s="137"/>
      <c r="H42" s="137"/>
      <c r="I42" s="137"/>
    </row>
    <row r="43" spans="1:15" ht="12.75">
      <c r="A43" s="2168"/>
      <c r="B43" s="2168"/>
      <c r="C43" s="2168"/>
      <c r="D43" s="2168"/>
      <c r="E43" s="2168"/>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61" t="s">
        <v>2182</v>
      </c>
      <c r="B45" s="3062"/>
      <c r="C45" s="3063"/>
      <c r="D45" s="164">
        <f ca="1">ROUND(H101*F45,0)</f>
        <v>24946</v>
      </c>
      <c r="E45" s="165" t="s">
        <v>2183</v>
      </c>
      <c r="F45" s="166">
        <v>1</v>
      </c>
      <c r="G45" s="167" t="s">
        <v>2184</v>
      </c>
      <c r="H45" s="137"/>
      <c r="I45" s="137"/>
      <c r="J45" s="3121" t="s">
        <v>2185</v>
      </c>
      <c r="K45" s="3121"/>
      <c r="L45" s="3121"/>
      <c r="M45" s="3121"/>
      <c r="N45" s="3121"/>
      <c r="O45" s="3121"/>
    </row>
    <row r="46" spans="1:15" ht="14.25" customHeight="1">
      <c r="A46" s="3058" t="s">
        <v>2186</v>
      </c>
      <c r="B46" s="3059"/>
      <c r="C46" s="3059"/>
      <c r="D46" s="3059"/>
      <c r="E46" s="3059"/>
      <c r="F46" s="3059"/>
      <c r="G46" s="3060"/>
      <c r="H46" s="2482"/>
      <c r="I46" s="168"/>
      <c r="J46" s="1813">
        <v>1</v>
      </c>
      <c r="K46" s="3121" t="s">
        <v>2187</v>
      </c>
      <c r="L46" s="3121"/>
      <c r="M46" s="3141"/>
      <c r="N46" s="3141"/>
      <c r="O46" s="3141"/>
    </row>
    <row r="47" spans="1:15" ht="12" customHeight="1">
      <c r="A47" s="169" t="s">
        <v>2188</v>
      </c>
      <c r="B47" s="170"/>
      <c r="C47" s="171"/>
      <c r="D47" s="172" t="s">
        <v>2189</v>
      </c>
      <c r="E47" s="24" t="s">
        <v>2190</v>
      </c>
      <c r="F47" s="173" t="s">
        <v>2191</v>
      </c>
      <c r="G47" s="174" t="s">
        <v>2192</v>
      </c>
      <c r="H47" s="2482"/>
      <c r="I47" s="168"/>
      <c r="J47" s="1813">
        <v>2</v>
      </c>
      <c r="K47" s="3121" t="s">
        <v>2193</v>
      </c>
      <c r="L47" s="3121"/>
      <c r="M47" s="3142">
        <f>'数据-取费表'!B2</f>
        <v>43047</v>
      </c>
      <c r="N47" s="3142"/>
      <c r="O47" s="3142"/>
    </row>
    <row r="48" spans="1:15" ht="25.5">
      <c r="A48" s="3089" t="s">
        <v>2194</v>
      </c>
      <c r="B48" s="3072"/>
      <c r="C48" s="3072"/>
      <c r="D48" s="139">
        <f>IF(H48="情况1",0,IF(H48="情况2",D52,IF(H48="情况3",D53,IF(H48="情况4",D54))))</f>
        <v>0</v>
      </c>
      <c r="E48" s="1802" t="str">
        <f>IF(H48="情况4","(销售额-原购置价)×税（费）率","销售额×税（费）率")</f>
        <v>销售额×税（费）率</v>
      </c>
      <c r="F48" s="175" t="str">
        <f>IF(H48="情况1","免征",'数据-取费表'!B41)</f>
        <v>免征</v>
      </c>
      <c r="G48" s="2483" t="s">
        <v>2195</v>
      </c>
      <c r="H48" s="2484" t="s">
        <v>2196</v>
      </c>
      <c r="I48" s="2482"/>
      <c r="J48" s="1813">
        <v>3</v>
      </c>
      <c r="K48" s="3121" t="s">
        <v>2197</v>
      </c>
      <c r="L48" s="3121"/>
      <c r="M48" s="3143">
        <f ca="1">H101</f>
        <v>24946</v>
      </c>
      <c r="N48" s="3143"/>
      <c r="O48" s="3143"/>
    </row>
    <row r="49" spans="1:35" ht="25.5" customHeight="1">
      <c r="A49" s="176" t="s">
        <v>2198</v>
      </c>
      <c r="B49" s="3057" t="s">
        <v>2199</v>
      </c>
      <c r="C49" s="3057"/>
      <c r="D49" s="177">
        <v>0</v>
      </c>
      <c r="E49" s="23" t="s">
        <v>2200</v>
      </c>
      <c r="F49" s="28" t="s">
        <v>34</v>
      </c>
      <c r="G49" s="3127"/>
      <c r="H49" s="137"/>
      <c r="I49" s="2485"/>
      <c r="J49" s="1813">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2201</v>
      </c>
      <c r="C50" s="3057"/>
      <c r="D50" s="179"/>
      <c r="E50" s="31"/>
      <c r="F50" s="180"/>
      <c r="G50" s="3128"/>
      <c r="H50" s="137"/>
      <c r="I50" s="2485"/>
      <c r="J50" s="3121" t="s">
        <v>2202</v>
      </c>
      <c r="K50" s="3121"/>
      <c r="L50" s="3121"/>
      <c r="M50" s="3121"/>
      <c r="N50" s="3121"/>
      <c r="O50" s="3121"/>
    </row>
    <row r="51" spans="1:35" ht="12" customHeight="1">
      <c r="A51" s="181"/>
      <c r="B51" s="3057" t="s">
        <v>2203</v>
      </c>
      <c r="C51" s="3057"/>
      <c r="D51" s="182"/>
      <c r="E51" s="30"/>
      <c r="F51" s="180"/>
      <c r="G51" s="3129"/>
      <c r="H51" s="137"/>
      <c r="I51" s="2485"/>
      <c r="J51" s="2486" t="s">
        <v>2204</v>
      </c>
      <c r="K51" s="3121" t="s">
        <v>2205</v>
      </c>
      <c r="L51" s="3121"/>
      <c r="M51" s="2486" t="s">
        <v>2206</v>
      </c>
      <c r="N51" s="2486" t="s">
        <v>2207</v>
      </c>
      <c r="O51" s="2486" t="s">
        <v>2208</v>
      </c>
    </row>
    <row r="52" spans="1:35" ht="24" customHeight="1">
      <c r="A52" s="183" t="s">
        <v>2209</v>
      </c>
      <c r="B52" s="3057" t="s">
        <v>2210</v>
      </c>
      <c r="C52" s="3057"/>
      <c r="D52" s="182">
        <f ca="1">ROUND(D45*'数据-取费表'!B41/(1+'数据-取费表'!C42),0)</f>
        <v>1307</v>
      </c>
      <c r="E52" s="11" t="s">
        <v>2211</v>
      </c>
      <c r="F52" s="184">
        <f>'数据-取费表'!B41</f>
        <v>5.5000000000000007E-2</v>
      </c>
      <c r="G52" s="2487"/>
      <c r="H52" s="137"/>
      <c r="I52" s="2485"/>
      <c r="J52" s="1813">
        <v>1</v>
      </c>
      <c r="K52" s="3122" t="s">
        <v>2212</v>
      </c>
      <c r="L52" s="3122"/>
      <c r="M52" s="1755">
        <f>D48</f>
        <v>0</v>
      </c>
      <c r="N52" s="1813" t="str">
        <f>E48</f>
        <v>销售额×税（费）率</v>
      </c>
      <c r="O52" s="1756" t="str">
        <f>F48</f>
        <v>免征</v>
      </c>
    </row>
    <row r="53" spans="1:35" ht="12" customHeight="1">
      <c r="A53" s="183" t="s">
        <v>2213</v>
      </c>
      <c r="B53" s="3080" t="s">
        <v>2214</v>
      </c>
      <c r="C53" s="3081"/>
      <c r="D53" s="182">
        <f ca="1">ROUND(D45*'数据-取费表'!B41/(1+'数据-取费表'!C42),0)</f>
        <v>1307</v>
      </c>
      <c r="E53" s="11" t="s">
        <v>2211</v>
      </c>
      <c r="F53" s="184">
        <f>'数据-取费表'!B41</f>
        <v>5.5000000000000007E-2</v>
      </c>
      <c r="G53" s="2487"/>
      <c r="H53" s="137"/>
      <c r="I53" s="2485"/>
      <c r="J53" s="1813">
        <v>2</v>
      </c>
      <c r="K53" s="3122" t="s">
        <v>2215</v>
      </c>
      <c r="L53" s="3122"/>
      <c r="M53" s="1755">
        <f t="shared" ref="M53:O54" ca="1" si="0">D55</f>
        <v>12</v>
      </c>
      <c r="N53" s="1813" t="str">
        <f t="shared" si="0"/>
        <v>销售额×税（费）率</v>
      </c>
      <c r="O53" s="1756">
        <f t="shared" si="0"/>
        <v>5.0000000000000001E-4</v>
      </c>
    </row>
    <row r="54" spans="1:35" ht="12" customHeight="1">
      <c r="A54" s="183" t="s">
        <v>2216</v>
      </c>
      <c r="B54" s="3080" t="s">
        <v>2217</v>
      </c>
      <c r="C54" s="3081"/>
      <c r="D54" s="182">
        <f ca="1">C68</f>
        <v>1307</v>
      </c>
      <c r="E54" s="30" t="s">
        <v>2218</v>
      </c>
      <c r="F54" s="184">
        <f>'数据-取费表'!B41</f>
        <v>5.5000000000000007E-2</v>
      </c>
      <c r="G54" s="2487"/>
      <c r="H54" s="2488"/>
      <c r="I54" s="2485"/>
      <c r="J54" s="1813">
        <v>3</v>
      </c>
      <c r="K54" s="3122" t="s">
        <v>2219</v>
      </c>
      <c r="L54" s="3122"/>
      <c r="M54" s="1755">
        <f t="shared" ca="1" si="0"/>
        <v>14142</v>
      </c>
      <c r="N54" s="1813" t="str">
        <f t="shared" si="0"/>
        <v>增值额×税（费）率</v>
      </c>
      <c r="O54" s="1757" t="str">
        <f t="shared" si="0"/>
        <v>——</v>
      </c>
    </row>
    <row r="55" spans="1:35" ht="24" customHeight="1">
      <c r="A55" s="3071" t="s">
        <v>2220</v>
      </c>
      <c r="B55" s="3072"/>
      <c r="C55" s="3072"/>
      <c r="D55" s="185">
        <f ca="1">IF(H55="个人住宅",0,ROUND(D45*I55,0))</f>
        <v>12</v>
      </c>
      <c r="E55" s="11" t="s">
        <v>2221</v>
      </c>
      <c r="F55" s="184">
        <f>IF(H55="正常",I55,"免征")</f>
        <v>5.0000000000000001E-4</v>
      </c>
      <c r="G55" s="2487"/>
      <c r="H55" s="2484" t="s">
        <v>2222</v>
      </c>
      <c r="I55" s="186">
        <f>'数据-取费表'!B49</f>
        <v>5.0000000000000001E-4</v>
      </c>
      <c r="J55" s="1813" t="str">
        <f>IF(H59="非个人房产","",4)</f>
        <v/>
      </c>
      <c r="K55" s="3122" t="str">
        <f>IF(H59="非个人房产","——","个人所得税")</f>
        <v>——</v>
      </c>
      <c r="L55" s="3122"/>
      <c r="M55" s="1758" t="str">
        <f>D59</f>
        <v>——</v>
      </c>
      <c r="N55" s="1811" t="str">
        <f>E59</f>
        <v>——</v>
      </c>
      <c r="O55" s="1759" t="str">
        <f>F59</f>
        <v>——</v>
      </c>
    </row>
    <row r="56" spans="1:35" ht="24.75">
      <c r="A56" s="3071" t="s">
        <v>2223</v>
      </c>
      <c r="B56" s="3072"/>
      <c r="C56" s="3072"/>
      <c r="D56" s="185">
        <f ca="1">IF(H56="个人住宅",D57,D58)</f>
        <v>14142</v>
      </c>
      <c r="E56" s="11" t="s">
        <v>2224</v>
      </c>
      <c r="F56" s="184" t="str">
        <f>IF(H56="正常",F58,"免征")</f>
        <v>——</v>
      </c>
      <c r="G56" s="2489" t="s">
        <v>2225</v>
      </c>
      <c r="H56" s="2490" t="s">
        <v>2222</v>
      </c>
      <c r="I56" s="2491"/>
      <c r="J56" s="1813" t="str">
        <f>IF(项目基本情况!K6="上海银行",IF(J55="",4,J55+1),"")</f>
        <v/>
      </c>
      <c r="K56" s="3145" t="str">
        <f>IF(项目基本情况!K6="上海银行","其他处置费用","")</f>
        <v/>
      </c>
      <c r="L56" s="3146"/>
      <c r="M56" s="1755" t="str">
        <f>IF(项目基本情况!K6="上海银行",M69,"")</f>
        <v/>
      </c>
      <c r="N56" s="3148" t="str">
        <f>IF(项目基本情况!K6="上海银行","包含处置中涉及的律师、诉讼、拍卖、评估等费用","")</f>
        <v/>
      </c>
      <c r="O56" s="3149"/>
    </row>
    <row r="57" spans="1:35" ht="12.75">
      <c r="A57" s="183" t="s">
        <v>2198</v>
      </c>
      <c r="B57" s="3087" t="s">
        <v>2226</v>
      </c>
      <c r="C57" s="3096"/>
      <c r="D57" s="187">
        <v>0</v>
      </c>
      <c r="E57" s="23" t="s">
        <v>2200</v>
      </c>
      <c r="F57" s="155"/>
      <c r="G57" s="2487"/>
      <c r="H57" s="2491"/>
      <c r="I57" s="2491"/>
      <c r="J57" s="3122">
        <f>IF(AND(J55="",J56=""),4,IF(项目基本情况!K6="上海银行",结果表!J56+1,结果表!J55+1))</f>
        <v>4</v>
      </c>
      <c r="K57" s="3122" t="s">
        <v>2227</v>
      </c>
      <c r="L57" s="2492" t="s">
        <v>2228</v>
      </c>
      <c r="M57" s="1760"/>
      <c r="N57" s="1761">
        <f ca="1">SUMIF(M52:M56,"&lt;9e307")</f>
        <v>14154</v>
      </c>
      <c r="O57" s="2493"/>
      <c r="P57" s="1754" t="e">
        <f ca="1">N57/M49</f>
        <v>#VALUE!</v>
      </c>
    </row>
    <row r="58" spans="1:35" ht="24.75">
      <c r="A58" s="183" t="s">
        <v>2209</v>
      </c>
      <c r="B58" s="3087" t="s">
        <v>2229</v>
      </c>
      <c r="C58" s="3088"/>
      <c r="D58" s="185">
        <f ca="1">IF(H58="转让取得",C81,C97)</f>
        <v>14142</v>
      </c>
      <c r="E58" s="11" t="s">
        <v>2224</v>
      </c>
      <c r="F58" s="24" t="s">
        <v>34</v>
      </c>
      <c r="G58" s="2487"/>
      <c r="H58" s="2490" t="s">
        <v>2230</v>
      </c>
      <c r="I58" s="2491"/>
      <c r="J58" s="3122"/>
      <c r="K58" s="3122"/>
      <c r="L58" s="2492" t="s">
        <v>2231</v>
      </c>
      <c r="M58" s="1762"/>
      <c r="N58" s="2494" t="str">
        <f ca="1">NUMBERSTRING(INT(N57*10000),2)&amp;"元整"</f>
        <v>壹亿肆仟壹佰伍拾肆万元整</v>
      </c>
      <c r="O58" s="2495"/>
    </row>
    <row r="59" spans="1:35" ht="24.75" thickBot="1">
      <c r="A59" s="3125" t="s">
        <v>2232</v>
      </c>
      <c r="B59" s="3126"/>
      <c r="C59" s="3126"/>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23">
        <f>J57+1</f>
        <v>5</v>
      </c>
      <c r="K59" s="3122" t="s">
        <v>2234</v>
      </c>
      <c r="L59" s="1813" t="s">
        <v>2228</v>
      </c>
      <c r="M59" s="1763"/>
      <c r="N59" s="1764" t="e">
        <f ca="1">M49-N57</f>
        <v>#VALUE!</v>
      </c>
      <c r="O59" s="2497"/>
    </row>
    <row r="60" spans="1:35" ht="12" customHeight="1">
      <c r="A60" s="2498"/>
      <c r="B60" s="2420"/>
      <c r="C60" s="2420"/>
      <c r="D60" s="2420"/>
      <c r="E60" s="2169"/>
      <c r="F60" s="2491"/>
      <c r="G60" s="2491"/>
      <c r="H60" s="2499"/>
      <c r="I60" s="137"/>
      <c r="J60" s="3124"/>
      <c r="K60" s="3122"/>
      <c r="L60" s="2492" t="s">
        <v>2231</v>
      </c>
      <c r="M60" s="1762"/>
      <c r="N60" s="2494" t="e">
        <f ca="1">NUMBERSTRING(INT(N59*10000),2)&amp;"元整"</f>
        <v>#VALUE!</v>
      </c>
      <c r="O60" s="2495"/>
    </row>
    <row r="61" spans="1:35" ht="13.5" thickBot="1">
      <c r="A61" s="3069" t="s">
        <v>2235</v>
      </c>
      <c r="B61" s="3069"/>
      <c r="C61" s="3069"/>
      <c r="D61" s="3069"/>
      <c r="E61" s="3069"/>
      <c r="F61" s="2491"/>
      <c r="G61" s="2491"/>
      <c r="H61" s="2499"/>
      <c r="I61" s="137"/>
      <c r="J61" s="1813">
        <f>J59+1</f>
        <v>6</v>
      </c>
      <c r="K61" s="3122" t="s">
        <v>2236</v>
      </c>
      <c r="L61" s="3122"/>
      <c r="M61" s="1765"/>
      <c r="N61" s="1766" t="e">
        <f ca="1">ROUND(N59*10000/'数据-汇总表'!E3,0)</f>
        <v>#VALUE!</v>
      </c>
      <c r="O61" s="2500"/>
    </row>
    <row r="62" spans="1:35" ht="12.75">
      <c r="A62" s="3085" t="s">
        <v>2237</v>
      </c>
      <c r="B62" s="3086"/>
      <c r="C62" s="1805"/>
      <c r="D62" s="1805" t="s">
        <v>2238</v>
      </c>
      <c r="E62" s="192" t="s">
        <v>2239</v>
      </c>
      <c r="F62" s="2491"/>
      <c r="G62" s="2491"/>
      <c r="H62" s="2499"/>
      <c r="I62" s="137"/>
    </row>
    <row r="63" spans="1:35" ht="12.75">
      <c r="A63" s="203" t="s">
        <v>775</v>
      </c>
      <c r="B63" s="193" t="s">
        <v>2240</v>
      </c>
      <c r="C63" s="194">
        <f ca="1">ROUND((C64+C65)/(1+'数据-取费表'!C42),0)</f>
        <v>23758</v>
      </c>
      <c r="D63" s="195"/>
      <c r="E63" s="196"/>
      <c r="F63" s="2491"/>
      <c r="G63" s="2491"/>
      <c r="H63" s="2499"/>
      <c r="I63" s="137"/>
      <c r="J63" s="3147" t="s">
        <v>2241</v>
      </c>
      <c r="K63" s="2501" t="s">
        <v>2242</v>
      </c>
      <c r="L63" s="1753"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24946</v>
      </c>
      <c r="D64" s="200" t="s">
        <v>32</v>
      </c>
      <c r="E64" s="201"/>
      <c r="F64" s="2491"/>
      <c r="G64" s="2491"/>
      <c r="H64" s="2499"/>
      <c r="I64" s="137"/>
      <c r="J64" s="3147"/>
      <c r="K64" s="2501" t="s">
        <v>2244</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2245</v>
      </c>
      <c r="Z64" s="2425"/>
      <c r="AI64" s="2426"/>
    </row>
    <row r="65" spans="1:35" ht="14.25" customHeight="1">
      <c r="A65" s="197" t="s">
        <v>771</v>
      </c>
      <c r="B65" s="198" t="s">
        <v>2246</v>
      </c>
      <c r="C65" s="202"/>
      <c r="D65" s="200"/>
      <c r="E65" s="201"/>
      <c r="F65" s="2491"/>
      <c r="G65" s="2491"/>
      <c r="H65" s="2499"/>
      <c r="I65" s="137"/>
      <c r="J65" s="3147"/>
      <c r="K65" s="2501" t="s">
        <v>2247</v>
      </c>
      <c r="L65" s="1753" t="e">
        <f>IF(M49&gt;1000,M49*0.1%,IF(AND(M49&gt;500,M49&lt;=1000),M49*0.5%,IF(AND(M49&gt;50,M49&lt;=500),M49*1%,IF(AND(M49&gt;1,M49&lt;=50),M49*1.5%))))</f>
        <v>#VALUE!</v>
      </c>
      <c r="M65" s="24" t="e">
        <f t="shared" si="1"/>
        <v>#VALUE!</v>
      </c>
      <c r="N65" s="137" t="s">
        <v>2245</v>
      </c>
      <c r="Z65" s="2425"/>
      <c r="AI65" s="2426"/>
    </row>
    <row r="66" spans="1:35" ht="14.25" customHeight="1">
      <c r="A66" s="203" t="s">
        <v>772</v>
      </c>
      <c r="B66" s="204" t="s">
        <v>2248</v>
      </c>
      <c r="C66" s="205"/>
      <c r="D66" s="206" t="s">
        <v>32</v>
      </c>
      <c r="E66" s="1777" t="s">
        <v>1372</v>
      </c>
      <c r="F66" s="2491"/>
      <c r="G66" s="2491"/>
      <c r="H66" s="2499"/>
      <c r="I66" s="137"/>
      <c r="J66" s="3147"/>
      <c r="K66" s="2501" t="s">
        <v>2249</v>
      </c>
      <c r="L66" s="1753" t="e">
        <f>M49*0.5%</f>
        <v>#VALUE!</v>
      </c>
      <c r="M66" s="24" t="e">
        <f>IF(L66&gt;0.5,0.5,ROUND(L66,0))</f>
        <v>#VALUE!</v>
      </c>
      <c r="N66" s="137" t="s">
        <v>2250</v>
      </c>
      <c r="Z66" s="2425"/>
      <c r="AI66" s="2426"/>
    </row>
    <row r="67" spans="1:35" ht="14.25" customHeight="1">
      <c r="A67" s="203" t="s">
        <v>773</v>
      </c>
      <c r="B67" s="204" t="s">
        <v>2251</v>
      </c>
      <c r="C67" s="207">
        <f ca="1">C63-C66</f>
        <v>23758</v>
      </c>
      <c r="D67" s="200" t="s">
        <v>32</v>
      </c>
      <c r="E67" s="201"/>
      <c r="F67" s="2491"/>
      <c r="G67" s="2491"/>
      <c r="H67" s="2499"/>
      <c r="I67" s="137"/>
      <c r="J67" s="3147"/>
      <c r="K67" s="2501" t="s">
        <v>2252</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1307</v>
      </c>
      <c r="D68" s="211">
        <f>'数据-取费表'!B41</f>
        <v>5.5000000000000007E-2</v>
      </c>
      <c r="E68" s="212"/>
      <c r="F68" s="2491"/>
      <c r="G68" s="2491"/>
      <c r="H68" s="2499"/>
      <c r="I68" s="137"/>
      <c r="J68" s="3147"/>
      <c r="K68" s="2501" t="s">
        <v>2254</v>
      </c>
      <c r="L68" s="1753"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9"/>
      <c r="G69" s="2169"/>
      <c r="H69" s="2168"/>
      <c r="I69" s="2420"/>
      <c r="J69" s="3147"/>
      <c r="K69" s="2501" t="s">
        <v>2255</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6" t="s">
        <v>2256</v>
      </c>
      <c r="B70" s="3107"/>
      <c r="C70" s="3107"/>
      <c r="D70" s="3107"/>
      <c r="E70" s="3107"/>
      <c r="F70" s="3107"/>
      <c r="G70" s="3107"/>
      <c r="H70" s="310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5" t="s">
        <v>2237</v>
      </c>
      <c r="B71" s="3086"/>
      <c r="C71" s="1805"/>
      <c r="D71" s="1805"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23758</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119</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80" t="s">
        <v>2265</v>
      </c>
      <c r="F76" s="3057"/>
      <c r="G76" s="3057"/>
      <c r="H76" s="310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119</v>
      </c>
      <c r="D78" s="226">
        <f>'数据-取费表'!B43</f>
        <v>5.000000000000001E-3</v>
      </c>
      <c r="E78" s="3066" t="s">
        <v>2270</v>
      </c>
      <c r="F78" s="3067"/>
      <c r="G78" s="3067"/>
      <c r="H78" s="307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23639</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198.64705882352942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14142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6" t="s">
        <v>2274</v>
      </c>
      <c r="B83" s="3107"/>
      <c r="C83" s="3107"/>
      <c r="D83" s="3107"/>
      <c r="E83" s="3107"/>
      <c r="F83" s="3107"/>
      <c r="G83" s="3107"/>
      <c r="H83" s="310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5" t="s">
        <v>2237</v>
      </c>
      <c r="B84" s="3086"/>
      <c r="C84" s="1805"/>
      <c r="D84" s="1805"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23758</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119</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801"/>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66" t="s">
        <v>2283</v>
      </c>
      <c r="F91" s="3067"/>
      <c r="G91" s="3067"/>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66" t="s">
        <v>2287</v>
      </c>
      <c r="F92" s="3067"/>
      <c r="G92" s="3067"/>
      <c r="H92" s="307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119</v>
      </c>
      <c r="D93" s="226">
        <f>'数据-取费表'!B43</f>
        <v>5.000000000000001E-3</v>
      </c>
      <c r="E93" s="3066" t="s">
        <v>2270</v>
      </c>
      <c r="F93" s="3067"/>
      <c r="G93" s="3067"/>
      <c r="H93" s="307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77" t="s">
        <v>2291</v>
      </c>
      <c r="F94" s="3078"/>
      <c r="G94" s="3078"/>
      <c r="H94" s="307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23639</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198.64705882352942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14142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7"/>
    </row>
    <row r="99" spans="1:35" ht="21.75" customHeight="1" thickBot="1">
      <c r="A99" s="2476" t="s">
        <v>2292</v>
      </c>
      <c r="B99" s="2420"/>
      <c r="C99" s="2420"/>
      <c r="D99" s="2420"/>
      <c r="E99" s="2169"/>
      <c r="F99" s="2169"/>
      <c r="G99" s="2169"/>
      <c r="H99" s="2168"/>
      <c r="I99" s="137"/>
    </row>
    <row r="100" spans="1:35" ht="18.75" customHeight="1">
      <c r="A100" s="3051" t="s">
        <v>2293</v>
      </c>
      <c r="B100" s="3052"/>
      <c r="C100" s="3052"/>
      <c r="D100" s="3068"/>
      <c r="E100" s="3052" t="s">
        <v>2294</v>
      </c>
      <c r="F100" s="3052"/>
      <c r="G100" s="3052"/>
      <c r="H100" s="3068"/>
      <c r="I100" s="137"/>
    </row>
    <row r="101" spans="1:35" ht="18.75" customHeight="1">
      <c r="A101" s="3130" t="s">
        <v>2295</v>
      </c>
      <c r="B101" s="3131"/>
      <c r="C101" s="736" t="str">
        <f>C4</f>
        <v>成本法</v>
      </c>
      <c r="D101" s="737" t="str">
        <f>D4</f>
        <v>收益法工业</v>
      </c>
      <c r="E101" s="3144" t="s">
        <v>2296</v>
      </c>
      <c r="F101" s="3098"/>
      <c r="G101" s="2522" t="s">
        <v>2297</v>
      </c>
      <c r="H101" s="1048">
        <f ca="1">H118</f>
        <v>24946</v>
      </c>
      <c r="I101" s="137"/>
    </row>
    <row r="102" spans="1:35" ht="18.75" customHeight="1">
      <c r="A102" s="3100" t="s">
        <v>2298</v>
      </c>
      <c r="B102" s="2522" t="s">
        <v>2297</v>
      </c>
      <c r="C102" s="736">
        <f ca="1">C19</f>
        <v>23704</v>
      </c>
      <c r="D102" s="737">
        <f ca="1">D19</f>
        <v>26188</v>
      </c>
      <c r="E102" s="3144"/>
      <c r="F102" s="3098"/>
      <c r="G102" s="2522" t="s">
        <v>2299</v>
      </c>
      <c r="H102" s="371">
        <f ca="1">I118</f>
        <v>8634</v>
      </c>
      <c r="I102" s="137"/>
    </row>
    <row r="103" spans="1:35" ht="42.75" customHeight="1">
      <c r="A103" s="3100"/>
      <c r="B103" s="2522" t="s">
        <v>2299</v>
      </c>
      <c r="C103" s="738">
        <f ca="1">C20</f>
        <v>8204</v>
      </c>
      <c r="D103" s="739">
        <f ca="1">D20</f>
        <v>9190</v>
      </c>
      <c r="E103" s="3139" t="s">
        <v>2300</v>
      </c>
      <c r="F103" s="3140"/>
      <c r="G103" s="2523" t="s">
        <v>2301</v>
      </c>
      <c r="H103" s="1048">
        <f>IF(D36="正常操作",H104+H105+H106,H105+H106)</f>
        <v>0</v>
      </c>
      <c r="I103" s="137"/>
    </row>
    <row r="104" spans="1:35" ht="18.75" customHeight="1">
      <c r="A104" s="3100" t="s">
        <v>2302</v>
      </c>
      <c r="B104" s="2524" t="s">
        <v>2297</v>
      </c>
      <c r="C104" s="740">
        <f ca="1">H118</f>
        <v>24946</v>
      </c>
      <c r="D104" s="741"/>
      <c r="E104" s="2270" t="s">
        <v>2303</v>
      </c>
      <c r="F104" s="2261"/>
      <c r="G104" s="2523" t="s">
        <v>2301</v>
      </c>
      <c r="H104" s="1049">
        <f>IF(D36="同一抵押权人同一抵押物续贷",C36&amp;"（未扣减，详见特别提示）",C36)</f>
        <v>0</v>
      </c>
      <c r="I104" s="137"/>
    </row>
    <row r="105" spans="1:35" ht="18.75" customHeight="1" thickBot="1">
      <c r="A105" s="3101"/>
      <c r="B105" s="2525" t="s">
        <v>2299</v>
      </c>
      <c r="C105" s="742">
        <f ca="1">I118</f>
        <v>8634</v>
      </c>
      <c r="D105" s="743"/>
      <c r="E105" s="2270" t="s">
        <v>2304</v>
      </c>
      <c r="F105" s="2261"/>
      <c r="G105" s="2523" t="s">
        <v>2301</v>
      </c>
      <c r="H105" s="1049">
        <f>C37</f>
        <v>0</v>
      </c>
      <c r="I105" s="137"/>
    </row>
    <row r="106" spans="1:35" ht="18.75" customHeight="1">
      <c r="A106" s="2420" t="s">
        <v>2305</v>
      </c>
      <c r="B106" s="2420"/>
      <c r="C106" s="2420"/>
      <c r="D106" s="2420"/>
      <c r="E106" s="2526" t="s">
        <v>2306</v>
      </c>
      <c r="F106" s="2261"/>
      <c r="G106" s="2523" t="s">
        <v>2301</v>
      </c>
      <c r="H106" s="1049">
        <f>C38</f>
        <v>0</v>
      </c>
      <c r="I106" s="137"/>
    </row>
    <row r="107" spans="1:35" ht="18.75" customHeight="1">
      <c r="A107" s="137"/>
      <c r="B107" s="137"/>
      <c r="C107" s="137"/>
      <c r="D107" s="137"/>
      <c r="E107" s="3097" t="str">
        <f>IF(项目基本情况!E8="已注销","——","3.房地产抵押价值")</f>
        <v>3.房地产抵押价值</v>
      </c>
      <c r="F107" s="3098"/>
      <c r="G107" s="2522" t="s">
        <v>2297</v>
      </c>
      <c r="H107" s="1048">
        <f ca="1">IF(E107="——","——",H101-H103)</f>
        <v>24946</v>
      </c>
      <c r="I107" s="137"/>
    </row>
    <row r="108" spans="1:35" ht="18.75" customHeight="1">
      <c r="A108" s="137"/>
      <c r="B108" s="137"/>
      <c r="C108" s="137"/>
      <c r="D108" s="137"/>
      <c r="E108" s="3097"/>
      <c r="F108" s="3098"/>
      <c r="G108" s="2522" t="s">
        <v>2299</v>
      </c>
      <c r="H108" s="371">
        <f ca="1">ROUND(H107*10000/'数据-汇总表'!E3,0)</f>
        <v>8634</v>
      </c>
      <c r="I108" s="137"/>
    </row>
    <row r="109" spans="1:35" ht="18.75" customHeight="1">
      <c r="A109" s="137"/>
      <c r="B109" s="137"/>
      <c r="C109" s="137"/>
      <c r="D109" s="137"/>
      <c r="E109" s="3097" t="str">
        <f>IF(项目基本情况!E8="已注销及未注销","4.抵押担保权已注销时的房地产抵押价值",IF(项目基本情况!E8="已注销","3.抵押担保权已注销时的房地产抵押价值","——"))</f>
        <v>——</v>
      </c>
      <c r="F109" s="3098"/>
      <c r="G109" s="2522" t="s">
        <v>2297</v>
      </c>
      <c r="H109" s="348" t="str">
        <f>IF(E109="——","——",H101-H105-H106)</f>
        <v>——</v>
      </c>
      <c r="I109" s="137"/>
    </row>
    <row r="110" spans="1:35" ht="18.75" customHeight="1">
      <c r="A110" s="137"/>
      <c r="B110" s="137"/>
      <c r="C110" s="137"/>
      <c r="D110" s="137"/>
      <c r="E110" s="3097"/>
      <c r="F110" s="3098"/>
      <c r="G110" s="2522" t="s">
        <v>2299</v>
      </c>
      <c r="H110" s="371" t="str">
        <f>IF(H109="——","——",ROUND(H109*10000/'数据-汇总表'!E3,0))</f>
        <v>——</v>
      </c>
      <c r="I110" s="137"/>
    </row>
    <row r="111" spans="1:35" ht="18.75" customHeight="1">
      <c r="A111" s="137"/>
      <c r="B111" s="137"/>
      <c r="C111" s="137"/>
      <c r="D111" s="137"/>
      <c r="E111" s="3132" t="str">
        <f>IF(项目基本情况!E9="抵押净值",IF(OR(项目基本情况!E8="已注销",项目基本情况!E8="房地产抵押价值"),"4.抵押净值","5.抵押净值"),"——")</f>
        <v>——</v>
      </c>
      <c r="F111" s="3133"/>
      <c r="G111" s="2522" t="s">
        <v>2297</v>
      </c>
      <c r="H111" s="1048" t="str">
        <f>IF(E111="——","——",N59)</f>
        <v>——</v>
      </c>
      <c r="I111" s="137"/>
    </row>
    <row r="112" spans="1:35" ht="18.75" customHeight="1" thickBot="1">
      <c r="A112" s="137"/>
      <c r="B112" s="137"/>
      <c r="C112" s="137"/>
      <c r="D112" s="137"/>
      <c r="E112" s="3134"/>
      <c r="F112" s="3135"/>
      <c r="G112" s="2527" t="s">
        <v>2299</v>
      </c>
      <c r="H112" s="790" t="str">
        <f>IF(E111="——","——",N61)</f>
        <v>——</v>
      </c>
      <c r="I112" s="137"/>
    </row>
    <row r="113" spans="1:11" ht="18.75" customHeight="1">
      <c r="A113" s="137"/>
      <c r="B113" s="137"/>
      <c r="C113" s="137"/>
      <c r="D113" s="137"/>
      <c r="E113" s="3102" t="s">
        <v>2305</v>
      </c>
      <c r="F113" s="3102"/>
      <c r="G113" s="3102"/>
      <c r="H113" s="3102"/>
      <c r="I113" s="137"/>
    </row>
    <row r="114" spans="1:11" ht="3.75" customHeight="1">
      <c r="A114" s="2420"/>
      <c r="B114" s="2420"/>
      <c r="C114" s="2420"/>
      <c r="D114" s="2420"/>
      <c r="E114" s="2498"/>
      <c r="F114" s="2498"/>
      <c r="G114" s="2498"/>
      <c r="H114" s="2498"/>
      <c r="I114" s="2420"/>
    </row>
    <row r="115" spans="1:11" ht="18.75" customHeight="1">
      <c r="A115" s="3115" t="s">
        <v>2307</v>
      </c>
      <c r="B115" s="3116"/>
      <c r="C115" s="3116"/>
      <c r="D115" s="3116"/>
      <c r="E115" s="3116"/>
      <c r="F115" s="3116"/>
      <c r="G115" s="3116"/>
      <c r="H115" s="3116"/>
      <c r="I115" s="3117"/>
    </row>
    <row r="116" spans="1:11" ht="27" customHeight="1">
      <c r="A116" s="3008" t="s">
        <v>2308</v>
      </c>
      <c r="B116" s="3103" t="s">
        <v>2309</v>
      </c>
      <c r="C116" s="3103" t="s">
        <v>2310</v>
      </c>
      <c r="D116" s="3119" t="s">
        <v>2311</v>
      </c>
      <c r="E116" s="3120"/>
      <c r="F116" s="3111" t="s">
        <v>3085</v>
      </c>
      <c r="G116" s="3111"/>
      <c r="H116" s="3008" t="s">
        <v>2312</v>
      </c>
      <c r="I116" s="3008"/>
    </row>
    <row r="117" spans="1:11" ht="18.75" customHeight="1">
      <c r="A117" s="3008"/>
      <c r="B117" s="3104"/>
      <c r="C117" s="3104"/>
      <c r="D117" s="1799" t="s">
        <v>2313</v>
      </c>
      <c r="E117" s="1799" t="s">
        <v>2314</v>
      </c>
      <c r="F117" s="1799" t="s">
        <v>2313</v>
      </c>
      <c r="G117" s="1799" t="s">
        <v>2315</v>
      </c>
      <c r="H117" s="1799" t="s">
        <v>2313</v>
      </c>
      <c r="I117" s="1799" t="s">
        <v>2315</v>
      </c>
    </row>
    <row r="118" spans="1:11" ht="24.75" customHeight="1">
      <c r="A118" s="2528" t="str">
        <f>项目基本情况!S2</f>
        <v>北京市北京经济技术开发区景园街12号房地产</v>
      </c>
      <c r="B118" s="1799">
        <f>M18</f>
        <v>28894.02</v>
      </c>
      <c r="C118" s="1799">
        <f>M19</f>
        <v>66147</v>
      </c>
      <c r="D118" s="1799">
        <f ca="1">ROUND(IF(D32="总价",C34,E118*B118/10000),0)</f>
        <v>17637</v>
      </c>
      <c r="E118" s="1799">
        <f ca="1">ROUND(IF(C33="自定义",IF(D32="楼面单价",C34,D118*10000/B118),I118-G118),0)</f>
        <v>6104</v>
      </c>
      <c r="F118" s="1799">
        <f ca="1">ROUND(IF(D32="总价",C35,G118*B118/10000),0)</f>
        <v>7309</v>
      </c>
      <c r="G118" s="1799">
        <f ca="1">ROUND(IF(D32="楼面单价",C35,F118*10000/B118),0)</f>
        <v>2530</v>
      </c>
      <c r="H118" s="1799">
        <f ca="1">ROUND(IF(D32="总价",C32,I118*B118/10000),0)</f>
        <v>24946</v>
      </c>
      <c r="I118" s="1799">
        <f ca="1">ROUND(IF(D32="楼面单价",C32,H118*10000/B118),0)</f>
        <v>8634</v>
      </c>
    </row>
    <row r="119" spans="1:11" ht="18.75" customHeight="1">
      <c r="A119" s="3008" t="s">
        <v>2316</v>
      </c>
      <c r="B119" s="3008"/>
      <c r="C119" s="3008"/>
      <c r="D119" s="3108" t="str">
        <f ca="1">NUMBERSTRING(INT(D118*10000),2)&amp;"元整"</f>
        <v>壹亿柒仟陆佰叁拾柒万元整</v>
      </c>
      <c r="E119" s="3110"/>
      <c r="F119" s="3108" t="str">
        <f ca="1">NUMBERSTRING(INT(F118*10000),2)&amp;"元整"</f>
        <v>柒仟叁佰零玖万元整</v>
      </c>
      <c r="G119" s="3110"/>
      <c r="H119" s="3108" t="str">
        <f ca="1">NUMBERSTRING(INT(H118*10000),2)&amp;"元整"</f>
        <v>贰亿肆仟玖佰肆拾陆万元整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5" t="str">
        <f>IF(D120=0,"故，本次评估不存在"&amp;A120,"故，本次评估"&amp;A120&amp;"为人民币"&amp;D120&amp;"万元整。")</f>
        <v>故，本次评估不存在</v>
      </c>
    </row>
    <row r="121" spans="1:11" ht="18.75" customHeight="1">
      <c r="A121" s="3112" t="s">
        <v>2316</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24946</v>
      </c>
      <c r="E122" s="3137"/>
      <c r="F122" s="3137"/>
      <c r="G122" s="3137"/>
      <c r="H122" s="3137"/>
      <c r="I122" s="3138"/>
    </row>
    <row r="123" spans="1:11" ht="18.75" customHeight="1">
      <c r="A123" s="3008" t="s">
        <v>2316</v>
      </c>
      <c r="B123" s="3008"/>
      <c r="C123" s="3008"/>
      <c r="D123" s="3108" t="str">
        <f ca="1">NUMBERSTRING(INT(D122*10000),2)&amp;"元整"</f>
        <v>贰亿肆仟玖佰肆拾陆万元整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2316</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2316</v>
      </c>
      <c r="B127" s="3008"/>
      <c r="C127" s="3008"/>
      <c r="D127" s="3108" t="e">
        <f>NUMBERSTRING(INT(D126*10000),2)&amp;"元整"</f>
        <v>#VALUE!</v>
      </c>
      <c r="E127" s="3109"/>
      <c r="F127" s="3109"/>
      <c r="G127" s="3109"/>
      <c r="H127" s="3109"/>
      <c r="I127" s="3110"/>
    </row>
    <row r="128" spans="1:11" ht="21.75" customHeight="1">
      <c r="A128" s="3118" t="s">
        <v>2317</v>
      </c>
      <c r="B128" s="3118"/>
      <c r="C128" s="3118"/>
      <c r="D128" s="3118"/>
      <c r="E128" s="3118"/>
      <c r="F128" s="3118"/>
      <c r="G128" s="3118"/>
      <c r="H128" s="3118"/>
      <c r="I128" s="3118"/>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4"/>
      <c r="G142" s="795"/>
      <c r="H142" s="795"/>
      <c r="I142" s="795"/>
    </row>
    <row r="143" spans="1:35" s="138"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1"/>
      <c r="C1" s="242"/>
      <c r="D1" s="242"/>
      <c r="E1" s="242"/>
      <c r="F1" s="242"/>
      <c r="G1" s="1382">
        <f>MATCH(B1,'数据-取费表'!A6:A16,0)+5</f>
        <v>7</v>
      </c>
    </row>
    <row r="2" spans="1:9" s="244" customFormat="1" ht="18" customHeight="1">
      <c r="A2" s="245" t="s">
        <v>2326</v>
      </c>
      <c r="B2" s="246">
        <f ca="1">IF(D2="——",C52,C52-E2)</f>
        <v>23704</v>
      </c>
      <c r="C2" s="243" t="s">
        <v>2327</v>
      </c>
      <c r="D2" s="2551" t="s">
        <v>3098</v>
      </c>
      <c r="E2" s="2952">
        <f ca="1">收益法工业!C46</f>
        <v>2147</v>
      </c>
      <c r="F2" s="2552" t="s">
        <v>2327</v>
      </c>
      <c r="G2" s="2553" t="s">
        <v>3112</v>
      </c>
    </row>
    <row r="3" spans="1:9" s="244" customFormat="1" ht="18" customHeight="1" thickBot="1">
      <c r="A3" s="247" t="s">
        <v>2328</v>
      </c>
      <c r="B3" s="248">
        <f ca="1">ROUND(B2*10000/(IF(B1="",'数据-汇总表'!E3,INDIRECT("'数据-取费表'!k"&amp;$G$1))),0)</f>
        <v>8204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13549</v>
      </c>
      <c r="D5" s="255" t="s">
        <v>2333</v>
      </c>
      <c r="E5" s="256" t="s">
        <v>2334</v>
      </c>
      <c r="F5" s="256" t="s">
        <v>2335</v>
      </c>
      <c r="G5" s="257"/>
    </row>
    <row r="6" spans="1:9" s="258" customFormat="1" ht="13.5" customHeight="1">
      <c r="A6" s="952" t="s">
        <v>2336</v>
      </c>
      <c r="B6" s="259" t="s">
        <v>2337</v>
      </c>
      <c r="C6" s="260">
        <f ca="1">基准地价修正!B2</f>
        <v>12615</v>
      </c>
      <c r="D6" s="261"/>
      <c r="E6" s="262"/>
      <c r="F6" s="262"/>
      <c r="G6" s="263"/>
    </row>
    <row r="7" spans="1:9" s="258" customFormat="1" ht="13.5" customHeight="1">
      <c r="A7" s="952" t="s">
        <v>2338</v>
      </c>
      <c r="B7" s="259" t="s">
        <v>2339</v>
      </c>
      <c r="C7" s="264">
        <f ca="1">ROUND(C6*F7,0)</f>
        <v>385</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549</v>
      </c>
      <c r="D8" s="266"/>
      <c r="E8" s="264"/>
      <c r="F8" s="265"/>
      <c r="G8" s="2554" t="s">
        <v>3074</v>
      </c>
    </row>
    <row r="9" spans="1:9" s="258" customFormat="1" ht="13.5" customHeight="1">
      <c r="A9" s="953" t="s">
        <v>800</v>
      </c>
      <c r="B9" s="268" t="s">
        <v>2342</v>
      </c>
      <c r="C9" s="269">
        <f ca="1">ROUND(D9*E9/10000,0)</f>
        <v>0</v>
      </c>
      <c r="D9" s="1035">
        <f ca="1">IF(B1="",'数据-汇总表'!E5,IF(INDIRECT("'数据-取费表'!c"&amp;$G$1)="住宅",INDIRECT("'数据-取费表'!k"&amp;$G$1),0))</f>
        <v>0</v>
      </c>
      <c r="E9" s="269">
        <f>'[1]数据-取费表'!B27</f>
        <v>150</v>
      </c>
      <c r="F9" s="265"/>
      <c r="G9" s="2555" t="s">
        <v>3075</v>
      </c>
      <c r="H9" s="1393"/>
      <c r="I9" s="2556" t="s">
        <v>2343</v>
      </c>
    </row>
    <row r="10" spans="1:9" s="258" customFormat="1" ht="13.5" customHeight="1">
      <c r="A10" s="953" t="s">
        <v>801</v>
      </c>
      <c r="B10" s="268" t="s">
        <v>2344</v>
      </c>
      <c r="C10" s="269">
        <f ca="1">ROUND(D10*E10/10000,0)</f>
        <v>549</v>
      </c>
      <c r="D10" s="1035">
        <f ca="1">IF(B1="",'数据-汇总表'!E6,IF(INDIRECT("'数据-取费表'!c"&amp;$G$1)="住宅",INDIRECT("'数据-取费表'!s"&amp;$G$1),INDIRECT("'数据-取费表'!k"&amp;$G$1)+INDIRECT("'数据-取费表'!s"&amp;$G$1)))</f>
        <v>28894.02</v>
      </c>
      <c r="E10" s="269">
        <f>'[1]数据-取费表'!B28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28894.02</v>
      </c>
      <c r="E19" s="255">
        <f>'数据-取费表'!B31</f>
        <v>200</v>
      </c>
      <c r="F19" s="275"/>
      <c r="G19" s="2554" t="s">
        <v>3102</v>
      </c>
    </row>
    <row r="20" spans="1:7" s="258" customFormat="1" ht="13.5" customHeight="1">
      <c r="A20" s="299" t="s">
        <v>2357</v>
      </c>
      <c r="B20" s="254" t="s">
        <v>2358</v>
      </c>
      <c r="C20" s="276">
        <f ca="1">ROUND((C5+C19)*F20,0)</f>
        <v>271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987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977</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2073</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2073</v>
      </c>
      <c r="D28" s="279"/>
      <c r="E28" s="280"/>
      <c r="F28" s="290"/>
      <c r="G28" s="291"/>
    </row>
    <row r="29" spans="1:7" s="258" customFormat="1" ht="13.5" customHeight="1">
      <c r="A29" s="954"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18270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7352</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6483</v>
      </c>
      <c r="D34" s="261"/>
      <c r="E34" s="264"/>
      <c r="F34" s="301">
        <f ca="1">IF('数据-取费表'!B24=0,1,IF(B1="",'数据-取费表'!N16,INDIRECT("'数据-取费表'!n"&amp;$G$1)))</f>
        <v>1</v>
      </c>
      <c r="G34" s="263" t="s">
        <v>2390</v>
      </c>
    </row>
    <row r="35" spans="1:7" ht="13.5" customHeight="1">
      <c r="A35" s="954" t="s">
        <v>796</v>
      </c>
      <c r="B35" s="259" t="s">
        <v>2391</v>
      </c>
      <c r="C35" s="264">
        <f ca="1">ROUND(C34*F35,0)</f>
        <v>194</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578</v>
      </c>
      <c r="D37" s="261">
        <f ca="1">D19</f>
        <v>28894.02</v>
      </c>
      <c r="E37" s="293">
        <f>'数据-取费表'!B35</f>
        <v>200</v>
      </c>
      <c r="F37" s="303"/>
      <c r="G37" s="305" t="s">
        <v>2396</v>
      </c>
    </row>
    <row r="38" spans="1:7" ht="13.5" customHeight="1">
      <c r="A38" s="954" t="s">
        <v>799</v>
      </c>
      <c r="B38" s="259" t="s">
        <v>2397</v>
      </c>
      <c r="C38" s="264">
        <f ca="1">ROUND(C34*F38,0)</f>
        <v>97</v>
      </c>
      <c r="D38" s="264"/>
      <c r="E38" s="264"/>
      <c r="F38" s="303">
        <f>'数据-取费表'!B36</f>
        <v>1.4999999999999999E-2</v>
      </c>
      <c r="G38" s="263" t="s">
        <v>2392</v>
      </c>
    </row>
    <row r="39" spans="1:7" s="258" customFormat="1" ht="13.5" customHeight="1">
      <c r="A39" s="299" t="s">
        <v>2398</v>
      </c>
      <c r="B39" s="254" t="s">
        <v>2399</v>
      </c>
      <c r="C39" s="276">
        <f ca="1">ROUND(C33*F20,0)</f>
        <v>147</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265</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260</v>
      </c>
      <c r="D42" s="282"/>
      <c r="E42" s="282"/>
      <c r="F42" s="283"/>
      <c r="G42" s="3150" t="s">
        <v>2408</v>
      </c>
    </row>
    <row r="43" spans="1:7" ht="13.5" customHeight="1">
      <c r="A43" s="954" t="s">
        <v>792</v>
      </c>
      <c r="B43" s="259" t="s">
        <v>2409</v>
      </c>
      <c r="C43" s="282">
        <f ca="1">ROUND(IF('数据-取费表'!B22&lt;=1,C39*F22*'数据-取费表'!B21/2,C39*(POWER((1+F22),'数据-取费表'!B21/2)-1)),0)</f>
        <v>5</v>
      </c>
      <c r="D43" s="282"/>
      <c r="E43" s="282"/>
      <c r="F43" s="283"/>
      <c r="G43" s="3151"/>
    </row>
    <row r="44" spans="1:7" ht="13.5" customHeight="1">
      <c r="A44" s="954" t="s">
        <v>793</v>
      </c>
      <c r="B44" s="259" t="s">
        <v>2410</v>
      </c>
      <c r="C44" s="282">
        <f ca="1">ROUND(IF('数据-取费表'!B22&lt;=1,C40*F22*'数据-取费表'!B21/2,C40*(POWER((1+F22),'数据-取费表'!B21/2)-1)),4)</f>
        <v>6.9999999999999999E-4</v>
      </c>
      <c r="D44" s="282"/>
      <c r="E44" s="282"/>
      <c r="F44" s="283"/>
      <c r="G44" s="3152"/>
    </row>
    <row r="45" spans="1:7" s="258" customFormat="1" ht="13.5" customHeight="1">
      <c r="A45" s="299" t="s">
        <v>2411</v>
      </c>
      <c r="B45" s="288" t="s">
        <v>2377</v>
      </c>
      <c r="C45" s="289">
        <f ca="1">C46</f>
        <v>1125</v>
      </c>
      <c r="D45" s="279">
        <f ca="1">C47</f>
        <v>3.0000000000000001E-3</v>
      </c>
      <c r="E45" s="280" t="s">
        <v>2403</v>
      </c>
      <c r="F45" s="290"/>
      <c r="G45" s="291" t="s">
        <v>2412</v>
      </c>
    </row>
    <row r="46" spans="1:7" s="258" customFormat="1" ht="13.5" customHeight="1">
      <c r="A46" s="954" t="s">
        <v>791</v>
      </c>
      <c r="B46" s="292" t="s">
        <v>2413</v>
      </c>
      <c r="C46" s="293">
        <f ca="1">ROUND((C33+C39)*F27,0)</f>
        <v>1125</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2">
        <f>ROUND(F30/(1+'数据-取费表'!C42),4)</f>
        <v>5.2400000000000002E-2</v>
      </c>
      <c r="D48" s="280" t="s">
        <v>2403</v>
      </c>
      <c r="E48" s="276"/>
      <c r="F48" s="281"/>
      <c r="G48" s="278" t="s">
        <v>2416</v>
      </c>
    </row>
    <row r="49" spans="1:7" ht="16.5" customHeight="1">
      <c r="A49" s="299" t="s">
        <v>2382</v>
      </c>
      <c r="B49" s="254" t="s">
        <v>2417</v>
      </c>
      <c r="C49" s="276">
        <f ca="1">ROUND((C33+C39+C41+C45)/(1-C40-D41-D45-C48),0)</f>
        <v>9621</v>
      </c>
      <c r="D49" s="276"/>
      <c r="E49" s="276"/>
      <c r="F49" s="308"/>
      <c r="G49" s="278" t="s">
        <v>2418</v>
      </c>
    </row>
    <row r="50" spans="1:7" s="302" customFormat="1" ht="24">
      <c r="A50" s="299" t="s">
        <v>2419</v>
      </c>
      <c r="B50" s="254" t="s">
        <v>2420</v>
      </c>
      <c r="C50" s="276"/>
      <c r="D50" s="276"/>
      <c r="E50" s="276"/>
      <c r="F50" s="308">
        <f>IF('数据-取费表'!B24=0,'数据-取费表'!N16,1)</f>
        <v>0.78800000000000003</v>
      </c>
      <c r="G50" s="291" t="s">
        <v>2421</v>
      </c>
    </row>
    <row r="51" spans="1:7" ht="16.5" customHeight="1">
      <c r="A51" s="299" t="s">
        <v>2422</v>
      </c>
      <c r="B51" s="254" t="s">
        <v>2423</v>
      </c>
      <c r="C51" s="276">
        <f ca="1">ROUND(C49*F50,0)</f>
        <v>7581</v>
      </c>
      <c r="D51" s="276"/>
      <c r="E51" s="276"/>
      <c r="F51" s="308"/>
      <c r="G51" s="278" t="s">
        <v>2424</v>
      </c>
    </row>
    <row r="52" spans="1:7" s="252" customFormat="1" ht="16.5" thickBot="1">
      <c r="A52" s="309" t="s">
        <v>2425</v>
      </c>
      <c r="B52" s="310"/>
      <c r="C52" s="311">
        <f ca="1">C31+C51</f>
        <v>25851</v>
      </c>
      <c r="D52" s="310"/>
      <c r="E52" s="310"/>
      <c r="F52" s="310"/>
      <c r="G52" s="312"/>
    </row>
    <row r="55" spans="1:7" ht="15">
      <c r="B55" s="314" t="s">
        <v>2426</v>
      </c>
      <c r="C55" s="315"/>
    </row>
    <row r="56" spans="1:7">
      <c r="B56" s="317" t="s">
        <v>1514</v>
      </c>
      <c r="C56" s="319">
        <f ca="1">1-C57</f>
        <v>0.70700000000000007</v>
      </c>
    </row>
    <row r="57" spans="1:7">
      <c r="B57" s="317" t="s">
        <v>1515</v>
      </c>
      <c r="C57" s="318">
        <f ca="1">ROUND(C51/C52,3)</f>
        <v>0.29299999999999998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北京市北京经济技术开发区景园街12号房地产市场价值预评估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1"/>
      <c r="C1" s="2557"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9102</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3150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5489864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5489864</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'[1]数据-取费表'!B27</f>
        <v>150</v>
      </c>
      <c r="F9" s="265"/>
      <c r="G9" s="270"/>
    </row>
    <row r="10" spans="1:8" s="258" customFormat="1" ht="13.5" customHeight="1">
      <c r="A10" s="953" t="s">
        <v>801</v>
      </c>
      <c r="B10" s="268" t="s">
        <v>2344</v>
      </c>
      <c r="C10" s="269">
        <f ca="1">ROUND(D10*E10,0)</f>
        <v>5489864</v>
      </c>
      <c r="D10" s="1035">
        <f ca="1">IF(B1="",'数据-汇总表'!E6,IF(INDIRECT("'数据-取费表'!c"&amp;$G$1)="住宅",INDIRECT("'数据-取费表'!s"&amp;$G$1),INDIRECT("'数据-取费表'!k"&amp;$G$1)+INDIRECT("'数据-取费表'!s"&amp;$G$1)))</f>
        <v>28894.02</v>
      </c>
      <c r="E10" s="269">
        <f>'[1]数据-取费表'!B28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5778804</v>
      </c>
      <c r="D19" s="1039">
        <f ca="1">D9+D10</f>
        <v>28894.02</v>
      </c>
      <c r="E19" s="255">
        <f>'数据-取费表'!B31</f>
        <v>200</v>
      </c>
      <c r="F19" s="275"/>
      <c r="G19" s="2554"/>
    </row>
    <row r="20" spans="1:7" s="258" customFormat="1" ht="13.5" customHeight="1">
      <c r="A20" s="299" t="s">
        <v>2438</v>
      </c>
      <c r="B20" s="254" t="s">
        <v>2439</v>
      </c>
      <c r="C20" s="276">
        <f ca="1">ROUND((C5+C19)*F20,0)</f>
        <v>225373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820335</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395762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416591</v>
      </c>
      <c r="D24" s="282"/>
      <c r="E24" s="282"/>
      <c r="F24" s="283"/>
      <c r="G24" s="284" t="s">
        <v>2450</v>
      </c>
    </row>
    <row r="25" spans="1:7" s="258" customFormat="1" ht="24">
      <c r="A25" s="954" t="s">
        <v>2340</v>
      </c>
      <c r="B25" s="259" t="s">
        <v>2451</v>
      </c>
      <c r="C25" s="1384">
        <f ca="1">ROUND(IF('数据-取费表'!B22&lt;=1,C20*F22*'数据-取费表'!B22/2,C20*(POWER((1+F22),'数据-取费表'!B22/2)-1)),0)</f>
        <v>7982</v>
      </c>
      <c r="D25" s="282"/>
      <c r="E25" s="285"/>
      <c r="F25" s="283"/>
      <c r="G25" s="286" t="s">
        <v>2452</v>
      </c>
    </row>
    <row r="26" spans="1:7" s="258" customFormat="1">
      <c r="A26" s="954"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1724106</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1724106</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15194807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73528071</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64831834</v>
      </c>
      <c r="D34" s="261"/>
      <c r="E34" s="264"/>
      <c r="F34" s="301"/>
      <c r="G34" s="263"/>
    </row>
    <row r="35" spans="1:7" ht="13.5" customHeight="1">
      <c r="A35" s="954" t="s">
        <v>796</v>
      </c>
      <c r="B35" s="259" t="s">
        <v>2391</v>
      </c>
      <c r="C35" s="264">
        <f ca="1">ROUND(C34*F35,0)</f>
        <v>1944955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5778804</v>
      </c>
      <c r="D37" s="261">
        <f ca="1">D19</f>
        <v>28894.02</v>
      </c>
      <c r="E37" s="293">
        <f>'数据-取费表'!B35</f>
        <v>200</v>
      </c>
      <c r="F37" s="303"/>
      <c r="G37" s="305"/>
    </row>
    <row r="38" spans="1:7" ht="13.5" customHeight="1">
      <c r="A38" s="954" t="s">
        <v>799</v>
      </c>
      <c r="B38" s="259" t="s">
        <v>2397</v>
      </c>
      <c r="C38" s="264">
        <f ca="1">ROUND(C34*F38,0)</f>
        <v>972478</v>
      </c>
      <c r="D38" s="264"/>
      <c r="E38" s="264"/>
      <c r="F38" s="303">
        <f>'数据-取费表'!B36</f>
        <v>1.4999999999999999E-2</v>
      </c>
      <c r="G38" s="263" t="s">
        <v>2392</v>
      </c>
    </row>
    <row r="39" spans="1:7" s="258" customFormat="1" ht="13.5" customHeight="1">
      <c r="A39" s="299" t="s">
        <v>2398</v>
      </c>
      <c r="B39" s="254" t="s">
        <v>2399</v>
      </c>
      <c r="C39" s="276">
        <f ca="1">ROUND(C33*F20,0)</f>
        <v>1470561</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2656268</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2604184</v>
      </c>
      <c r="D42" s="282"/>
      <c r="E42" s="282"/>
      <c r="F42" s="283"/>
      <c r="G42" s="3150" t="s">
        <v>2455</v>
      </c>
    </row>
    <row r="43" spans="1:7" ht="13.5" customHeight="1">
      <c r="A43" s="954" t="s">
        <v>792</v>
      </c>
      <c r="B43" s="259" t="s">
        <v>2409</v>
      </c>
      <c r="C43" s="282">
        <f ca="1">ROUND(IF('数据-取费表'!B22&lt;=1,C39*F22*'数据-取费表'!B20/2,C39*(POWER((1+F22),'数据-取费表'!B20/2)-1)),0)</f>
        <v>52084</v>
      </c>
      <c r="D43" s="282"/>
      <c r="E43" s="282"/>
      <c r="F43" s="283"/>
      <c r="G43" s="3151"/>
    </row>
    <row r="44" spans="1:7" ht="13.5" customHeight="1">
      <c r="A44" s="954" t="s">
        <v>793</v>
      </c>
      <c r="B44" s="259" t="s">
        <v>2410</v>
      </c>
      <c r="C44" s="282">
        <f ca="1">ROUND(IF('数据-取费表'!B22&lt;=1,C40*F22*'数据-取费表'!B20/2,C40*(POWER((1+F22),'数据-取费表'!B20/2)-1)),4)</f>
        <v>6.9999999999999999E-4</v>
      </c>
      <c r="D44" s="282"/>
      <c r="E44" s="282"/>
      <c r="F44" s="283"/>
      <c r="G44" s="3152"/>
    </row>
    <row r="45" spans="1:7" s="258" customFormat="1" ht="13.5" customHeight="1">
      <c r="A45" s="299" t="s">
        <v>2411</v>
      </c>
      <c r="B45" s="288" t="s">
        <v>2377</v>
      </c>
      <c r="C45" s="289">
        <f ca="1">C46</f>
        <v>11249795</v>
      </c>
      <c r="D45" s="279">
        <f ca="1">C47</f>
        <v>3.0000000000000001E-3</v>
      </c>
      <c r="E45" s="280" t="s">
        <v>2403</v>
      </c>
      <c r="F45" s="290"/>
      <c r="G45" s="291" t="s">
        <v>2412</v>
      </c>
    </row>
    <row r="46" spans="1:7" s="258" customFormat="1" ht="13.5" customHeight="1">
      <c r="A46" s="954" t="s">
        <v>791</v>
      </c>
      <c r="B46" s="292" t="s">
        <v>2413</v>
      </c>
      <c r="C46" s="293">
        <f ca="1">ROUND((C33+C39)*F27,0)</f>
        <v>11249795</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96227617</v>
      </c>
      <c r="D49" s="276"/>
      <c r="E49" s="276"/>
      <c r="F49" s="308"/>
      <c r="G49" s="278" t="s">
        <v>2418</v>
      </c>
    </row>
    <row r="50" spans="1:7" s="302" customFormat="1">
      <c r="A50" s="299" t="s">
        <v>2419</v>
      </c>
      <c r="B50" s="254" t="s">
        <v>2420</v>
      </c>
      <c r="C50" s="276"/>
      <c r="D50" s="276"/>
      <c r="E50" s="276"/>
      <c r="F50" s="308">
        <f>IF('数据-取费表'!B24=0,'数据-取费表'!N16,1)</f>
        <v>0.78800000000000003</v>
      </c>
      <c r="G50" s="291"/>
    </row>
    <row r="51" spans="1:7" ht="16.5" customHeight="1">
      <c r="A51" s="299" t="s">
        <v>2422</v>
      </c>
      <c r="B51" s="254" t="s">
        <v>2457</v>
      </c>
      <c r="C51" s="276">
        <f ca="1">ROUND(C49*F50,0)</f>
        <v>75827362</v>
      </c>
      <c r="D51" s="276"/>
      <c r="E51" s="276"/>
      <c r="F51" s="308"/>
      <c r="G51" s="278" t="s">
        <v>2424</v>
      </c>
    </row>
    <row r="52" spans="1:7" s="252" customFormat="1" ht="16.5" thickBot="1">
      <c r="A52" s="309" t="s">
        <v>2425</v>
      </c>
      <c r="B52" s="310"/>
      <c r="C52" s="311">
        <f ca="1">C31+C51</f>
        <v>91022169</v>
      </c>
      <c r="D52" s="310"/>
      <c r="E52" s="310"/>
      <c r="F52" s="310"/>
      <c r="G52" s="312"/>
    </row>
    <row r="55" spans="1:7" ht="15">
      <c r="B55" s="314" t="s">
        <v>2426</v>
      </c>
      <c r="C55" s="315"/>
    </row>
    <row r="56" spans="1:7">
      <c r="B56" s="317" t="s">
        <v>1514</v>
      </c>
      <c r="C56" s="319">
        <f ca="1">1-C57</f>
        <v>0.16700000000000004</v>
      </c>
    </row>
    <row r="57" spans="1:7">
      <c r="B57" s="317" t="s">
        <v>1515</v>
      </c>
      <c r="C57" s="318">
        <f ca="1">ROUND(C51/C52,3)</f>
        <v>0.83299999999999996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5"/>
      <c r="C1" s="1586"/>
      <c r="D1" s="1584"/>
      <c r="E1" s="320"/>
      <c r="F1" s="320"/>
      <c r="G1" s="158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39"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1335</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2480</v>
      </c>
      <c r="C12" s="24">
        <f ca="1">ROUND(C11*F12,0)</f>
        <v>0</v>
      </c>
      <c r="D12" s="976"/>
      <c r="E12" s="375"/>
      <c r="F12" s="979">
        <f>'数据-取费表'!B33</f>
        <v>0.03</v>
      </c>
      <c r="G12" s="8" t="s">
        <v>2481</v>
      </c>
      <c r="H12" s="971"/>
      <c r="I12" s="971"/>
      <c r="J12" s="971"/>
      <c r="K12" s="972"/>
    </row>
    <row r="13" spans="1:33" s="978" customFormat="1" ht="13.5" customHeight="1">
      <c r="A13" s="974" t="s">
        <v>1337</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1338</v>
      </c>
      <c r="B14" s="975" t="s">
        <v>2484</v>
      </c>
      <c r="C14" s="24">
        <f ca="1">ROUND(D14*E14*F11/10000,0)</f>
        <v>0</v>
      </c>
      <c r="D14" s="1036">
        <f ca="1">IF(C1="",'数据-汇总表'!E3,INDIRECT("'数据-取费表'!K"&amp;$K$1)+INDIRECT("'数据-取费表'!S"&amp;$K$1))</f>
        <v>28894.02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2486</v>
      </c>
      <c r="C15" s="986">
        <f ca="1">ROUND(C11*F15,0)</f>
        <v>0</v>
      </c>
      <c r="D15" s="981"/>
      <c r="E15" s="986"/>
      <c r="F15" s="987">
        <f>'数据-取费表'!B36</f>
        <v>1.4999999999999999E-2</v>
      </c>
      <c r="G15" s="139"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28894.02</v>
      </c>
      <c r="E17" s="24">
        <f>'数据-取费表'!B32</f>
        <v>0</v>
      </c>
      <c r="F17" s="981"/>
      <c r="G17" s="139" t="s">
        <v>2490</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2491</v>
      </c>
      <c r="C18" s="24">
        <f ca="1">C19+C20-IF(C1="",'数据-取费表'!B29,IF(G18="已全部缴纳",C19+C20,H18))</f>
        <v>0</v>
      </c>
      <c r="D18" s="1036"/>
      <c r="E18" s="24"/>
      <c r="F18" s="979"/>
      <c r="G18" s="2560"/>
      <c r="H18" s="1581"/>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'[1]数据-取费表'!B27</f>
        <v>150</v>
      </c>
      <c r="F19" s="979"/>
      <c r="G19" s="15"/>
      <c r="H19" s="1583"/>
      <c r="I19" s="984"/>
      <c r="J19" s="984"/>
      <c r="K19" s="985"/>
    </row>
    <row r="20" spans="1:33" s="978" customFormat="1" ht="13.5" customHeight="1">
      <c r="A20" s="974" t="s">
        <v>806</v>
      </c>
      <c r="B20" s="975" t="s">
        <v>2494</v>
      </c>
      <c r="C20" s="24">
        <f ca="1">ROUND(D20*E20/10000,0)</f>
        <v>549</v>
      </c>
      <c r="D20" s="1036">
        <f ca="1">IF(C1="",'数据-汇总表'!E6,IF(INDIRECT("'数据-取费表'!c"&amp;$K$1)="住宅",INDIRECT("'数据-取费表'!s"&amp;$K$1),INDIRECT("'数据-取费表'!k"&amp;$K$1)+INDIRECT("'数据-取费表'!s"&amp;$K$1)))</f>
        <v>28894.02</v>
      </c>
      <c r="E20" s="24">
        <f>'[1]数据-取费表'!B28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39"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2508</v>
      </c>
      <c r="B28" s="2563" t="s">
        <v>2509</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39" t="s">
        <v>2511</v>
      </c>
      <c r="H29" s="982"/>
      <c r="I29" s="982"/>
      <c r="J29" s="982"/>
      <c r="K29" s="983"/>
    </row>
    <row r="30" spans="1:33" s="335" customFormat="1" ht="13.5" customHeight="1">
      <c r="A30" s="974" t="s">
        <v>804</v>
      </c>
      <c r="B30" s="997" t="s">
        <v>2512</v>
      </c>
      <c r="C30" s="336">
        <f ca="1">ROUND((C21+C22+C23)*F28,0)</f>
        <v>0</v>
      </c>
      <c r="D30" s="328"/>
      <c r="E30" s="329"/>
      <c r="F30" s="334"/>
      <c r="G30" s="139"/>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zoomScaleSheetLayoutView="96" workbookViewId="0">
      <selection activeCell="R82" sqref="R8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28495.38</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6" t="s">
        <v>2806</v>
      </c>
      <c r="S1" s="1606" t="s">
        <v>2807</v>
      </c>
      <c r="T1" s="1606" t="s">
        <v>2808</v>
      </c>
      <c r="U1" s="1606" t="s">
        <v>2809</v>
      </c>
      <c r="V1" s="1606" t="s">
        <v>2810</v>
      </c>
      <c r="W1" s="1610"/>
      <c r="X1" s="1610"/>
      <c r="Y1" s="1610"/>
      <c r="Z1" s="1610"/>
      <c r="AA1" s="1610"/>
      <c r="AB1" s="1610"/>
      <c r="AC1" s="1611"/>
      <c r="AD1" s="1612"/>
      <c r="AE1" s="1612"/>
      <c r="AF1" s="1612"/>
      <c r="AG1" s="1612"/>
      <c r="AH1" s="1612"/>
      <c r="AI1" s="1612"/>
      <c r="AJ1" s="1613"/>
    </row>
    <row r="2" spans="1:36" ht="15.75">
      <c r="A2" s="245" t="s">
        <v>2811</v>
      </c>
      <c r="B2" s="248">
        <f ca="1">C26</f>
        <v>12615</v>
      </c>
      <c r="C2" s="2725" t="s">
        <v>2812</v>
      </c>
      <c r="D2" s="2726" t="s">
        <v>2813</v>
      </c>
      <c r="E2" s="2727" t="s">
        <v>6</v>
      </c>
      <c r="F2" s="2726" t="s">
        <v>2814</v>
      </c>
      <c r="G2" s="2728" t="str">
        <f>IF(E2="商业",项目基本情况!B37,IF(E2="办公",项目基本情况!C37,IF(E2="住宅",项目基本情况!D37,项目基本情况!E37)))</f>
        <v>六级</v>
      </c>
      <c r="H2" s="2726" t="s">
        <v>2815</v>
      </c>
      <c r="I2" s="2728" t="str">
        <f>IF(E2="商业",项目基本情况!B38,IF(E2="办公",项目基本情况!C38,IF(E2="住宅",项目基本情况!D38,项目基本情况!E38)))</f>
        <v>Ⅵ-BDA核心</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4.3323</v>
      </c>
      <c r="T2" s="1606">
        <f ca="1">ROUND($C$5*$C$18*$C$19*$C$20*S2*$C$24,0)</f>
        <v>7341</v>
      </c>
      <c r="U2" s="1607"/>
      <c r="V2" s="1606">
        <f ca="1">ROUND(T2*U2/10000,0)</f>
        <v>0</v>
      </c>
      <c r="W2" s="1610"/>
      <c r="X2" s="1610"/>
      <c r="Y2" s="1610"/>
      <c r="Z2" s="1610"/>
      <c r="AA2" s="1610"/>
      <c r="AB2" s="1610"/>
      <c r="AC2" s="1611"/>
      <c r="AD2" s="1612"/>
      <c r="AE2" s="1612"/>
      <c r="AF2" s="1612"/>
      <c r="AG2" s="1612"/>
      <c r="AH2" s="1612"/>
      <c r="AI2" s="1612"/>
      <c r="AJ2" s="1613"/>
    </row>
    <row r="3" spans="1:36" ht="15.75">
      <c r="A3" s="247" t="s">
        <v>2817</v>
      </c>
      <c r="B3" s="248">
        <f ca="1">ROUND(B2*10000/D1,0)</f>
        <v>4427</v>
      </c>
      <c r="C3" s="2725" t="s">
        <v>2818</v>
      </c>
      <c r="D3" s="2726" t="s">
        <v>2819</v>
      </c>
      <c r="E3" s="2731" t="s">
        <v>3056</v>
      </c>
      <c r="F3" s="2732" t="s">
        <v>2820</v>
      </c>
      <c r="G3" s="916">
        <f>IF(F3="宗地容积率",'数据-汇总表'!I4,IF(F3="估价对象容积率",'数据-汇总表'!I6,'数据-汇总表'!I7))</f>
        <v>0.43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3.1097999999999999</v>
      </c>
      <c r="T3" s="1606">
        <f t="shared" ref="T3:T16" ca="1" si="0">ROUND($C$5*$C$18*$C$19*$C$20*S3*$C$24,0)</f>
        <v>5270</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156"/>
      <c r="B4" s="3157"/>
      <c r="C4" s="3157"/>
      <c r="D4" s="3158"/>
      <c r="E4" s="3158"/>
      <c r="F4" s="3158"/>
      <c r="G4" s="3158"/>
      <c r="H4" s="3158"/>
      <c r="I4" s="3158"/>
      <c r="J4" s="3159"/>
      <c r="K4" s="1373"/>
      <c r="L4" s="2730" t="s">
        <v>2824</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2.5087999999999999</v>
      </c>
      <c r="T4" s="1606">
        <f t="shared" ca="1" si="0"/>
        <v>4251</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2825</v>
      </c>
      <c r="C5" s="917">
        <f>ROUND(IF(E2="商业",IF(F16="增加",C6*C7+C16,C6*C7-C16),IF(E2="住宅",IF(F16="增加",C6*C12+C16,C6*C12-C16),IF(F16="增加",C6+C16,C6-C16))),0)</f>
        <v>1458</v>
      </c>
      <c r="D5" s="1791">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2.0129999999999999</v>
      </c>
      <c r="T5" s="1606">
        <f t="shared" ca="1" si="0"/>
        <v>3411</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2827</v>
      </c>
      <c r="B6" s="2744" t="s">
        <v>2828</v>
      </c>
      <c r="C6" s="918">
        <f>SUMIF(L1:L12,G2,M1:M12)</f>
        <v>1500</v>
      </c>
      <c r="D6" s="2745" t="s">
        <v>2829</v>
      </c>
      <c r="E6" s="2746"/>
      <c r="F6" s="2746"/>
      <c r="G6" s="2747"/>
      <c r="H6" s="2747"/>
      <c r="I6" s="2747"/>
      <c r="J6" s="2748"/>
      <c r="K6" s="1846"/>
      <c r="L6" s="2730" t="s">
        <v>2830</v>
      </c>
      <c r="M6" s="1084">
        <f>SUMPRODUCT((区片价!B110:B157=I2)*(区片价!C3:F3=E2)*(区片价!C110:F157))</f>
        <v>1500</v>
      </c>
      <c r="N6" s="1086">
        <f>SUMPRODUCT((因素修正幅度!B110:B157=I2)*(因素修正幅度!C3:F3=E2)*(因素修正幅度!C110:F157))</f>
        <v>0.05</v>
      </c>
      <c r="O6" s="1373"/>
      <c r="P6" s="1373"/>
      <c r="Q6" s="1373"/>
      <c r="R6" s="1606">
        <v>5</v>
      </c>
      <c r="S6" s="1606">
        <f>ROUND(IF(G3&gt;1,IF(R6&lt;7,SUMPRODUCT((B93:B98=R6)*(C92:N92=G2)*(C93:N98)),SUMIF(C92:N92,G2,C100:N100)),IF(R6&lt;7,SUMPRODUCT((B102:B107=R6)*(C92:N92=G2)*(C102:N107)),SUMIF(C92:N92,G2,C109:N109))),4)</f>
        <v>1.7141999999999999</v>
      </c>
      <c r="T6" s="1606">
        <f t="shared" ca="1" si="0"/>
        <v>2905</v>
      </c>
      <c r="U6" s="1607"/>
      <c r="V6" s="1606">
        <f t="shared" ca="1" si="1"/>
        <v>0</v>
      </c>
      <c r="W6" s="1610"/>
      <c r="X6" s="1610"/>
      <c r="Y6" s="1610"/>
      <c r="Z6" s="1610"/>
      <c r="AA6" s="1610"/>
      <c r="AB6" s="1610"/>
      <c r="AC6" s="2739"/>
      <c r="AD6" s="2740"/>
      <c r="AE6" s="2740"/>
      <c r="AF6" s="2740"/>
      <c r="AG6" s="2740"/>
      <c r="AH6" s="2740"/>
      <c r="AI6" s="2740"/>
      <c r="AJ6" s="2741"/>
    </row>
    <row r="7" spans="1:36" ht="24">
      <c r="A7" s="3160" t="str">
        <f>IF(E2="商业",IF(C8="不临58条商业街","",2),"")</f>
        <v/>
      </c>
      <c r="B7" s="2749" t="s">
        <v>2831</v>
      </c>
      <c r="C7" s="919">
        <f>IF(C8="不临58条商业街",1,ROUND(1+(1.6*E8+1.2*E9+0.8*E10+0.4*E11)*C9,4))</f>
        <v>1</v>
      </c>
      <c r="D7" s="2750" t="s">
        <v>2832</v>
      </c>
      <c r="E7" s="948"/>
      <c r="F7" s="2751"/>
      <c r="G7" s="2752"/>
      <c r="H7" s="2752"/>
      <c r="I7" s="2752"/>
      <c r="J7" s="2753"/>
      <c r="K7" s="1846"/>
      <c r="L7" s="2730" t="s">
        <v>2833</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1.5074000000000001</v>
      </c>
      <c r="T7" s="1606">
        <f t="shared" ca="1" si="0"/>
        <v>2554</v>
      </c>
      <c r="U7" s="1607"/>
      <c r="V7" s="1606">
        <f t="shared" ca="1" si="1"/>
        <v>0</v>
      </c>
      <c r="W7" s="1820" t="s">
        <v>2834</v>
      </c>
      <c r="X7" s="1608" t="str">
        <f>G2</f>
        <v>六级</v>
      </c>
      <c r="Y7" s="1608" t="s">
        <v>2835</v>
      </c>
      <c r="Z7" s="1609">
        <f>G3</f>
        <v>0.43</v>
      </c>
      <c r="AA7" s="1610"/>
      <c r="AB7" s="1610"/>
      <c r="AC7" s="1611"/>
      <c r="AD7" s="1612"/>
      <c r="AE7" s="1612"/>
      <c r="AF7" s="1612"/>
      <c r="AG7" s="1612"/>
      <c r="AH7" s="1612"/>
      <c r="AI7" s="1612"/>
      <c r="AJ7" s="1613"/>
    </row>
    <row r="8" spans="1:36" ht="25.5">
      <c r="A8" s="3161"/>
      <c r="B8" s="198" t="s">
        <v>2836</v>
      </c>
      <c r="C8" s="2754" t="s">
        <v>3057</v>
      </c>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153" t="s">
        <v>2839</v>
      </c>
      <c r="X8" s="3154"/>
      <c r="Y8" s="1614" t="s">
        <v>2840</v>
      </c>
      <c r="Z8" s="1614" t="s">
        <v>2841</v>
      </c>
      <c r="AA8" s="1614" t="s">
        <v>2842</v>
      </c>
      <c r="AB8" s="1614" t="s">
        <v>2843</v>
      </c>
      <c r="AC8" s="1614" t="s">
        <v>2844</v>
      </c>
      <c r="AD8" s="1614" t="s">
        <v>2845</v>
      </c>
      <c r="AE8" s="1614" t="s">
        <v>2846</v>
      </c>
      <c r="AF8" s="1614" t="s">
        <v>2847</v>
      </c>
      <c r="AG8" s="1614" t="s">
        <v>2848</v>
      </c>
      <c r="AH8" s="1614" t="s">
        <v>2849</v>
      </c>
      <c r="AI8" s="1614" t="s">
        <v>2850</v>
      </c>
      <c r="AJ8" s="1614" t="s">
        <v>2851</v>
      </c>
    </row>
    <row r="9" spans="1:36" ht="15">
      <c r="A9" s="3161"/>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155" t="s">
        <v>2855</v>
      </c>
      <c r="X9" s="1615" t="s">
        <v>2856</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161"/>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155"/>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161"/>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155" t="s">
        <v>2863</v>
      </c>
      <c r="X11" s="1618" t="s">
        <v>2864</v>
      </c>
      <c r="Y11" s="1619">
        <f>$G$3</f>
        <v>0.43</v>
      </c>
      <c r="Z11" s="1619">
        <f t="shared" ref="Z11:AJ11" si="3">$G$3</f>
        <v>0.43</v>
      </c>
      <c r="AA11" s="1619">
        <f t="shared" si="3"/>
        <v>0.43</v>
      </c>
      <c r="AB11" s="1619">
        <f t="shared" si="3"/>
        <v>0.43</v>
      </c>
      <c r="AC11" s="1619">
        <f t="shared" si="3"/>
        <v>0.43</v>
      </c>
      <c r="AD11" s="1619">
        <f t="shared" si="3"/>
        <v>0.43</v>
      </c>
      <c r="AE11" s="1619">
        <f t="shared" si="3"/>
        <v>0.43</v>
      </c>
      <c r="AF11" s="1619">
        <f t="shared" si="3"/>
        <v>0.43</v>
      </c>
      <c r="AG11" s="1619">
        <f t="shared" si="3"/>
        <v>0.43</v>
      </c>
      <c r="AH11" s="1619">
        <f t="shared" si="3"/>
        <v>0.43</v>
      </c>
      <c r="AI11" s="1619">
        <f t="shared" si="3"/>
        <v>0.43</v>
      </c>
      <c r="AJ11" s="1619">
        <f t="shared" si="3"/>
        <v>0.43</v>
      </c>
    </row>
    <row r="12" spans="1:36" ht="25.5" thickBot="1">
      <c r="A12" s="3160"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155"/>
      <c r="X12" s="1620" t="s">
        <v>2869</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162"/>
      <c r="B13" s="2768" t="s">
        <v>2870</v>
      </c>
      <c r="C13" s="2769" t="s">
        <v>2871</v>
      </c>
      <c r="D13" s="1812" t="s">
        <v>2872</v>
      </c>
      <c r="E13" s="1812" t="s">
        <v>2873</v>
      </c>
      <c r="F13" s="30" t="s">
        <v>2874</v>
      </c>
      <c r="G13" s="2770" t="s">
        <v>2875</v>
      </c>
      <c r="H13" s="2770" t="s">
        <v>2875</v>
      </c>
      <c r="I13" s="2770" t="s">
        <v>2875</v>
      </c>
      <c r="J13" s="2771" t="s">
        <v>2875</v>
      </c>
      <c r="K13" s="1373"/>
      <c r="L13" s="1373"/>
      <c r="M13" s="1373"/>
      <c r="N13" s="1373"/>
      <c r="O13" s="1373"/>
      <c r="P13" s="1373"/>
      <c r="Q13" s="1373"/>
      <c r="R13" s="1606">
        <v>12</v>
      </c>
      <c r="S13" s="1607"/>
      <c r="T13" s="1606">
        <f t="shared" ca="1" si="0"/>
        <v>0</v>
      </c>
      <c r="U13" s="1607"/>
      <c r="V13" s="1606">
        <f t="shared" ca="1" si="1"/>
        <v>0</v>
      </c>
      <c r="W13" s="3155"/>
      <c r="X13" s="1620"/>
      <c r="Y13" s="1617">
        <f>(-0.163*(Y12^2)-0.59*Y12+7617)*(10^(-4))/Y11</f>
        <v>1.7713953488372094</v>
      </c>
      <c r="Z13" s="1617">
        <f t="shared" ref="Z13:AJ13" si="5">(-0.163*(Z12^2)-0.59*Z12+7617)*(10^(-4))/Z11</f>
        <v>1.7713953488372094</v>
      </c>
      <c r="AA13" s="1617">
        <f t="shared" si="5"/>
        <v>1.7713953488372094</v>
      </c>
      <c r="AB13" s="1617">
        <f t="shared" si="5"/>
        <v>1.7713953488372094</v>
      </c>
      <c r="AC13" s="1617">
        <f t="shared" si="5"/>
        <v>1.7713953488372094</v>
      </c>
      <c r="AD13" s="1617">
        <f t="shared" si="5"/>
        <v>1.7713953488372094</v>
      </c>
      <c r="AE13" s="1617">
        <f t="shared" si="5"/>
        <v>1.7713953488372094</v>
      </c>
      <c r="AF13" s="1617">
        <f t="shared" si="5"/>
        <v>1.7713953488372094</v>
      </c>
      <c r="AG13" s="1617">
        <f t="shared" si="5"/>
        <v>1.7713953488372094</v>
      </c>
      <c r="AH13" s="1617">
        <f t="shared" si="5"/>
        <v>1.7713953488372094</v>
      </c>
      <c r="AI13" s="1617">
        <f t="shared" si="5"/>
        <v>1.7713953488372094</v>
      </c>
      <c r="AJ13" s="1617">
        <f t="shared" si="5"/>
        <v>1.7713953488372094</v>
      </c>
    </row>
    <row r="14" spans="1:36" ht="15">
      <c r="A14" s="3162"/>
      <c r="B14" s="2772"/>
      <c r="C14" s="2773"/>
      <c r="D14" s="2774"/>
      <c r="E14" s="2774"/>
      <c r="F14" s="2775"/>
      <c r="G14" s="2776" t="s">
        <v>2876</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163"/>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160" t="s">
        <v>2882</v>
      </c>
      <c r="B16" s="2749" t="s">
        <v>2883</v>
      </c>
      <c r="C16" s="1805">
        <f>ROUND(SUM(G17:J17)/C17,0)</f>
        <v>42</v>
      </c>
      <c r="D16" s="2783" t="s">
        <v>2884</v>
      </c>
      <c r="E16" s="2784" t="s">
        <v>3062</v>
      </c>
      <c r="F16" s="2785" t="s">
        <v>3063</v>
      </c>
      <c r="G16" s="2786" t="s">
        <v>3064</v>
      </c>
      <c r="H16" s="2786"/>
      <c r="I16" s="2786"/>
      <c r="J16" s="2787"/>
      <c r="K16" s="1373"/>
      <c r="L16" s="2788" t="s">
        <v>2885</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161"/>
      <c r="B17" s="2789" t="s">
        <v>2886</v>
      </c>
      <c r="C17" s="924">
        <f>SUMPRODUCT((修正!A2:A5=E2)*(修正!B1:M1=G2)*(修正!B2:M5))</f>
        <v>1.2</v>
      </c>
      <c r="D17" s="2790"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2891</v>
      </c>
      <c r="C19" s="927">
        <f>ROUND(IF(H19="按公示增长率计算",SUMPRODUCT((地价!A3:A20=YEAR(G19)&amp;"-"&amp;ROUNDUP(MONTH(G19)/3,0))*(地价!X2:AB2=E2)*(地价!X3:AB20)),IF(H19="地价指数",M20/M19,(1+I19)^O19)),4)</f>
        <v>1.2303999999999999</v>
      </c>
      <c r="D19" s="2801" t="s">
        <v>2892</v>
      </c>
      <c r="E19" s="928">
        <v>41640</v>
      </c>
      <c r="F19" s="2801" t="s">
        <v>2893</v>
      </c>
      <c r="G19" s="929">
        <f>'数据-取费表'!B2</f>
        <v>43047</v>
      </c>
      <c r="H19" s="2802" t="s">
        <v>3058</v>
      </c>
      <c r="I19" s="930" t="str">
        <f>IF(H19="季度增幅（自定义）",SUMIF(N21:N24,E2,O21:O24),"")</f>
        <v/>
      </c>
      <c r="J19" s="2799"/>
      <c r="K19" s="1380"/>
      <c r="L19" s="2803" t="s">
        <v>2894</v>
      </c>
      <c r="M19" s="1738">
        <f>ROUND(SUMIF(地价!B2:F2,E2,地价!B20:F20),0)</f>
        <v>230</v>
      </c>
      <c r="N19" s="2804" t="s">
        <v>2895</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2896</v>
      </c>
      <c r="C20" s="932">
        <f ca="1">ROUND(POWER(1+G20,J20-I20)*(POWER(1+G20,I20)-1)/(POWER(1+G20,J20)-1),4)</f>
        <v>0.92020000000000002</v>
      </c>
      <c r="D20" s="2810" t="s">
        <v>2897</v>
      </c>
      <c r="E20" s="1772">
        <f ca="1">存贷款利率!D4/100</f>
        <v>4.3499999999999997E-2</v>
      </c>
      <c r="F20" s="2810" t="s">
        <v>2889</v>
      </c>
      <c r="G20" s="937">
        <f ca="1">SUMIF(M15:P15,E2,M17:P17)</f>
        <v>4.8000000000000001E-2</v>
      </c>
      <c r="H20" s="2810" t="s">
        <v>2898</v>
      </c>
      <c r="I20" s="938">
        <f>SUMIF('数据-取费表'!C6:C15,E2,'数据-取费表'!F6:F15)/COUNTIF('数据-取费表'!C6:C15,E2)</f>
        <v>38.04</v>
      </c>
      <c r="J20" s="939">
        <f>IF(E2="住宅",70,IF(E2="商业",40,50))</f>
        <v>50</v>
      </c>
      <c r="K20" s="1380"/>
      <c r="L20" s="2811" t="s">
        <v>2899</v>
      </c>
      <c r="M20" s="1739">
        <f>ROUND(SUMPRODUCT((地价!A5:A20=YEAR(G19)&amp;"-"&amp;ROUNDUP(MONTH(G19)/3,0))*(地价!B2:F2=E2)*(地价!B5:F20)),0)</f>
        <v>283</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3059</v>
      </c>
      <c r="C21" s="940">
        <f>IF(B21="容积率修正",IF(G3&lt;=10,D22,J22),C23)</f>
        <v>2.6126999999999998</v>
      </c>
      <c r="D21" s="2817"/>
      <c r="E21" s="2817"/>
      <c r="F21" s="2817"/>
      <c r="G21" s="2817"/>
      <c r="H21" s="2817"/>
      <c r="I21" s="2817"/>
      <c r="J21" s="2818"/>
      <c r="K21" s="1380"/>
      <c r="N21" s="2819" t="s">
        <v>2903</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2904</v>
      </c>
      <c r="B22" s="2820" t="s">
        <v>2905</v>
      </c>
      <c r="C22" s="1814" t="s">
        <v>2906</v>
      </c>
      <c r="D22" s="1814">
        <f>IF(E22=G22,F22,IF(G3&lt;=10,ROUND(F22+(H22-F22)*(G3-E22)/(G22-E22),4),"——"))</f>
        <v>2.6126999999999998</v>
      </c>
      <c r="E22" s="916">
        <f>ROUNDDOWN(G3,1)</f>
        <v>0.4</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6">
        <f>ROUNDUP(G3,1)</f>
        <v>0.5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4" t="s">
        <v>155</v>
      </c>
      <c r="J22" s="941" t="str">
        <f>IF(G3&gt;10,D113,"——")</f>
        <v>——</v>
      </c>
      <c r="K22" s="1380"/>
      <c r="N22" s="2819" t="s">
        <v>2907</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2908</v>
      </c>
      <c r="B23" s="2821" t="s">
        <v>2909</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2910</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2911</v>
      </c>
      <c r="C24" s="927">
        <f>SUMIF(A45:A88,E2,B45:B88)</f>
        <v>1.0265</v>
      </c>
      <c r="D24" s="2797"/>
      <c r="E24" s="2827"/>
      <c r="F24" s="2827"/>
      <c r="G24" s="2827"/>
      <c r="H24" s="2827"/>
      <c r="I24" s="2827"/>
      <c r="J24" s="2828"/>
      <c r="K24" s="1380"/>
      <c r="N24" s="2829" t="s">
        <v>2912</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2913</v>
      </c>
      <c r="C25" s="933"/>
      <c r="D25" s="2752"/>
      <c r="E25" s="2752"/>
      <c r="F25" s="2831"/>
      <c r="G25" s="2752"/>
      <c r="H25" s="2752"/>
      <c r="I25" s="2752"/>
      <c r="J25" s="2753"/>
      <c r="K25" s="1373"/>
      <c r="N25" s="2832" t="s">
        <v>2914</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2915</v>
      </c>
      <c r="C26" s="206">
        <f ca="1">E29+SUM(E33:E39)</f>
        <v>12615</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2916</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2917</v>
      </c>
      <c r="C28" s="2844" t="s">
        <v>2918</v>
      </c>
      <c r="D28" s="2844" t="s">
        <v>2919</v>
      </c>
      <c r="E28" s="2845" t="s">
        <v>2920</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2921</v>
      </c>
      <c r="C29" s="206">
        <f ca="1">ROUND(C5*C18*C19*C20*C21*C24,0)</f>
        <v>4427</v>
      </c>
      <c r="D29" s="2849">
        <f>'数据-汇总表'!F27</f>
        <v>28495.38</v>
      </c>
      <c r="E29" s="945">
        <f ca="1">ROUND(C29*D29/10000,0)</f>
        <v>12615</v>
      </c>
      <c r="F29" s="2850" t="s">
        <v>2922</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2923</v>
      </c>
      <c r="C30" s="229">
        <f ca="1">ROUND(IF(E2="工业",C29*M39,C29*M38),0)</f>
        <v>664</v>
      </c>
      <c r="D30" s="2855"/>
      <c r="E30" s="945">
        <f ca="1">ROUND(C30*D30/10000,0)</f>
        <v>0</v>
      </c>
      <c r="F30" s="2856" t="s">
        <v>2924</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2925</v>
      </c>
      <c r="C31" s="2861" t="s">
        <v>2926</v>
      </c>
      <c r="D31" s="2765"/>
      <c r="E31" s="2861"/>
      <c r="F31" s="2861"/>
      <c r="G31" s="2763" t="s">
        <v>2927</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2918</v>
      </c>
      <c r="D32" s="498" t="s">
        <v>2919</v>
      </c>
      <c r="E32" s="498" t="s">
        <v>2920</v>
      </c>
      <c r="F32" s="388" t="s">
        <v>2928</v>
      </c>
      <c r="G32" s="2864" t="s">
        <v>2918</v>
      </c>
      <c r="H32" s="2864" t="s">
        <v>2919</v>
      </c>
      <c r="I32" s="2864"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70" t="s">
        <v>2929</v>
      </c>
      <c r="B33" s="2865" t="s">
        <v>2930</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1"/>
      <c r="B34" s="2769" t="s">
        <v>2931</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1"/>
      <c r="B35" s="2769" t="s">
        <v>2932</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72"/>
      <c r="B36" s="2769" t="s">
        <v>2933</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2934</v>
      </c>
      <c r="C37" s="200">
        <f ca="1">ROUND(C5*C19*C20*C24*F37,0)</f>
        <v>424</v>
      </c>
      <c r="D37" s="2849"/>
      <c r="E37" s="200">
        <f t="shared" ca="1" si="7"/>
        <v>0</v>
      </c>
      <c r="F37" s="206">
        <f>SUMIF(修正!A45:A56,G2,修正!F45:F56)</f>
        <v>0.25</v>
      </c>
      <c r="G37" s="200">
        <f t="shared" ca="1" si="6"/>
        <v>106</v>
      </c>
      <c r="H37" s="200">
        <f t="shared" si="8"/>
        <v>0</v>
      </c>
      <c r="I37" s="200">
        <f t="shared" ca="1" si="9"/>
        <v>0</v>
      </c>
      <c r="J37" s="2866"/>
      <c r="K37" s="1373"/>
      <c r="L37" s="2868" t="s">
        <v>2935</v>
      </c>
      <c r="M37" s="2869"/>
      <c r="N37" s="1373"/>
      <c r="O37" s="1373"/>
      <c r="P37" s="1373"/>
      <c r="Q37" s="1373"/>
      <c r="R37" s="1373"/>
      <c r="S37" s="1373"/>
      <c r="T37" s="1373"/>
      <c r="U37" s="1373"/>
      <c r="V37" s="1373"/>
      <c r="W37" s="1373"/>
      <c r="X37" s="1373"/>
      <c r="Y37" s="1373"/>
      <c r="Z37" s="1374"/>
    </row>
    <row r="38" spans="1:37">
      <c r="A38" s="2867"/>
      <c r="B38" s="2769" t="s">
        <v>2936</v>
      </c>
      <c r="C38" s="200">
        <f ca="1">ROUND(C5*C19*C20*C24*F38,0)</f>
        <v>424</v>
      </c>
      <c r="D38" s="2849"/>
      <c r="E38" s="200">
        <f t="shared" ca="1" si="7"/>
        <v>0</v>
      </c>
      <c r="F38" s="206">
        <f>SUMIF(修正!A45:A56,G2,修正!G45:G56)</f>
        <v>0.25</v>
      </c>
      <c r="G38" s="200">
        <f t="shared" ca="1" si="6"/>
        <v>106</v>
      </c>
      <c r="H38" s="200">
        <f t="shared" si="8"/>
        <v>0</v>
      </c>
      <c r="I38" s="200">
        <f t="shared" ca="1" si="9"/>
        <v>0</v>
      </c>
      <c r="J38" s="2866"/>
      <c r="K38" s="1373"/>
      <c r="L38" s="1891" t="s">
        <v>2937</v>
      </c>
      <c r="M38" s="2870">
        <v>0.25</v>
      </c>
      <c r="N38" s="1373"/>
      <c r="O38" s="1373"/>
      <c r="P38" s="1373"/>
      <c r="Q38" s="1373"/>
      <c r="R38" s="1373"/>
      <c r="S38" s="1373"/>
      <c r="T38" s="1373"/>
      <c r="U38" s="1373"/>
      <c r="V38" s="1373"/>
      <c r="W38" s="1373"/>
      <c r="X38" s="1373"/>
      <c r="Y38" s="1373"/>
      <c r="Z38" s="1374"/>
    </row>
    <row r="39" spans="1:37" ht="13.5" thickBot="1">
      <c r="A39" s="2853"/>
      <c r="B39" s="2871" t="s">
        <v>2938</v>
      </c>
      <c r="C39" s="229">
        <f ca="1">ROUND(C5*C19*C20*C24*F39,0)</f>
        <v>339</v>
      </c>
      <c r="D39" s="2855"/>
      <c r="E39" s="229">
        <f t="shared" ca="1" si="7"/>
        <v>0</v>
      </c>
      <c r="F39" s="935">
        <f>SUMIF(修正!A45:A56,G2,修正!H45:H56)</f>
        <v>0.2</v>
      </c>
      <c r="G39" s="229" t="e">
        <f t="shared" si="6"/>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2939</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2940</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2941</v>
      </c>
      <c r="B47" s="1813" t="s">
        <v>2942</v>
      </c>
      <c r="C47" s="1813" t="s">
        <v>2943</v>
      </c>
      <c r="D47" s="1813" t="s">
        <v>2944</v>
      </c>
      <c r="E47" s="819" t="s">
        <v>2945</v>
      </c>
      <c r="F47" s="2883" t="s">
        <v>2946</v>
      </c>
      <c r="G47" s="1813" t="s">
        <v>754</v>
      </c>
      <c r="H47" s="2884" t="s">
        <v>2947</v>
      </c>
      <c r="I47" s="1813"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2" t="s">
        <v>2949</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2950</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2951</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2952</v>
      </c>
      <c r="B51" s="2887" t="s">
        <v>2953</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2954</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2955</v>
      </c>
      <c r="B53" s="2888" t="s">
        <v>2956</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2957</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2958</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2959</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2960</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2941</v>
      </c>
      <c r="B58" s="1813"/>
      <c r="C58" s="1813" t="s">
        <v>2943</v>
      </c>
      <c r="D58" s="1813" t="s">
        <v>2944</v>
      </c>
      <c r="E58" s="819" t="s">
        <v>2945</v>
      </c>
      <c r="F58" s="2883" t="s">
        <v>2961</v>
      </c>
      <c r="G58" s="1813" t="s">
        <v>754</v>
      </c>
      <c r="H58" s="2884" t="s">
        <v>2947</v>
      </c>
      <c r="I58" s="1813"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2" t="s">
        <v>2962</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2950</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2951</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2952</v>
      </c>
      <c r="B62" s="2887" t="s">
        <v>2953</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2954</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2955</v>
      </c>
      <c r="B64" s="2888" t="s">
        <v>2956</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2957</v>
      </c>
      <c r="B65" s="1729"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2958</v>
      </c>
      <c r="B66" s="1729"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2959</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2963</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2941</v>
      </c>
      <c r="B69" s="1813"/>
      <c r="C69" s="1813" t="s">
        <v>2943</v>
      </c>
      <c r="D69" s="1813" t="s">
        <v>2944</v>
      </c>
      <c r="E69" s="819" t="s">
        <v>2945</v>
      </c>
      <c r="F69" s="2883" t="s">
        <v>2961</v>
      </c>
      <c r="G69" s="1813" t="s">
        <v>754</v>
      </c>
      <c r="H69" s="2884" t="s">
        <v>2947</v>
      </c>
      <c r="I69" s="1813"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2" t="s">
        <v>2964</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2950</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2951</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2965</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2957</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2958</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2955</v>
      </c>
      <c r="B76" s="2888" t="s">
        <v>2956</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2959</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2966</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2967</v>
      </c>
      <c r="B79" s="2879">
        <f>1+E81</f>
        <v>1.0265</v>
      </c>
      <c r="C79" s="814"/>
      <c r="D79" s="814"/>
      <c r="E79" s="815"/>
      <c r="F79" s="2881"/>
      <c r="G79" s="6"/>
      <c r="H79" s="6"/>
      <c r="I79" s="6"/>
      <c r="J79" s="7"/>
      <c r="K79" s="7"/>
      <c r="L79" s="7"/>
      <c r="M79" s="7"/>
      <c r="N79" s="7"/>
      <c r="Z79" s="2724"/>
      <c r="AA79" s="2800"/>
      <c r="AG79" s="1375"/>
      <c r="AK79" s="2800"/>
    </row>
    <row r="80" spans="1:37" ht="24.75">
      <c r="A80" s="2882" t="s">
        <v>2941</v>
      </c>
      <c r="B80" s="1813"/>
      <c r="C80" s="1813" t="s">
        <v>2943</v>
      </c>
      <c r="D80" s="1813" t="s">
        <v>2944</v>
      </c>
      <c r="E80" s="819" t="s">
        <v>2945</v>
      </c>
      <c r="F80" s="2883" t="s">
        <v>2961</v>
      </c>
      <c r="G80" s="1813" t="s">
        <v>754</v>
      </c>
      <c r="H80" s="2884" t="s">
        <v>2947</v>
      </c>
      <c r="I80" s="1813" t="s">
        <v>2948</v>
      </c>
      <c r="J80" s="603" t="s">
        <v>2596</v>
      </c>
      <c r="K80" s="603" t="s">
        <v>2597</v>
      </c>
      <c r="L80" s="603" t="s">
        <v>2598</v>
      </c>
      <c r="M80" s="603" t="s">
        <v>2599</v>
      </c>
      <c r="N80" s="603" t="s">
        <v>2600</v>
      </c>
      <c r="Z80" s="2724"/>
      <c r="AA80" s="2800"/>
      <c r="AG80" s="1375"/>
      <c r="AK80" s="2800"/>
    </row>
    <row r="81" spans="1:37" ht="51">
      <c r="A81" s="2882" t="s">
        <v>2968</v>
      </c>
      <c r="B81" s="2886" t="str">
        <f>估价对象房地状况!G15</f>
        <v>估价对象位于北京经济技术开发区，园区建设成熟度较好，产业集聚程度较好。</v>
      </c>
      <c r="C81" s="2774" t="s">
        <v>3071</v>
      </c>
      <c r="D81" s="1289">
        <f t="shared" ref="D81:D88" si="25">SUMIF($J$80:$N$80,C81,J81:N81)</f>
        <v>6.4999999999999997E-3</v>
      </c>
      <c r="E81" s="821">
        <f>ROUND(SUM(D81:D88),4)</f>
        <v>2.6499999999999999E-2</v>
      </c>
      <c r="F81" s="2505">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4"/>
      <c r="AA81" s="2800"/>
      <c r="AG81" s="1375"/>
      <c r="AK81" s="2800"/>
    </row>
    <row r="82" spans="1:37" ht="76.5">
      <c r="A82" s="2882" t="s">
        <v>2950</v>
      </c>
      <c r="B82" s="2886" t="str">
        <f>估价对象房地状况!G16</f>
        <v>估价对象紧邻城市支路——景园街，公共交通通达情况一般，周边有542、846路等公共交通，停车便捷程度较好，综合评价交通便捷度较好。</v>
      </c>
      <c r="C82" s="2774" t="s">
        <v>3071</v>
      </c>
      <c r="D82" s="1289">
        <f t="shared" si="25"/>
        <v>8.2000000000000007E-3</v>
      </c>
      <c r="E82" s="826"/>
      <c r="F82" s="2505"/>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4"/>
      <c r="AA82" s="2800"/>
      <c r="AG82" s="1375"/>
      <c r="AK82" s="2800"/>
    </row>
    <row r="83" spans="1:37" ht="25.5">
      <c r="A83" s="2882" t="s">
        <v>2951</v>
      </c>
      <c r="B83" s="2886" t="str">
        <f>估价对象房地状况!G17</f>
        <v>区域内多为工业用地，土地利用方向较为一致。</v>
      </c>
      <c r="C83" s="2774" t="s">
        <v>3071</v>
      </c>
      <c r="D83" s="1289">
        <f t="shared" si="25"/>
        <v>1.1999999999999999E-3</v>
      </c>
      <c r="E83" s="826"/>
      <c r="F83" s="2505"/>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4"/>
      <c r="AA83" s="2800"/>
      <c r="AG83" s="1375"/>
      <c r="AK83" s="2800"/>
    </row>
    <row r="84" spans="1:37" ht="14.25">
      <c r="A84" s="2882" t="s">
        <v>2965</v>
      </c>
      <c r="B84" s="2886" t="str">
        <f>估价对象房地状况!G22</f>
        <v>城市支路——景园街</v>
      </c>
      <c r="C84" s="2774" t="s">
        <v>3072</v>
      </c>
      <c r="D84" s="1289">
        <f t="shared" si="25"/>
        <v>-1E-3</v>
      </c>
      <c r="E84" s="826"/>
      <c r="F84" s="2505"/>
      <c r="G84" s="1287">
        <f t="shared" si="26"/>
        <v>1E-3</v>
      </c>
      <c r="H84" s="1291">
        <f t="shared" si="27"/>
        <v>1E-3</v>
      </c>
      <c r="I84" s="820">
        <v>0.04</v>
      </c>
      <c r="J84" s="1288">
        <f t="shared" si="28"/>
        <v>2E-3</v>
      </c>
      <c r="K84" s="1288">
        <f t="shared" si="29"/>
        <v>1E-3</v>
      </c>
      <c r="L84" s="1288">
        <v>0</v>
      </c>
      <c r="M84" s="1288">
        <f t="shared" si="30"/>
        <v>-1E-3</v>
      </c>
      <c r="N84" s="1288">
        <f t="shared" si="30"/>
        <v>-2E-3</v>
      </c>
      <c r="Z84" s="2724"/>
      <c r="AA84" s="2800"/>
      <c r="AG84" s="1375"/>
      <c r="AK84" s="2800"/>
    </row>
    <row r="85" spans="1:37" ht="114.75">
      <c r="A85" s="2882" t="s">
        <v>2957</v>
      </c>
      <c r="B85" s="1729" t="str">
        <f>估价对象房地状况!G19</f>
        <v>估价对象所在区域2公里以内有：银行（华夏银行、中国工商银行），超市（康盛宏利超市、和禾便利店），医院（北京同仁医院南区），学校（齐齐哈尔大学北京研发中心）等，公共配套设施齐备情况较好。</v>
      </c>
      <c r="C85" s="2774" t="s">
        <v>3071</v>
      </c>
      <c r="D85" s="1289">
        <f t="shared" si="25"/>
        <v>1.5E-3</v>
      </c>
      <c r="E85" s="826"/>
      <c r="F85" s="2505"/>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4"/>
      <c r="AA85" s="2800"/>
      <c r="AG85" s="1375"/>
      <c r="AK85" s="2800"/>
    </row>
    <row r="86" spans="1:37" ht="38.25">
      <c r="A86" s="2882" t="s">
        <v>2958</v>
      </c>
      <c r="B86" s="1729" t="str">
        <f>估价对象房地状况!G20</f>
        <v>估价对象所在区域基础设施水平达到“七通”；估价对象为“六通”。</v>
      </c>
      <c r="C86" s="2962" t="s">
        <v>3113</v>
      </c>
      <c r="D86" s="1289">
        <f t="shared" si="25"/>
        <v>7.4000000000000003E-3</v>
      </c>
      <c r="E86" s="826"/>
      <c r="F86" s="2505"/>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4"/>
      <c r="AA86" s="2800"/>
      <c r="AG86" s="1375"/>
      <c r="AK86" s="2800"/>
    </row>
    <row r="87" spans="1:37" ht="24">
      <c r="A87" s="2882" t="s">
        <v>2955</v>
      </c>
      <c r="B87" s="2946" t="s">
        <v>3100</v>
      </c>
      <c r="C87" s="2774" t="s">
        <v>3071</v>
      </c>
      <c r="D87" s="1289">
        <f t="shared" si="25"/>
        <v>1.1999999999999999E-3</v>
      </c>
      <c r="E87" s="826"/>
      <c r="F87" s="2505"/>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4"/>
      <c r="AA87" s="2800"/>
      <c r="AG87" s="1375"/>
      <c r="AK87" s="2800"/>
    </row>
    <row r="88" spans="1:37" ht="51.75" thickBot="1">
      <c r="A88" s="2890" t="s">
        <v>2969</v>
      </c>
      <c r="B88" s="2895" t="str">
        <f>估价对象房地状况!G18</f>
        <v>该园区内无污染型企业，绿化情况较好，卫生条件较好，整体环境状况较好。</v>
      </c>
      <c r="C88" s="2774" t="s">
        <v>3071</v>
      </c>
      <c r="D88" s="1289">
        <f t="shared" si="25"/>
        <v>1.5E-3</v>
      </c>
      <c r="E88" s="827"/>
      <c r="F88" s="2505"/>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4"/>
      <c r="AA88" s="2800"/>
      <c r="AG88" s="1375"/>
      <c r="AK88" s="2800"/>
    </row>
    <row r="90" spans="1:37">
      <c r="A90" s="3164" t="s">
        <v>2970</v>
      </c>
      <c r="B90" s="3164"/>
      <c r="C90" s="3164"/>
      <c r="D90" s="3164"/>
      <c r="E90" s="3164"/>
      <c r="F90" s="3164"/>
      <c r="G90" s="3164"/>
      <c r="H90" s="3164"/>
      <c r="I90" s="3164"/>
      <c r="J90" s="3164"/>
      <c r="K90" s="2896"/>
      <c r="L90" s="2896"/>
      <c r="M90" s="2896"/>
      <c r="N90" s="2896"/>
    </row>
    <row r="91" spans="1:37">
      <c r="A91" s="3166" t="s">
        <v>2971</v>
      </c>
      <c r="B91" s="3166" t="s">
        <v>2972</v>
      </c>
      <c r="C91" s="2850" t="s">
        <v>2973</v>
      </c>
      <c r="D91" s="2851"/>
      <c r="E91" s="2851"/>
      <c r="F91" s="2851"/>
      <c r="G91" s="2851"/>
      <c r="H91" s="2851"/>
      <c r="I91" s="2851"/>
      <c r="J91" s="2897"/>
      <c r="K91" s="2898"/>
      <c r="L91" s="2898"/>
      <c r="M91" s="2898"/>
      <c r="N91" s="2898"/>
    </row>
    <row r="92" spans="1:37">
      <c r="A92" s="3166"/>
      <c r="B92" s="316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67"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68"/>
      <c r="B99" s="2899" t="s">
        <v>2856</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16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67" t="s">
        <v>2975</v>
      </c>
      <c r="B101" s="2903" t="s">
        <v>2976</v>
      </c>
      <c r="C101" s="2904">
        <f>$G$3</f>
        <v>0.43</v>
      </c>
      <c r="D101" s="2904">
        <f t="shared" ref="D101:N101" si="32">$G$3</f>
        <v>0.43</v>
      </c>
      <c r="E101" s="2904">
        <f t="shared" si="32"/>
        <v>0.43</v>
      </c>
      <c r="F101" s="2904">
        <f t="shared" si="32"/>
        <v>0.43</v>
      </c>
      <c r="G101" s="2904">
        <f t="shared" si="32"/>
        <v>0.43</v>
      </c>
      <c r="H101" s="2904">
        <f t="shared" si="32"/>
        <v>0.43</v>
      </c>
      <c r="I101" s="2904">
        <f t="shared" si="32"/>
        <v>0.43</v>
      </c>
      <c r="J101" s="2904">
        <f t="shared" si="32"/>
        <v>0.43</v>
      </c>
      <c r="K101" s="2904">
        <f t="shared" si="32"/>
        <v>0.43</v>
      </c>
      <c r="L101" s="2904">
        <f t="shared" si="32"/>
        <v>0.43</v>
      </c>
      <c r="M101" s="2904">
        <f t="shared" si="32"/>
        <v>0.43</v>
      </c>
      <c r="N101" s="2904">
        <f t="shared" si="32"/>
        <v>0.43</v>
      </c>
    </row>
    <row r="102" spans="1:14">
      <c r="A102" s="3168"/>
      <c r="B102" s="2899">
        <v>1</v>
      </c>
      <c r="C102" s="2900">
        <f>1.9362/C101</f>
        <v>4.5027906976744188</v>
      </c>
      <c r="D102" s="2900">
        <f>1.9362/D101</f>
        <v>4.5027906976744188</v>
      </c>
      <c r="E102" s="2900">
        <f>1.8629/E101</f>
        <v>4.3323255813953487</v>
      </c>
      <c r="F102" s="2900">
        <f>1.8629/F101</f>
        <v>4.3323255813953487</v>
      </c>
      <c r="G102" s="2900">
        <f>1.8629/G101</f>
        <v>4.3323255813953487</v>
      </c>
      <c r="H102" s="2900">
        <f>1.8629/H101</f>
        <v>4.3323255813953487</v>
      </c>
      <c r="I102" s="2900">
        <f>1.8629/I101</f>
        <v>4.3323255813953487</v>
      </c>
      <c r="J102" s="2900">
        <f>1.942/J101</f>
        <v>4.5162790697674415</v>
      </c>
      <c r="K102" s="2900">
        <f>1.942/K101</f>
        <v>4.5162790697674415</v>
      </c>
      <c r="L102" s="2900">
        <f>1.942/L101</f>
        <v>4.5162790697674415</v>
      </c>
      <c r="M102" s="2900">
        <f>1.942/M101</f>
        <v>4.5162790697674415</v>
      </c>
      <c r="N102" s="2900">
        <f>1.942/N101</f>
        <v>4.5162790697674415</v>
      </c>
    </row>
    <row r="103" spans="1:14">
      <c r="A103" s="3168"/>
      <c r="B103" s="2899">
        <v>2</v>
      </c>
      <c r="C103" s="2900">
        <f>1.4198/C101</f>
        <v>3.3018604651162788</v>
      </c>
      <c r="D103" s="2900">
        <f>1.4198/D101</f>
        <v>3.3018604651162788</v>
      </c>
      <c r="E103" s="2900">
        <f>1.3372/E101</f>
        <v>3.1097674418604648</v>
      </c>
      <c r="F103" s="2900">
        <f>1.3372/F101</f>
        <v>3.1097674418604648</v>
      </c>
      <c r="G103" s="2900">
        <f>1.3372/G101</f>
        <v>3.1097674418604648</v>
      </c>
      <c r="H103" s="2900">
        <f>1.3372/H101</f>
        <v>3.1097674418604648</v>
      </c>
      <c r="I103" s="2900">
        <f>1.3372/I101</f>
        <v>3.1097674418604648</v>
      </c>
      <c r="J103" s="2900">
        <f>1.2799/J101</f>
        <v>2.976511627906977</v>
      </c>
      <c r="K103" s="2900">
        <f>1.2799/K101</f>
        <v>2.976511627906977</v>
      </c>
      <c r="L103" s="2900">
        <f>1.2799/L101</f>
        <v>2.976511627906977</v>
      </c>
      <c r="M103" s="2900">
        <f>1.2799/M101</f>
        <v>2.976511627906977</v>
      </c>
      <c r="N103" s="2900">
        <f>1.2799/N101</f>
        <v>2.976511627906977</v>
      </c>
    </row>
    <row r="104" spans="1:14">
      <c r="A104" s="3168"/>
      <c r="B104" s="2899">
        <v>3</v>
      </c>
      <c r="C104" s="2900">
        <f>1.1594/C101</f>
        <v>2.6962790697674417</v>
      </c>
      <c r="D104" s="2900">
        <f>1.1594/D101</f>
        <v>2.6962790697674417</v>
      </c>
      <c r="E104" s="2900">
        <f>1.0788/E101</f>
        <v>2.5088372093023255</v>
      </c>
      <c r="F104" s="2900">
        <f>1.0788/F101</f>
        <v>2.5088372093023255</v>
      </c>
      <c r="G104" s="2900">
        <f>1.0788/G101</f>
        <v>2.5088372093023255</v>
      </c>
      <c r="H104" s="2900">
        <f>1.0788/H101</f>
        <v>2.5088372093023255</v>
      </c>
      <c r="I104" s="2900">
        <f>1.0788/I101</f>
        <v>2.5088372093023255</v>
      </c>
      <c r="J104" s="2900">
        <f>1.0072/J101</f>
        <v>2.342325581395349</v>
      </c>
      <c r="K104" s="2900">
        <f>1.0072/K101</f>
        <v>2.342325581395349</v>
      </c>
      <c r="L104" s="2900">
        <f>1.0072/L101</f>
        <v>2.342325581395349</v>
      </c>
      <c r="M104" s="2900">
        <f>1.0072/M101</f>
        <v>2.342325581395349</v>
      </c>
      <c r="N104" s="2900">
        <f>1.0072/N101</f>
        <v>2.342325581395349</v>
      </c>
    </row>
    <row r="105" spans="1:14">
      <c r="A105" s="3168"/>
      <c r="B105" s="2899">
        <v>4</v>
      </c>
      <c r="C105" s="2900">
        <f>0.9622/C101</f>
        <v>2.2376744186046511</v>
      </c>
      <c r="D105" s="2900">
        <f>0.9622/D101</f>
        <v>2.2376744186046511</v>
      </c>
      <c r="E105" s="2900">
        <f>0.8656/E101</f>
        <v>2.0130232558139536</v>
      </c>
      <c r="F105" s="2900">
        <f>0.8656/F101</f>
        <v>2.0130232558139536</v>
      </c>
      <c r="G105" s="2900">
        <f>0.8656/G101</f>
        <v>2.0130232558139536</v>
      </c>
      <c r="H105" s="2900">
        <f>0.8656/H101</f>
        <v>2.0130232558139536</v>
      </c>
      <c r="I105" s="2900">
        <f>0.8656/I101</f>
        <v>2.0130232558139536</v>
      </c>
      <c r="J105" s="2900">
        <f>0.7525/J101</f>
        <v>1.75</v>
      </c>
      <c r="K105" s="2900">
        <f>0.7525/K101</f>
        <v>1.75</v>
      </c>
      <c r="L105" s="2900">
        <f>0.7525/L101</f>
        <v>1.75</v>
      </c>
      <c r="M105" s="2900">
        <f>0.7525/M101</f>
        <v>1.75</v>
      </c>
      <c r="N105" s="2900">
        <f>0.7525/N101</f>
        <v>1.75</v>
      </c>
    </row>
    <row r="106" spans="1:14">
      <c r="A106" s="3168"/>
      <c r="B106" s="2899">
        <v>5</v>
      </c>
      <c r="C106" s="2900">
        <f>0.8417/C101</f>
        <v>1.9574418604651163</v>
      </c>
      <c r="D106" s="2900">
        <f>0.8417/D101</f>
        <v>1.9574418604651163</v>
      </c>
      <c r="E106" s="2900">
        <f>0.7371/E101</f>
        <v>1.7141860465116279</v>
      </c>
      <c r="F106" s="2900">
        <f>0.7371/F101</f>
        <v>1.7141860465116279</v>
      </c>
      <c r="G106" s="2900">
        <f>0.7371/G101</f>
        <v>1.7141860465116279</v>
      </c>
      <c r="H106" s="2900">
        <f>0.7371/H101</f>
        <v>1.7141860465116279</v>
      </c>
      <c r="I106" s="2900">
        <f>0.7371/I101</f>
        <v>1.7141860465116279</v>
      </c>
      <c r="J106" s="2900">
        <f>0.5659/J101</f>
        <v>1.316046511627907</v>
      </c>
      <c r="K106" s="2900">
        <f>0.5659/K101</f>
        <v>1.316046511627907</v>
      </c>
      <c r="L106" s="2900">
        <f>0.5659/L101</f>
        <v>1.316046511627907</v>
      </c>
      <c r="M106" s="2900">
        <f>0.5659/M101</f>
        <v>1.316046511627907</v>
      </c>
      <c r="N106" s="2900">
        <f>0.5659/N101</f>
        <v>1.316046511627907</v>
      </c>
    </row>
    <row r="107" spans="1:14">
      <c r="A107" s="3168"/>
      <c r="B107" s="2899">
        <v>6</v>
      </c>
      <c r="C107" s="2900">
        <f>0.7608/C101</f>
        <v>1.7693023255813956</v>
      </c>
      <c r="D107" s="2900">
        <f>0.7608/D101</f>
        <v>1.7693023255813956</v>
      </c>
      <c r="E107" s="2900">
        <f>0.6482/E101</f>
        <v>1.5074418604651163</v>
      </c>
      <c r="F107" s="2900">
        <f>0.6482/F101</f>
        <v>1.5074418604651163</v>
      </c>
      <c r="G107" s="2900">
        <f>0.6482/G101</f>
        <v>1.5074418604651163</v>
      </c>
      <c r="H107" s="2900">
        <f>0.6482/H101</f>
        <v>1.5074418604651163</v>
      </c>
      <c r="I107" s="2900">
        <f>0.6482/I101</f>
        <v>1.5074418604651163</v>
      </c>
      <c r="J107" s="2900">
        <f>0.4525/J101</f>
        <v>1.0523255813953489</v>
      </c>
      <c r="K107" s="2900">
        <f>0.4525/K101</f>
        <v>1.0523255813953489</v>
      </c>
      <c r="L107" s="2900">
        <f>0.4525/L101</f>
        <v>1.0523255813953489</v>
      </c>
      <c r="M107" s="2900">
        <f>0.4525/M101</f>
        <v>1.0523255813953489</v>
      </c>
      <c r="N107" s="2900">
        <f>0.4525/N101</f>
        <v>1.0523255813953489</v>
      </c>
    </row>
    <row r="108" spans="1:14">
      <c r="A108" s="3168"/>
      <c r="B108" s="3123" t="s">
        <v>2977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169"/>
      <c r="B109" s="3124"/>
      <c r="C109" s="2902">
        <f>(-0.163*(C108^2)-0.59*C108+7617)*(10^(-4))/C101</f>
        <v>1.7713953488372094</v>
      </c>
      <c r="D109" s="2902">
        <f>(-0.163*(D108^2)-0.59*D108+7617)*(10^(-4))/D101</f>
        <v>1.7713953488372094</v>
      </c>
      <c r="E109" s="2902">
        <f>(-0.161*(E108^2)-7.509*E108+6533)*(10^(-4))/E101</f>
        <v>1.5193023255813953</v>
      </c>
      <c r="F109" s="2902">
        <f>(-0.161*(F108^2)-7.509*F108+6533)*(10^(-4))/F101</f>
        <v>1.5193023255813953</v>
      </c>
      <c r="G109" s="2902">
        <f>(-0.161*(G108^2)-7.509*G108+6533)*(10^(-4))/G101</f>
        <v>1.5193023255813953</v>
      </c>
      <c r="H109" s="2902">
        <f>(-0.161*(H108^2)-7.509*H108+6533)*(10^(-4))/H101</f>
        <v>1.5193023255813953</v>
      </c>
      <c r="I109" s="2902">
        <f>(-0.161*(I108^2)-7.509*I108+6533)*(10^(-4))/I101</f>
        <v>1.5193023255813953</v>
      </c>
      <c r="J109" s="2902">
        <f>(-0.214*(J108^2)-21.991*J108+4665)*(10^(-4))/J101</f>
        <v>1.0848837209302327</v>
      </c>
      <c r="K109" s="2902">
        <f>(-0.214*(K108^2)-21.991*K108+4665)*(10^(-4))/K101</f>
        <v>1.0848837209302327</v>
      </c>
      <c r="L109" s="2902">
        <f>(-0.214*(L108^2)-21.991*L108+4665)*(10^(-4))/L101</f>
        <v>1.0848837209302327</v>
      </c>
      <c r="M109" s="2902">
        <f>(-0.214*(M108^2)-21.991*M108+4665)*(10^(-4))/M101</f>
        <v>1.0848837209302327</v>
      </c>
      <c r="N109" s="2902">
        <f>(-0.214*(N108^2)-21.991*N108+4665)*(10^(-4))/N101</f>
        <v>1.0848837209302327</v>
      </c>
    </row>
    <row r="110" spans="1:14">
      <c r="A110" s="3165" t="s">
        <v>2978</v>
      </c>
      <c r="B110" s="3165"/>
      <c r="C110" s="3165"/>
      <c r="D110" s="3165"/>
      <c r="E110" s="3165"/>
      <c r="F110" s="3165"/>
      <c r="G110" s="3165"/>
      <c r="H110" s="3165"/>
      <c r="I110" s="3165"/>
      <c r="J110" s="3165"/>
      <c r="K110" s="2905"/>
      <c r="L110" s="2905"/>
      <c r="M110" s="2905"/>
      <c r="N110" s="2905"/>
    </row>
    <row r="112" spans="1:14" ht="13.5" thickBot="1"/>
    <row r="113" spans="1:13" ht="25.5" thickBot="1">
      <c r="A113" s="903" t="s">
        <v>2979</v>
      </c>
      <c r="B113" s="1290">
        <f>G3</f>
        <v>0.43</v>
      </c>
      <c r="C113" s="904" t="s">
        <v>2980</v>
      </c>
      <c r="D113" s="905">
        <f>SUMPRODUCT((A115:A118=F113)*(B114:M114=H113)*B115:M118)</f>
        <v>0.62470000000000003</v>
      </c>
      <c r="E113" s="2728" t="s">
        <v>2813</v>
      </c>
      <c r="F113" s="2907" t="str">
        <f>E2</f>
        <v>工业</v>
      </c>
      <c r="G113" s="2728" t="s">
        <v>2814</v>
      </c>
      <c r="H113" s="2907" t="str">
        <f>G2</f>
        <v>六级</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2878</v>
      </c>
      <c r="B115" s="910">
        <f>ROUND(0.9335-0.0094*B113,4)</f>
        <v>0.92949999999999999</v>
      </c>
      <c r="C115" s="910">
        <f>B115</f>
        <v>0.92949999999999999</v>
      </c>
      <c r="D115" s="910">
        <f>ROUND(0.8331-0.0109*B113,4)</f>
        <v>0.82840000000000003</v>
      </c>
      <c r="E115" s="910">
        <f>D115</f>
        <v>0.82840000000000003</v>
      </c>
      <c r="F115" s="910">
        <f>E115</f>
        <v>0.82840000000000003</v>
      </c>
      <c r="G115" s="910">
        <f>F115</f>
        <v>0.82840000000000003</v>
      </c>
      <c r="H115" s="910">
        <f>G115</f>
        <v>0.82840000000000003</v>
      </c>
      <c r="I115" s="910">
        <f>ROUND(0.689-0.0155*B113,4)</f>
        <v>0.68230000000000002</v>
      </c>
      <c r="J115" s="910">
        <f t="shared" ref="J115:M118" si="34">I115</f>
        <v>0.68230000000000002</v>
      </c>
      <c r="K115" s="910">
        <f t="shared" si="34"/>
        <v>0.68230000000000002</v>
      </c>
      <c r="L115" s="910">
        <f t="shared" si="34"/>
        <v>0.68230000000000002</v>
      </c>
      <c r="M115" s="911">
        <f t="shared" si="34"/>
        <v>0.68230000000000002</v>
      </c>
    </row>
    <row r="116" spans="1:13">
      <c r="A116" s="909" t="s">
        <v>2879</v>
      </c>
      <c r="B116" s="910">
        <f>ROUND(0.949-0.012*B113,4)</f>
        <v>0.94379999999999997</v>
      </c>
      <c r="C116" s="910">
        <f>B116</f>
        <v>0.94379999999999997</v>
      </c>
      <c r="D116" s="910">
        <f>ROUND(0.8567-0.013*B113,4)</f>
        <v>0.85109999999999997</v>
      </c>
      <c r="E116" s="910">
        <f t="shared" ref="E116:H117" si="35">D116</f>
        <v>0.85109999999999997</v>
      </c>
      <c r="F116" s="910">
        <f t="shared" si="35"/>
        <v>0.85109999999999997</v>
      </c>
      <c r="G116" s="910">
        <f t="shared" si="35"/>
        <v>0.85109999999999997</v>
      </c>
      <c r="H116" s="910">
        <f t="shared" si="35"/>
        <v>0.85109999999999997</v>
      </c>
      <c r="I116" s="910">
        <f>ROUND(0.7694-0.014*B113,4)</f>
        <v>0.76339999999999997</v>
      </c>
      <c r="J116" s="910">
        <f t="shared" si="34"/>
        <v>0.76339999999999997</v>
      </c>
      <c r="K116" s="910">
        <f t="shared" si="34"/>
        <v>0.76339999999999997</v>
      </c>
      <c r="L116" s="910">
        <f t="shared" si="34"/>
        <v>0.76339999999999997</v>
      </c>
      <c r="M116" s="911">
        <f t="shared" si="34"/>
        <v>0.76339999999999997</v>
      </c>
    </row>
    <row r="117" spans="1:13">
      <c r="A117" s="909" t="s">
        <v>2880</v>
      </c>
      <c r="B117" s="910">
        <f>ROUND(0.8808-0.006*B113,4)</f>
        <v>0.87819999999999998</v>
      </c>
      <c r="C117" s="910">
        <f>B117</f>
        <v>0.87819999999999998</v>
      </c>
      <c r="D117" s="910">
        <f>ROUND(0.8748-0.008*B113,4)</f>
        <v>0.87139999999999995</v>
      </c>
      <c r="E117" s="910">
        <f t="shared" si="35"/>
        <v>0.87139999999999995</v>
      </c>
      <c r="F117" s="910">
        <f t="shared" si="35"/>
        <v>0.87139999999999995</v>
      </c>
      <c r="G117" s="910">
        <f t="shared" si="35"/>
        <v>0.87139999999999995</v>
      </c>
      <c r="H117" s="910">
        <f t="shared" si="35"/>
        <v>0.87139999999999995</v>
      </c>
      <c r="I117" s="910">
        <f>ROUND(0.7412-0.0095*B113,4)</f>
        <v>0.73709999999999998</v>
      </c>
      <c r="J117" s="910">
        <f t="shared" si="34"/>
        <v>0.73709999999999998</v>
      </c>
      <c r="K117" s="910">
        <f t="shared" si="34"/>
        <v>0.73709999999999998</v>
      </c>
      <c r="L117" s="910">
        <f t="shared" si="34"/>
        <v>0.73709999999999998</v>
      </c>
      <c r="M117" s="911">
        <f t="shared" si="34"/>
        <v>0.73709999999999998</v>
      </c>
    </row>
    <row r="118" spans="1:13" ht="13.5" thickBot="1">
      <c r="A118" s="714" t="s">
        <v>2881</v>
      </c>
      <c r="B118" s="912">
        <f>ROUND(0.7275-0.01*B113,4)</f>
        <v>0.72319999999999995</v>
      </c>
      <c r="C118" s="912">
        <f>B118</f>
        <v>0.72319999999999995</v>
      </c>
      <c r="D118" s="912">
        <f>ROUND(0.7043-0.012*B113,4)</f>
        <v>0.69910000000000005</v>
      </c>
      <c r="E118" s="912">
        <f>D118</f>
        <v>0.69910000000000005</v>
      </c>
      <c r="F118" s="912">
        <f>E118</f>
        <v>0.69910000000000005</v>
      </c>
      <c r="G118" s="912">
        <f>ROUND(0.6299-0.0122*B113,4)</f>
        <v>0.62470000000000003</v>
      </c>
      <c r="H118" s="912">
        <f>G118</f>
        <v>0.62470000000000003</v>
      </c>
      <c r="I118" s="912">
        <f>ROUND(0.5667-0.0136*B113,4)</f>
        <v>0.56089999999999995</v>
      </c>
      <c r="J118" s="912">
        <f t="shared" si="34"/>
        <v>0.56089999999999995</v>
      </c>
      <c r="K118" s="912">
        <f t="shared" si="34"/>
        <v>0.56089999999999995</v>
      </c>
      <c r="L118" s="912">
        <f t="shared" si="34"/>
        <v>0.56089999999999995</v>
      </c>
      <c r="M118" s="913">
        <f t="shared" si="34"/>
        <v>0.56089999999999995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1" sqref="J31"/>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2525</v>
      </c>
      <c r="B1" s="2566"/>
      <c r="C1" s="2566"/>
      <c r="D1" s="2566"/>
      <c r="E1" s="2567"/>
    </row>
    <row r="2" spans="1:6" ht="15.75">
      <c r="A2" s="2568" t="s">
        <v>2326</v>
      </c>
      <c r="B2" s="2569">
        <f ca="1">SUMIF(B6:B13,"&lt;&gt;#ref!",B6:B13)</f>
        <v>26188</v>
      </c>
      <c r="C2" s="2570" t="s">
        <v>2518</v>
      </c>
      <c r="D2" s="2571" t="s">
        <v>2519</v>
      </c>
      <c r="E2" s="2572">
        <f>SUM(E6:E13)</f>
        <v>28894.02</v>
      </c>
    </row>
    <row r="3" spans="1:6" ht="15.75">
      <c r="A3" s="2568" t="s">
        <v>1396</v>
      </c>
      <c r="B3" s="2569">
        <f ca="1">ROUND(B2*10000/E2,0)</f>
        <v>9063</v>
      </c>
      <c r="C3" s="2570" t="s">
        <v>2526</v>
      </c>
      <c r="D3" s="2573"/>
      <c r="E3" s="2574"/>
    </row>
    <row r="4" spans="1:6" ht="15.75">
      <c r="A4" s="2575"/>
      <c r="B4" s="2573"/>
      <c r="C4" s="2573"/>
      <c r="D4" s="2573"/>
      <c r="E4" s="2574"/>
    </row>
    <row r="5" spans="1:6" ht="15">
      <c r="A5" s="2576" t="s">
        <v>2520</v>
      </c>
      <c r="B5" s="3173" t="s">
        <v>2521</v>
      </c>
      <c r="C5" s="3173"/>
      <c r="D5" s="2577"/>
      <c r="E5" s="2578" t="s">
        <v>2522</v>
      </c>
      <c r="F5" s="2579" t="s">
        <v>2523</v>
      </c>
    </row>
    <row r="6" spans="1:6">
      <c r="A6" s="2580" t="str">
        <f>'数据-取费表'!AN6</f>
        <v>收益法工业</v>
      </c>
      <c r="B6" s="2579">
        <f ca="1">IF(F6="是",'数据-取费表'!AO6,0)</f>
        <v>26188</v>
      </c>
      <c r="C6" s="2570" t="s">
        <v>2518</v>
      </c>
      <c r="D6" s="2573"/>
      <c r="E6" s="2581">
        <f>IF(OR(A6=0,F6="否"),0,'数据-取费表'!K6+'数据-取费表'!S6)</f>
        <v>28894.02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I41" sqref="I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6</v>
      </c>
      <c r="D1" s="1824" t="s">
        <v>70</v>
      </c>
      <c r="E1" s="1825" t="s">
        <v>1388</v>
      </c>
      <c r="F1" s="1286">
        <f ca="1">J53</f>
        <v>38.04</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26188</v>
      </c>
      <c r="C2" s="1849" t="s">
        <v>1517</v>
      </c>
      <c r="D2" s="1849"/>
      <c r="E2" s="1850"/>
      <c r="F2" s="1851"/>
      <c r="G2" s="1852"/>
      <c r="H2" s="1844"/>
      <c r="I2" s="1844"/>
      <c r="J2" s="1844"/>
      <c r="K2" s="1845"/>
      <c r="L2" s="1844"/>
      <c r="M2" s="1844"/>
    </row>
    <row r="3" spans="1:37" ht="18" customHeight="1" thickBot="1">
      <c r="A3" s="1853" t="s">
        <v>1518</v>
      </c>
      <c r="B3" s="1854">
        <f ca="1">IF(ISERROR(B2*10000/F43),0,ROUND(B2*10000/F43,0))</f>
        <v>9190</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1083</v>
      </c>
      <c r="D5" s="1826" t="s">
        <v>1403</v>
      </c>
      <c r="E5" s="1296"/>
      <c r="F5" s="1297"/>
      <c r="G5" s="1855"/>
      <c r="H5" s="344">
        <v>1</v>
      </c>
      <c r="I5" s="345" t="s">
        <v>1402</v>
      </c>
      <c r="J5" s="1295">
        <f ca="1">J6+J10+J12</f>
        <v>1879</v>
      </c>
      <c r="K5" s="1826" t="s">
        <v>1403</v>
      </c>
      <c r="L5" s="1296"/>
      <c r="M5" s="1297"/>
    </row>
    <row r="6" spans="1:37" ht="18" customHeight="1">
      <c r="A6" s="1294" t="s">
        <v>1035</v>
      </c>
      <c r="B6" s="3176" t="s">
        <v>1404</v>
      </c>
      <c r="C6" s="1299">
        <f ca="1">ROUND(F6*F8*F7*(1-F9)/10000,0)</f>
        <v>1082</v>
      </c>
      <c r="D6" s="164" t="s">
        <v>3032</v>
      </c>
      <c r="E6" s="347" t="s">
        <v>1406</v>
      </c>
      <c r="F6" s="348">
        <f ca="1">INDIRECT("'数据-取费表'!u"&amp;$G$1)</f>
        <v>1.04</v>
      </c>
      <c r="G6" s="1855"/>
      <c r="H6" s="1294" t="s">
        <v>1035</v>
      </c>
      <c r="I6" s="3176" t="s">
        <v>1404</v>
      </c>
      <c r="J6" s="346">
        <f ca="1">ROUND(M6*M8*M7*(1-M9)/10000,0)</f>
        <v>1877</v>
      </c>
      <c r="K6" s="164" t="s">
        <v>3031</v>
      </c>
      <c r="L6" s="347" t="s">
        <v>1406</v>
      </c>
      <c r="M6" s="348">
        <f ca="1">INDIRECT("'数据-取费表'!z"&amp;$G$1)</f>
        <v>1.9</v>
      </c>
    </row>
    <row r="7" spans="1:37" ht="18" customHeight="1">
      <c r="A7" s="1298"/>
      <c r="B7" s="3177"/>
      <c r="C7" s="1300"/>
      <c r="D7" s="352"/>
      <c r="E7" s="1301" t="s">
        <v>1407</v>
      </c>
      <c r="F7" s="348">
        <f ca="1">IF(INDIRECT("'数据-取费表'!ah"&amp;$G$1)="",INDIRECT("'数据-取费表'!k"&amp;$G$1),INDIRECT("'数据-取费表'!ah"&amp;$G$1))</f>
        <v>28495.38</v>
      </c>
      <c r="G7" s="1855"/>
      <c r="H7" s="349"/>
      <c r="I7" s="3177"/>
      <c r="J7" s="351"/>
      <c r="K7" s="352"/>
      <c r="L7" s="347" t="s">
        <v>1407</v>
      </c>
      <c r="M7" s="348">
        <f ca="1">F7</f>
        <v>28495.38</v>
      </c>
    </row>
    <row r="8" spans="1:37" ht="18" customHeight="1">
      <c r="A8" s="349"/>
      <c r="B8" s="3177"/>
      <c r="C8" s="351"/>
      <c r="D8" s="352"/>
      <c r="E8" s="347" t="s">
        <v>1408</v>
      </c>
      <c r="F8" s="348">
        <f ca="1">INDIRECT("'数据-取费表'!ai"&amp;$G$1)</f>
        <v>365</v>
      </c>
      <c r="G8" s="1855"/>
      <c r="H8" s="349"/>
      <c r="I8" s="3177"/>
      <c r="J8" s="351"/>
      <c r="K8" s="352"/>
      <c r="L8" s="347" t="s">
        <v>1408</v>
      </c>
      <c r="M8" s="348">
        <f ca="1">INDIRECT("'数据-取费表'!ai"&amp;$G$1)</f>
        <v>365</v>
      </c>
    </row>
    <row r="9" spans="1:37" ht="18" customHeight="1">
      <c r="A9" s="349"/>
      <c r="B9" s="3178"/>
      <c r="C9" s="351"/>
      <c r="D9" s="352"/>
      <c r="E9" s="347" t="s">
        <v>1409</v>
      </c>
      <c r="F9" s="357">
        <f ca="1">INDIRECT("'数据-取费表'!w"&amp;$G$1)</f>
        <v>0</v>
      </c>
      <c r="G9" s="1855"/>
      <c r="H9" s="349"/>
      <c r="I9" s="3178"/>
      <c r="J9" s="351"/>
      <c r="K9" s="352"/>
      <c r="L9" s="358" t="s">
        <v>1409</v>
      </c>
      <c r="M9" s="359">
        <f ca="1">INDIRECT("'数据-取费表'!ab"&amp;$G$1)</f>
        <v>0.05</v>
      </c>
    </row>
    <row r="10" spans="1:37" ht="18" customHeight="1">
      <c r="A10" s="1294" t="s">
        <v>1039</v>
      </c>
      <c r="B10" s="1827" t="s">
        <v>1410</v>
      </c>
      <c r="C10" s="361">
        <f ca="1">ROUND(IF(F10="押一",F6*F8*F7/12*F11,IF(F10="押二",F6*F8*F7/12*2*F11,IF(F10="押三",F6*F8*F7/12*3*F11,C11*F11)))/10000,0)</f>
        <v>1</v>
      </c>
      <c r="D10" s="1828" t="s">
        <v>3033</v>
      </c>
      <c r="E10" s="358" t="s">
        <v>1412</v>
      </c>
      <c r="F10" s="1369" t="s">
        <v>3080</v>
      </c>
      <c r="G10" s="1855"/>
      <c r="H10" s="1294" t="s">
        <v>1039</v>
      </c>
      <c r="I10" s="1827" t="s">
        <v>1410</v>
      </c>
      <c r="J10" s="346">
        <f ca="1">ROUND(IF(M10="押一",M6*M8*M7/12*M11,IF(M10="押二",M6*M8*M7/12*2*M11,IF(M10="押三",M6*M8*M7/12*3*M11,J11*M11)))/10000,0)</f>
        <v>2</v>
      </c>
      <c r="K10" s="1828" t="s">
        <v>3034</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7577</v>
      </c>
      <c r="D13" s="1334" t="s">
        <v>1416</v>
      </c>
      <c r="E13" s="1334" t="s">
        <v>1417</v>
      </c>
      <c r="F13" s="1335">
        <f ca="1">INDIRECT("'数据-取费表'!y"&amp;$G$1)</f>
        <v>0.78749999999999998</v>
      </c>
      <c r="G13" s="1855"/>
      <c r="H13" s="1332">
        <v>2</v>
      </c>
      <c r="I13" s="1333" t="s">
        <v>1415</v>
      </c>
      <c r="J13" s="1293">
        <f ca="1">ROUND(J14*J15,0)</f>
        <v>6825</v>
      </c>
      <c r="K13" s="1340" t="s">
        <v>1416</v>
      </c>
      <c r="L13" s="1856"/>
      <c r="M13" s="1857"/>
    </row>
    <row r="14" spans="1:37" ht="18" customHeight="1">
      <c r="A14" s="1204" t="s">
        <v>1034</v>
      </c>
      <c r="B14" s="347" t="s">
        <v>1418</v>
      </c>
      <c r="C14" s="363">
        <f ca="1">INDIRECT("'数据-取费表'!m"&amp;$G$1)+INDIRECT("'数据-取费表'!t"&amp;$G$1)</f>
        <v>6483</v>
      </c>
      <c r="D14" s="1804" t="s">
        <v>1419</v>
      </c>
      <c r="E14" s="1798"/>
      <c r="F14" s="364"/>
      <c r="G14" s="1855"/>
      <c r="H14" s="1204" t="s">
        <v>1035</v>
      </c>
      <c r="I14" s="347" t="s">
        <v>1420</v>
      </c>
      <c r="J14" s="24">
        <f ca="1">C29</f>
        <v>9621</v>
      </c>
      <c r="K14" s="15"/>
      <c r="L14" s="982"/>
      <c r="M14" s="983"/>
    </row>
    <row r="15" spans="1:37" s="1862" customFormat="1" ht="18" customHeight="1" thickBot="1">
      <c r="A15" s="1204" t="s">
        <v>1036</v>
      </c>
      <c r="B15" s="347" t="s">
        <v>1421</v>
      </c>
      <c r="C15" s="24">
        <f ca="1">ROUND(C14*F15,0)</f>
        <v>194</v>
      </c>
      <c r="D15" s="365" t="s">
        <v>1422</v>
      </c>
      <c r="E15" s="365" t="s">
        <v>1423</v>
      </c>
      <c r="F15" s="366">
        <f>'数据-取费表'!B33</f>
        <v>0.03</v>
      </c>
      <c r="G15" s="1858"/>
      <c r="H15" s="1342" t="s">
        <v>1039</v>
      </c>
      <c r="I15" s="1343" t="s">
        <v>1417</v>
      </c>
      <c r="J15" s="1352">
        <f ca="1">INDIRECT("'数据-取费表'!ad"&amp;$G$1)</f>
        <v>0.70940000000000003</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ROUND(INDIRECT("'数据-取费表'!m"&amp;$G$1)*F16,0)</f>
        <v>0</v>
      </c>
      <c r="D16" s="347" t="s">
        <v>1422</v>
      </c>
      <c r="E16" s="347" t="s">
        <v>1423</v>
      </c>
      <c r="F16" s="367">
        <f ca="1">IF(INDIRECT("'数据-取费表'!c"&amp;$G$1)="住宅",'数据-取费表'!B34,0)</f>
        <v>0</v>
      </c>
      <c r="G16" s="1855"/>
      <c r="H16" s="1332" t="s">
        <v>1030</v>
      </c>
      <c r="I16" s="1333" t="s">
        <v>1425</v>
      </c>
      <c r="J16" s="355">
        <f ca="1">ROUND(J17+J22+J23+J24,0)</f>
        <v>433</v>
      </c>
      <c r="K16" s="1340" t="s">
        <v>1426</v>
      </c>
      <c r="L16" s="1341"/>
      <c r="M16" s="1297"/>
    </row>
    <row r="17" spans="1:37" s="1862" customFormat="1" ht="18" customHeight="1">
      <c r="A17" s="1204" t="s">
        <v>1391</v>
      </c>
      <c r="B17" s="347" t="s">
        <v>1427</v>
      </c>
      <c r="C17" s="24">
        <f ca="1">ROUND(F17*(F43+INDIRECT("'数据-取费表'!S"&amp;$G$1))/10000,0)</f>
        <v>578</v>
      </c>
      <c r="D17" s="347" t="s">
        <v>1428</v>
      </c>
      <c r="E17" s="347" t="s">
        <v>1429</v>
      </c>
      <c r="F17" s="26">
        <f>'数据-取费表'!B35</f>
        <v>200</v>
      </c>
      <c r="G17" s="1858"/>
      <c r="H17" s="1204" t="s">
        <v>1035</v>
      </c>
      <c r="I17" s="347" t="s">
        <v>1430</v>
      </c>
      <c r="J17" s="24">
        <f ca="1">ROUND(IF(项目基本情况!B11="自然人",J5*M17,J18+J19+J20),1)</f>
        <v>189.2</v>
      </c>
      <c r="K17" s="1804" t="s">
        <v>1431</v>
      </c>
      <c r="L17" s="1802" t="s">
        <v>1432</v>
      </c>
      <c r="M17" s="368">
        <f ca="1">IF(项目基本情况!B11="企业","",IF(INDIRECT("'数据-取费表'!c"&amp;$G$1)="住宅",5%,IF(M6*M7*M8/12/(1+'数据-取费表'!C42)&gt;20000,12%,7%)))</f>
        <v>0.12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97</v>
      </c>
      <c r="D18" s="347" t="s">
        <v>1422</v>
      </c>
      <c r="E18" s="347" t="s">
        <v>1423</v>
      </c>
      <c r="F18" s="367">
        <f>'数据-取费表'!B36</f>
        <v>1.4999999999999999E-2</v>
      </c>
      <c r="G18" s="1858"/>
      <c r="H18" s="1204" t="s">
        <v>1034</v>
      </c>
      <c r="I18" s="347" t="s">
        <v>1434</v>
      </c>
      <c r="J18" s="24">
        <f ca="1">ROUND(J5*M18/(1+'数据-取费表'!C42),2)</f>
        <v>98.42</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7352</v>
      </c>
      <c r="D19" s="139" t="s">
        <v>1437</v>
      </c>
      <c r="E19" s="1822"/>
      <c r="F19" s="26"/>
      <c r="G19" s="1855"/>
      <c r="H19" s="1204" t="s">
        <v>1036</v>
      </c>
      <c r="I19" s="347" t="s">
        <v>1438</v>
      </c>
      <c r="J19" s="24">
        <f ca="1">IF(K19="按租金收入计税",ROUND(J5*M19,2),ROUND(C29*M19*0.7,2))</f>
        <v>80.819999999999993</v>
      </c>
      <c r="K19" s="1832" t="s">
        <v>1439</v>
      </c>
      <c r="L19" s="347" t="s">
        <v>1423</v>
      </c>
      <c r="M19" s="367">
        <f>IF(K19="按租金收入计税",'数据-取费表'!B51,'数据-取费表'!B50)</f>
        <v>1.2E-2</v>
      </c>
    </row>
    <row r="20" spans="1:37" s="1862" customFormat="1" ht="18" customHeight="1">
      <c r="A20" s="1204" t="s">
        <v>1039</v>
      </c>
      <c r="B20" s="347" t="s">
        <v>1440</v>
      </c>
      <c r="C20" s="24">
        <f ca="1">ROUND(C19*F20,0)</f>
        <v>147</v>
      </c>
      <c r="D20" s="369" t="s">
        <v>1441</v>
      </c>
      <c r="E20" s="347" t="s">
        <v>1423</v>
      </c>
      <c r="F20" s="367">
        <f>'数据-取费表'!B37</f>
        <v>0.02</v>
      </c>
      <c r="G20" s="1858"/>
      <c r="H20" s="1204" t="s">
        <v>1390</v>
      </c>
      <c r="I20" s="164" t="s">
        <v>1442</v>
      </c>
      <c r="J20" s="25">
        <f ca="1">ROUND(M20*M21/10000,2)</f>
        <v>9.92</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f ca="1">INDIRECT("'数据-取费表'!r"&amp;$G$1)</f>
        <v>66147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ROUND(J14*M22,1)</f>
        <v>192.4</v>
      </c>
      <c r="K22" s="1802" t="s">
        <v>1451</v>
      </c>
      <c r="L22" s="347" t="s">
        <v>1423</v>
      </c>
      <c r="M22" s="374">
        <f ca="1">INDIRECT("'数据-取费表'!Ak"&amp;$G$1)</f>
        <v>0.02</v>
      </c>
    </row>
    <row r="23" spans="1:37" s="1862" customFormat="1" ht="18" customHeight="1">
      <c r="A23" s="1204" t="s">
        <v>1034</v>
      </c>
      <c r="B23" s="347" t="s">
        <v>1452</v>
      </c>
      <c r="C23" s="24">
        <f ca="1">IF('数据-取费表'!B22&lt;=1,ROUND(C19*F24*F23/2,0)+ROUND(C20*F24*F23/2,0),ROUND(C19*(POWER((1+F24),F23/2)-1),0)+ROUND(C20*(POWER((1+F24),F23/2)-1),0))</f>
        <v>265</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ROUND(J13*M23,1)</f>
        <v>13.7</v>
      </c>
      <c r="K23" s="1802" t="s">
        <v>1455</v>
      </c>
      <c r="L23" s="347" t="s">
        <v>1456</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ROUND(J5*M24,1)</f>
        <v>37.6</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1822"/>
      <c r="F25" s="26"/>
      <c r="G25" s="1855"/>
      <c r="H25" s="1332" t="s">
        <v>1031</v>
      </c>
      <c r="I25" s="1347" t="s">
        <v>1464</v>
      </c>
      <c r="J25" s="355">
        <f ca="1">J5-J16</f>
        <v>1446</v>
      </c>
      <c r="K25" s="1348" t="s">
        <v>1465</v>
      </c>
      <c r="L25" s="1349"/>
      <c r="M25" s="1350"/>
    </row>
    <row r="26" spans="1:37">
      <c r="A26" s="1204" t="s">
        <v>1034</v>
      </c>
      <c r="B26" s="347" t="s">
        <v>1466</v>
      </c>
      <c r="C26" s="24">
        <f ca="1">ROUND((C19+C20)*F26,0)</f>
        <v>1125</v>
      </c>
      <c r="D26" s="369" t="s">
        <v>1467</v>
      </c>
      <c r="E26" s="358" t="s">
        <v>1468</v>
      </c>
      <c r="F26" s="357">
        <f ca="1">INDIRECT("'数据-取费表'!q"&amp;$G$1)</f>
        <v>0.15</v>
      </c>
      <c r="G26" s="1855"/>
      <c r="H26" s="344" t="s">
        <v>1032</v>
      </c>
      <c r="I26" s="345" t="s">
        <v>1469</v>
      </c>
      <c r="J26" s="346">
        <f ca="1">IF(J5&lt;&gt;0,ROUND(J25*(1-((1+M28)/(1+M26))^M27)/(M26-M28),0),0)</f>
        <v>28478</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5"/>
      <c r="H27" s="349"/>
      <c r="I27" s="350"/>
      <c r="J27" s="351"/>
      <c r="K27" s="378" t="s">
        <v>1474</v>
      </c>
      <c r="L27" s="347" t="s">
        <v>1475</v>
      </c>
      <c r="M27" s="379">
        <f ca="1">INDIRECT("'数据-取费表'!ag"&amp;$G$1)</f>
        <v>34.479999999999997</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1.4999999999999999E-2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9621</v>
      </c>
      <c r="D29" s="1345"/>
      <c r="E29" s="1343"/>
      <c r="F29" s="1346"/>
      <c r="G29" s="1858"/>
      <c r="H29" s="380" t="s">
        <v>1033</v>
      </c>
      <c r="I29" s="381" t="s">
        <v>1480</v>
      </c>
      <c r="J29" s="382">
        <f ca="1">ROUND(J26/(1+F40)^F41,0)</f>
        <v>23937</v>
      </c>
      <c r="K29" s="383" t="s">
        <v>1481</v>
      </c>
      <c r="L29" s="384"/>
      <c r="M29" s="385">
        <f ca="1">INDIRECT("'数据-取费表'!k"&amp;$G$1)</f>
        <v>28495.38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377</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ROUND(IF(项目基本情况!B11="自然人",C5*F31,C32+C33+C34),1)</f>
        <v>147.5</v>
      </c>
      <c r="D31" s="1804" t="s">
        <v>1431</v>
      </c>
      <c r="E31" s="1802" t="s">
        <v>1482</v>
      </c>
      <c r="F31" s="368">
        <f ca="1">IF(项目基本情况!B11="企业","",IF(INDIRECT("'数据-取费表'!c"&amp;$G$1)="住宅",5%,IF(F6*F7*F8/12/(1+'数据-取费表'!C42)&gt;20000,12%,7%)))</f>
        <v>0.12</v>
      </c>
      <c r="G31" s="1855"/>
      <c r="H31" s="745"/>
      <c r="I31" s="746"/>
      <c r="J31" s="747"/>
      <c r="K31" s="748"/>
      <c r="L31" s="749"/>
      <c r="M31" s="750"/>
    </row>
    <row r="32" spans="1:37" ht="18" customHeight="1">
      <c r="A32" s="1204" t="s">
        <v>1034</v>
      </c>
      <c r="B32" s="347" t="s">
        <v>1434</v>
      </c>
      <c r="C32" s="24">
        <f ca="1">IF(项目基本情况!B11="自然人","——",ROUND(C5*F32/(1+'数据-取费表'!C42),2))</f>
        <v>56.73</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80.819999999999993</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IF(项目基本情况!B11="自然人","——",ROUND(F34*F35/10000,2))</f>
        <v>9.92</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66147</v>
      </c>
      <c r="G35" s="1855"/>
      <c r="H35" s="745"/>
      <c r="I35" s="1864"/>
      <c r="J35" s="1865"/>
      <c r="K35" s="1866"/>
      <c r="L35" s="1863"/>
      <c r="M35" s="1863"/>
    </row>
    <row r="36" spans="1:18" ht="18" customHeight="1">
      <c r="A36" s="1355" t="s">
        <v>1039</v>
      </c>
      <c r="B36" s="347" t="s">
        <v>1450</v>
      </c>
      <c r="C36" s="24">
        <f ca="1">ROUND(C29*F36,1)</f>
        <v>192.4</v>
      </c>
      <c r="D36" s="1802" t="s">
        <v>1483</v>
      </c>
      <c r="E36" s="347" t="s">
        <v>1423</v>
      </c>
      <c r="F36" s="374">
        <f ca="1">INDIRECT("'数据-取费表'!Ak"&amp;$G$1)</f>
        <v>0.02</v>
      </c>
      <c r="G36" s="1855"/>
      <c r="H36" s="1863"/>
      <c r="I36" s="1864"/>
      <c r="J36" s="1865"/>
      <c r="K36" s="751"/>
      <c r="L36" s="1863"/>
      <c r="M36" s="1863"/>
    </row>
    <row r="37" spans="1:18" ht="18" customHeight="1">
      <c r="A37" s="1204" t="s">
        <v>1075</v>
      </c>
      <c r="B37" s="347" t="s">
        <v>1454</v>
      </c>
      <c r="C37" s="24">
        <f ca="1">ROUND(C13*F37,1)</f>
        <v>15.2</v>
      </c>
      <c r="D37" s="1802" t="s">
        <v>1455</v>
      </c>
      <c r="E37" s="347" t="s">
        <v>1456</v>
      </c>
      <c r="F37" s="376">
        <f ca="1">INDIRECT("'数据-取费表'!Al"&amp;$G$1)</f>
        <v>2E-3</v>
      </c>
      <c r="G37" s="1855"/>
      <c r="H37" s="1863"/>
      <c r="I37" s="1864"/>
      <c r="J37" s="1865"/>
      <c r="K37" s="751"/>
      <c r="L37" s="1863"/>
      <c r="M37" s="1863"/>
    </row>
    <row r="38" spans="1:18" ht="18" customHeight="1" thickBot="1">
      <c r="A38" s="1342" t="s">
        <v>1394</v>
      </c>
      <c r="B38" s="1343" t="s">
        <v>1440</v>
      </c>
      <c r="C38" s="1344">
        <f ca="1">ROUND(C5*F38,1)</f>
        <v>21.7</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5">
        <f ca="1">C5-C30</f>
        <v>706</v>
      </c>
      <c r="D39" s="1348" t="s">
        <v>1485</v>
      </c>
      <c r="E39" s="1349"/>
      <c r="F39" s="1350"/>
      <c r="G39" s="1855"/>
      <c r="H39" s="1863"/>
      <c r="I39" s="1864"/>
      <c r="J39" s="1865"/>
      <c r="K39" s="1869"/>
      <c r="L39" s="1863"/>
      <c r="M39" s="1863"/>
    </row>
    <row r="40" spans="1:18" ht="18" customHeight="1">
      <c r="A40" s="344" t="s">
        <v>1032</v>
      </c>
      <c r="B40" s="345" t="s">
        <v>1486</v>
      </c>
      <c r="C40" s="346">
        <f ca="1">ROUND(C39*(1-((1+F42)/(1+F40))^F41)/(F40-F42),0)</f>
        <v>2251</v>
      </c>
      <c r="D40" s="370" t="s">
        <v>1470</v>
      </c>
      <c r="E40" s="347" t="s">
        <v>1471</v>
      </c>
      <c r="F40" s="357">
        <f ca="1">INDIRECT("'数据-取费表'!I"&amp;$G$1)</f>
        <v>0.05</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3.56</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f ca="1">ROUND(C40*10000/F43,0)</f>
        <v>790</v>
      </c>
      <c r="D43" s="383" t="s">
        <v>1489</v>
      </c>
      <c r="E43" s="384" t="s">
        <v>1490</v>
      </c>
      <c r="F43" s="385">
        <f ca="1">INDIRECT("'数据-取费表'!k"&amp;$G$1)</f>
        <v>28495.38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2147</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f ca="1">INDIRECT("'数据-取费表'!d"&amp;$G$1)</f>
        <v>50</v>
      </c>
      <c r="M47" s="1842" t="str">
        <f>IF(ISNUMBER(FIND("住宅",C1)),"住宅","非住宅")</f>
        <v>非住宅</v>
      </c>
      <c r="O47" s="1888" t="s">
        <v>1040</v>
      </c>
      <c r="P47" s="1889" t="s">
        <v>1529</v>
      </c>
      <c r="Q47" s="1890">
        <f ca="1">C40+J29</f>
        <v>26188</v>
      </c>
      <c r="R47" s="1890" t="s">
        <v>1530</v>
      </c>
    </row>
    <row r="48" spans="1:18" s="1846" customFormat="1" ht="28.5" thickBot="1">
      <c r="A48" s="1363" t="s">
        <v>1135</v>
      </c>
      <c r="B48" s="345" t="s">
        <v>1402</v>
      </c>
      <c r="C48" s="1821">
        <f ca="1">C49+C53+C55</f>
        <v>1781</v>
      </c>
      <c r="D48" s="1365"/>
      <c r="E48" s="1366"/>
      <c r="F48" s="1184"/>
      <c r="G48" s="792"/>
      <c r="H48" s="793"/>
      <c r="I48" s="1891" t="s">
        <v>1531</v>
      </c>
      <c r="J48" s="1892" t="s">
        <v>3078</v>
      </c>
      <c r="K48" s="1893" t="s">
        <v>1532</v>
      </c>
      <c r="L48" s="1894">
        <f ca="1">INDIRECT("'数据-取费表'!f"&amp;$G$1)</f>
        <v>38.04</v>
      </c>
      <c r="O48" s="1888" t="s">
        <v>1041</v>
      </c>
      <c r="P48" s="1889" t="s">
        <v>1533</v>
      </c>
      <c r="Q48" s="1890" t="str">
        <f ca="1">J60</f>
        <v>0</v>
      </c>
      <c r="R48" s="1890" t="s">
        <v>1534</v>
      </c>
    </row>
    <row r="49" spans="1:18" s="1846" customFormat="1" ht="13.5" thickBot="1">
      <c r="A49" s="1197" t="s">
        <v>1136</v>
      </c>
      <c r="B49" s="1833" t="s">
        <v>1491</v>
      </c>
      <c r="C49" s="1367">
        <f ca="1">ROUND(F49*F51*F50*(1-F52)/10000,0)</f>
        <v>1779</v>
      </c>
      <c r="D49" s="1279" t="s">
        <v>3035</v>
      </c>
      <c r="E49" s="1834" t="s">
        <v>1492</v>
      </c>
      <c r="F49" s="1284">
        <f>'比较法-工业'!C43</f>
        <v>1.8</v>
      </c>
      <c r="G49" s="1895"/>
      <c r="H49" s="793"/>
      <c r="I49" s="1891" t="s">
        <v>1535</v>
      </c>
      <c r="J49" s="1896">
        <v>2006</v>
      </c>
      <c r="K49" s="1893" t="s">
        <v>1536</v>
      </c>
      <c r="L49" s="1897"/>
      <c r="O49" s="1898" t="s">
        <v>1042</v>
      </c>
      <c r="P49" s="1889" t="s">
        <v>1537</v>
      </c>
      <c r="Q49" s="1890">
        <f ca="1">C29</f>
        <v>9621</v>
      </c>
      <c r="R49" s="1890" t="s">
        <v>1530</v>
      </c>
    </row>
    <row r="50" spans="1:18" s="1846" customFormat="1" ht="13.5" thickBot="1">
      <c r="A50" s="1198"/>
      <c r="B50" s="1201"/>
      <c r="C50" s="1371"/>
      <c r="D50" s="1175"/>
      <c r="E50" s="1280" t="s">
        <v>1407</v>
      </c>
      <c r="F50" s="1281">
        <f ca="1">F7</f>
        <v>28495.38</v>
      </c>
      <c r="H50" s="793"/>
      <c r="I50" s="1891" t="s">
        <v>1538</v>
      </c>
      <c r="J50" s="1899">
        <f>SUMPRODUCT((I63:I65=J47)*(J62:L62=J48)*(J63:L65))</f>
        <v>50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8">
        <f ca="1">F8</f>
        <v>365</v>
      </c>
      <c r="I51" s="1902" t="s">
        <v>1541</v>
      </c>
      <c r="J51" s="1903">
        <f>IF(J49="",J50,J49+J50-YEAR('数据-取费表'!B2))</f>
        <v>39</v>
      </c>
      <c r="K51" s="1904" t="s">
        <v>1542</v>
      </c>
      <c r="L51" s="1905">
        <f ca="1">ROUND(-PV(INDIRECT("'数据-取费表'!h"&amp;$G$1),L48,(C39-C13*C76),0),0)</f>
        <v>1200</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f ca="1">J53</f>
        <v>38.04</v>
      </c>
      <c r="R52" s="1890" t="s">
        <v>1547</v>
      </c>
    </row>
    <row r="53" spans="1:18" s="1846" customFormat="1" ht="24.75" thickBot="1">
      <c r="A53" s="1408" t="s">
        <v>1137</v>
      </c>
      <c r="B53" s="1835" t="s">
        <v>1410</v>
      </c>
      <c r="C53" s="361">
        <f ca="1">ROUND(IF(F53="押一",F49*F51*F50/12*F11,IF(F53="押二",F49*F51*F50/12*2*F11,IF(F53="押三",F49*F51*F50/12*3*F11,C54*F11)))/10000,0)</f>
        <v>2</v>
      </c>
      <c r="D53" s="1828" t="s">
        <v>3033</v>
      </c>
      <c r="E53" s="358" t="s">
        <v>1412</v>
      </c>
      <c r="F53" s="1369" t="s">
        <v>3080</v>
      </c>
      <c r="I53" s="1909" t="s">
        <v>1548</v>
      </c>
      <c r="J53" s="1910">
        <f ca="1">IF(M47="住宅",J51,IF(D1="——",MIN(J51,L48),IF(D1="在建（套用方法）",MIN(J51,L48-'数据-取费表'!B24),IF(D1="土地（套用方法）",MIN(J51,L48-'数据-取费表'!B20)))))</f>
        <v>38.04</v>
      </c>
      <c r="K53" s="3174" t="s">
        <v>1549</v>
      </c>
      <c r="L53" s="3175"/>
      <c r="O53" s="1888" t="s">
        <v>1046</v>
      </c>
      <c r="P53" s="1889" t="s">
        <v>1550</v>
      </c>
      <c r="Q53" s="1890">
        <f ca="1">Q47+Q48</f>
        <v>26188</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6">
        <f ca="1">C13</f>
        <v>7577</v>
      </c>
      <c r="D56" s="1918"/>
      <c r="E56" s="1919"/>
      <c r="F56" s="1911"/>
      <c r="I56" s="1920" t="s">
        <v>1555</v>
      </c>
      <c r="J56" s="1921" t="s">
        <v>3060</v>
      </c>
      <c r="K56" s="1891" t="s">
        <v>1556</v>
      </c>
      <c r="L56" s="1894" t="str">
        <f ca="1">IF(L48&lt;J51,"——",L48-J53)</f>
        <v>——</v>
      </c>
      <c r="O56" s="1888" t="s">
        <v>1040</v>
      </c>
      <c r="P56" s="1889" t="s">
        <v>1529</v>
      </c>
      <c r="Q56" s="1890">
        <f ca="1">C40+J29</f>
        <v>26188</v>
      </c>
      <c r="R56" s="1890" t="s">
        <v>1530</v>
      </c>
    </row>
    <row r="57" spans="1:18" s="1846" customFormat="1" ht="24.75" thickBot="1">
      <c r="A57" s="1922"/>
      <c r="B57" s="1172" t="s">
        <v>1479</v>
      </c>
      <c r="C57" s="282">
        <f ca="1">C29</f>
        <v>9621</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1425</v>
      </c>
      <c r="C58" s="361">
        <f ca="1">ROUND(C59+C64+C65+C66,0)</f>
        <v>427</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184</v>
      </c>
      <c r="D59" s="1185" t="s">
        <v>1431</v>
      </c>
      <c r="E59" s="1186" t="s">
        <v>1432</v>
      </c>
      <c r="F59" s="368">
        <f ca="1">IF(项目基本情况!B11="企业","",IF(INDIRECT("'数据-取费表'!c"&amp;$G$1)="住宅",5%,IF(F49*F50*F51/12/(1+'数据-取费表'!C42)&gt;20000,12%,7%)))</f>
        <v>0.12</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93.29</v>
      </c>
      <c r="D60" s="1186" t="s">
        <v>1435</v>
      </c>
      <c r="E60" s="1172" t="s">
        <v>1423</v>
      </c>
      <c r="F60" s="377">
        <f t="shared" ref="F60:F66" si="0">F32</f>
        <v>5.5000000000000007E-2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80.819999999999993</v>
      </c>
      <c r="D61" s="1832" t="s">
        <v>1439</v>
      </c>
      <c r="E61" s="1172" t="s">
        <v>1495</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9.92</v>
      </c>
      <c r="D62" s="1187" t="s">
        <v>1498</v>
      </c>
      <c r="E62" s="1172" t="s">
        <v>1499</v>
      </c>
      <c r="F62" s="371">
        <f t="shared" si="0"/>
        <v>1.5</v>
      </c>
      <c r="I62" s="1933" t="s">
        <v>1571</v>
      </c>
      <c r="J62" s="1934" t="s">
        <v>1572</v>
      </c>
      <c r="K62" s="1934" t="s">
        <v>1573</v>
      </c>
      <c r="L62" s="1934" t="s">
        <v>1574</v>
      </c>
      <c r="M62" s="1935" t="s">
        <v>1575</v>
      </c>
      <c r="O62" s="1888" t="s">
        <v>1046</v>
      </c>
      <c r="P62" s="1889" t="s">
        <v>1576</v>
      </c>
      <c r="Q62" s="1890">
        <f ca="1">Q56+Q57</f>
        <v>26188</v>
      </c>
      <c r="R62" s="1890" t="s">
        <v>1047</v>
      </c>
    </row>
    <row r="63" spans="1:18" s="1846" customFormat="1" ht="13.5" thickBot="1">
      <c r="A63" s="372"/>
      <c r="B63" s="1178"/>
      <c r="C63" s="29"/>
      <c r="D63" s="1188"/>
      <c r="E63" s="1172" t="s">
        <v>1500</v>
      </c>
      <c r="F63" s="348">
        <f t="shared" ca="1" si="0"/>
        <v>66147</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192.4</v>
      </c>
      <c r="D64" s="1186" t="s">
        <v>1503</v>
      </c>
      <c r="E64" s="1172" t="s">
        <v>1495</v>
      </c>
      <c r="F64" s="374">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15.2</v>
      </c>
      <c r="D65" s="1186" t="s">
        <v>1455</v>
      </c>
      <c r="E65" s="1172" t="s">
        <v>1456</v>
      </c>
      <c r="F65" s="376">
        <f t="shared" ca="1" si="0"/>
        <v>2E-3</v>
      </c>
      <c r="I65" s="1933" t="s">
        <v>1580</v>
      </c>
      <c r="J65" s="1934">
        <v>40</v>
      </c>
      <c r="K65" s="1934">
        <v>30</v>
      </c>
      <c r="L65" s="1934">
        <v>50</v>
      </c>
      <c r="M65" s="1936">
        <v>0.02</v>
      </c>
      <c r="O65" s="1888" t="s">
        <v>1040</v>
      </c>
      <c r="P65" s="1889" t="s">
        <v>1581</v>
      </c>
      <c r="Q65" s="1890">
        <f ca="1">C40+J29</f>
        <v>26188</v>
      </c>
      <c r="R65" s="1890" t="s">
        <v>1530</v>
      </c>
    </row>
    <row r="66" spans="1:18" s="1846" customFormat="1" ht="16.5" thickBot="1">
      <c r="A66" s="1204" t="s">
        <v>1505</v>
      </c>
      <c r="B66" s="1172" t="s">
        <v>1440</v>
      </c>
      <c r="C66" s="24">
        <f ca="1">ROUND(C48*F66,1)</f>
        <v>35.6</v>
      </c>
      <c r="D66" s="1186" t="s">
        <v>1506</v>
      </c>
      <c r="E66" s="1172" t="s">
        <v>1423</v>
      </c>
      <c r="F66" s="357">
        <f t="shared" ca="1" si="0"/>
        <v>0.02</v>
      </c>
      <c r="O66" s="1888" t="s">
        <v>1041</v>
      </c>
      <c r="P66" s="1889" t="s">
        <v>1559</v>
      </c>
      <c r="Q66" s="1890">
        <f ca="1">L60</f>
        <v>0</v>
      </c>
      <c r="R66" s="1890" t="s">
        <v>1582</v>
      </c>
    </row>
    <row r="67" spans="1:18" s="1846" customFormat="1" ht="16.5" thickBot="1">
      <c r="A67" s="1179" t="s">
        <v>1031</v>
      </c>
      <c r="B67" s="1189" t="s">
        <v>1464</v>
      </c>
      <c r="C67" s="361">
        <f ca="1">C48-C58</f>
        <v>1354</v>
      </c>
      <c r="D67" s="1185" t="s">
        <v>1465</v>
      </c>
      <c r="E67" s="1190"/>
      <c r="F67" s="1191"/>
      <c r="O67" s="1898" t="s">
        <v>1042</v>
      </c>
      <c r="P67" s="1889" t="s">
        <v>1563</v>
      </c>
      <c r="Q67" s="1937">
        <f ca="1">L51</f>
        <v>1200</v>
      </c>
      <c r="R67" s="1890" t="s">
        <v>1583</v>
      </c>
    </row>
    <row r="68" spans="1:18" s="1846" customFormat="1" ht="16.5" thickBot="1">
      <c r="A68" s="1169" t="s">
        <v>1032</v>
      </c>
      <c r="B68" s="1170" t="s">
        <v>1486</v>
      </c>
      <c r="C68" s="346">
        <f ca="1">ROUND(C67*(1-((1+F70)/(1+F68))^F69)/(F68-F70),0)</f>
        <v>4398</v>
      </c>
      <c r="D68" s="1187" t="s">
        <v>1470</v>
      </c>
      <c r="E68" s="1172" t="s">
        <v>1471</v>
      </c>
      <c r="F68" s="357">
        <f ca="1">F40</f>
        <v>0.05</v>
      </c>
      <c r="O68" s="1898" t="s">
        <v>1043</v>
      </c>
      <c r="P68" s="1938" t="s">
        <v>1584</v>
      </c>
      <c r="Q68" s="1890">
        <f ca="1">ROUND(Q69-Q70*Q71,0)</f>
        <v>62</v>
      </c>
      <c r="R68" s="1890" t="s">
        <v>1051</v>
      </c>
    </row>
    <row r="69" spans="1:18" s="1846" customFormat="1" ht="13.5" thickBot="1">
      <c r="A69" s="1173"/>
      <c r="B69" s="1174"/>
      <c r="C69" s="351"/>
      <c r="D69" s="1192" t="s">
        <v>1474</v>
      </c>
      <c r="E69" s="1172" t="s">
        <v>1475</v>
      </c>
      <c r="F69" s="379">
        <f ca="1">F41</f>
        <v>3.56</v>
      </c>
      <c r="O69" s="1898" t="s">
        <v>1048</v>
      </c>
      <c r="P69" s="1938" t="s">
        <v>1585</v>
      </c>
      <c r="Q69" s="1890">
        <f ca="1">C39</f>
        <v>706</v>
      </c>
      <c r="R69" s="1890" t="s">
        <v>1530</v>
      </c>
    </row>
    <row r="70" spans="1:18" s="1846" customFormat="1" ht="13.5" thickBot="1">
      <c r="A70" s="1176"/>
      <c r="B70" s="1177"/>
      <c r="C70" s="355"/>
      <c r="D70" s="1188"/>
      <c r="E70" s="1172" t="s">
        <v>1478</v>
      </c>
      <c r="F70" s="2961">
        <f>'数据-取费表'!AA6</f>
        <v>1.4999999999999999E-2</v>
      </c>
      <c r="O70" s="1898" t="s">
        <v>1049</v>
      </c>
      <c r="P70" s="1938" t="s">
        <v>1586</v>
      </c>
      <c r="Q70" s="1890">
        <f ca="1">C13</f>
        <v>7577</v>
      </c>
      <c r="R70" s="1890" t="s">
        <v>1530</v>
      </c>
    </row>
    <row r="71" spans="1:18" s="1846" customFormat="1" ht="13.5" thickBot="1">
      <c r="A71" s="1193" t="s">
        <v>1033</v>
      </c>
      <c r="B71" s="1194" t="s">
        <v>1488</v>
      </c>
      <c r="C71" s="382">
        <f ca="1">ROUND(C68*10000/F71,0)</f>
        <v>1543</v>
      </c>
      <c r="D71" s="1195" t="s">
        <v>1489</v>
      </c>
      <c r="E71" s="1196" t="s">
        <v>1490</v>
      </c>
      <c r="F71" s="385">
        <f ca="1">F43</f>
        <v>28495.38</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1507</v>
      </c>
      <c r="C75" s="387">
        <f ca="1">ROUND(C13*C76,0)</f>
        <v>644</v>
      </c>
      <c r="D75" s="1846"/>
      <c r="E75" s="1846"/>
      <c r="F75" s="1846"/>
      <c r="K75" s="1872"/>
      <c r="L75" s="1846"/>
      <c r="O75" s="1888" t="s">
        <v>1046</v>
      </c>
      <c r="P75" s="1889" t="s">
        <v>1550</v>
      </c>
      <c r="Q75" s="1890">
        <f ca="1">Q65+Q66</f>
        <v>26188</v>
      </c>
      <c r="R75" s="1890" t="s">
        <v>1047</v>
      </c>
    </row>
    <row r="76" spans="1:18">
      <c r="B76" s="388" t="s">
        <v>1508</v>
      </c>
      <c r="C76" s="389">
        <f ca="1">INDIRECT("'数据-取费表'!j"&amp;$G$1)</f>
        <v>8.5000000000000006E-2</v>
      </c>
      <c r="I76" s="1846"/>
      <c r="J76" s="1846"/>
      <c r="K76" s="1872"/>
      <c r="L76" s="1846"/>
    </row>
    <row r="77" spans="1:18">
      <c r="B77" s="390" t="s">
        <v>1509</v>
      </c>
      <c r="C77" s="391"/>
      <c r="I77" s="1846"/>
      <c r="J77" s="1846"/>
      <c r="K77" s="1872"/>
      <c r="L77" s="1846"/>
    </row>
    <row r="78" spans="1:18">
      <c r="B78" s="314" t="s">
        <v>1510</v>
      </c>
      <c r="C78" s="392"/>
    </row>
    <row r="79" spans="1:18">
      <c r="B79" s="386" t="s">
        <v>1511</v>
      </c>
      <c r="C79" s="318">
        <f ca="1">1-C80</f>
        <v>8.7999999999999967E-2</v>
      </c>
    </row>
    <row r="80" spans="1:18">
      <c r="B80" s="386" t="s">
        <v>1512</v>
      </c>
      <c r="C80" s="318">
        <f ca="1">ROUND(C75/C39,3)</f>
        <v>0.91200000000000003</v>
      </c>
    </row>
    <row r="81" spans="2:3">
      <c r="B81" s="314" t="s">
        <v>1513</v>
      </c>
      <c r="C81" s="282"/>
    </row>
    <row r="82" spans="2:3">
      <c r="B82" s="317" t="s">
        <v>1514</v>
      </c>
      <c r="C82" s="319">
        <f ca="1">1-C83</f>
        <v>-2.3660000000000001</v>
      </c>
    </row>
    <row r="83" spans="2:3">
      <c r="B83" s="317" t="s">
        <v>1515</v>
      </c>
      <c r="C83" s="318">
        <f ca="1">ROUND(C13/C40,3)</f>
        <v>3.3660000000000001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topLeftCell="A18" zoomScale="90" zoomScaleNormal="90" workbookViewId="0">
      <selection activeCell="D45" sqref="D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2701</v>
      </c>
      <c r="C1" s="1624" t="s">
        <v>2529</v>
      </c>
      <c r="D1" s="1625" t="s">
        <v>3076</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IF(C2="——",ROUND(C43*D3/10000,0),ROUND(C43*D3/10000,0)-D2)</f>
        <v>0</v>
      </c>
      <c r="C2" s="2590" t="s">
        <v>70</v>
      </c>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f>IF(C2="——",C43,ROUND(B2*10000/D3,0))</f>
        <v>1.8</v>
      </c>
      <c r="C3" s="400" t="s">
        <v>2643</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190" t="s">
        <v>2647</v>
      </c>
      <c r="AC4" s="3189" t="s">
        <v>2648</v>
      </c>
    </row>
    <row r="5" spans="1:29"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190"/>
      <c r="AC5" s="3190"/>
    </row>
    <row r="6" spans="1:29" ht="15.7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7"/>
      <c r="Y6" s="3206"/>
      <c r="Z6" s="3207"/>
      <c r="AA6" s="3191"/>
      <c r="AB6" s="3191"/>
      <c r="AC6" s="3191"/>
    </row>
    <row r="7" spans="1:29" s="116" customFormat="1" ht="15.75" thickBot="1">
      <c r="A7" s="408" t="s">
        <v>2547</v>
      </c>
      <c r="B7" s="409"/>
      <c r="C7" s="410">
        <f>'数据-取费表'!B2</f>
        <v>43047</v>
      </c>
      <c r="D7" s="411">
        <v>100</v>
      </c>
      <c r="E7" s="412">
        <v>43040</v>
      </c>
      <c r="F7" s="413">
        <f>SUMIF(52:52,YEAR(E7)&amp;"-"&amp;MONTH(E7),53:53)</f>
        <v>100</v>
      </c>
      <c r="G7" s="412">
        <v>43040</v>
      </c>
      <c r="H7" s="411">
        <f>SUMIF(52:52,YEAR(G7)&amp;"-"&amp;MONTH(G7),53:53)</f>
        <v>100</v>
      </c>
      <c r="I7" s="412">
        <v>43040</v>
      </c>
      <c r="J7" s="411">
        <f>SUMIF(52:52,YEAR(I7)&amp;"-"&amp;MONTH(I7),53:53)</f>
        <v>100</v>
      </c>
      <c r="K7" s="611"/>
      <c r="L7" s="1135"/>
      <c r="M7" s="1136"/>
      <c r="N7" s="1136"/>
      <c r="O7" s="1136"/>
      <c r="P7" s="3213" t="s">
        <v>2548</v>
      </c>
      <c r="Q7" s="3215"/>
      <c r="R7" s="770" t="s">
        <v>17</v>
      </c>
      <c r="S7" s="771">
        <f t="shared" ref="S7:S15" si="0">F7</f>
        <v>100</v>
      </c>
      <c r="T7" s="770" t="s">
        <v>17</v>
      </c>
      <c r="U7" s="771">
        <f t="shared" ref="U7:U15" si="1">H7</f>
        <v>100</v>
      </c>
      <c r="V7" s="770" t="s">
        <v>17</v>
      </c>
      <c r="W7" s="771">
        <f t="shared" ref="W7:W15" si="2">J7</f>
        <v>100</v>
      </c>
      <c r="X7" s="772"/>
      <c r="Y7" s="3213" t="s">
        <v>2548</v>
      </c>
      <c r="Z7" s="3214"/>
      <c r="AA7" s="773">
        <f>D7/F7</f>
        <v>1</v>
      </c>
      <c r="AB7" s="773">
        <f>D7/H7</f>
        <v>1</v>
      </c>
      <c r="AC7" s="773">
        <f>D7/J7</f>
        <v>1</v>
      </c>
    </row>
    <row r="8" spans="1:29" s="116" customFormat="1" ht="15.75" thickBot="1">
      <c r="A8" s="408" t="s">
        <v>2549</v>
      </c>
      <c r="B8" s="409"/>
      <c r="C8" s="414" t="s">
        <v>2550</v>
      </c>
      <c r="D8" s="411">
        <v>100</v>
      </c>
      <c r="E8" s="414" t="s">
        <v>2550</v>
      </c>
      <c r="F8" s="413">
        <f>SUMIF(55:55,E8,56:56)-SUMIF(55:55,C8,56:56)+100</f>
        <v>100</v>
      </c>
      <c r="G8" s="414" t="s">
        <v>2550</v>
      </c>
      <c r="H8" s="411">
        <f>SUMIF(55:55,G8,56:56)-SUMIF(55:55,C8,56:56)+100</f>
        <v>100</v>
      </c>
      <c r="I8" s="414" t="s">
        <v>2550</v>
      </c>
      <c r="J8" s="411">
        <f>SUMIF(55:55,I8,56:56)-SUMIF(55:55,C8,56:56)+100</f>
        <v>100</v>
      </c>
      <c r="K8" s="611"/>
      <c r="L8" s="1135"/>
      <c r="M8" s="1136"/>
      <c r="N8" s="1136"/>
      <c r="O8" s="1136"/>
      <c r="P8" s="3213" t="s">
        <v>2551</v>
      </c>
      <c r="Q8" s="3214"/>
      <c r="R8" s="770" t="s">
        <v>17</v>
      </c>
      <c r="S8" s="771">
        <f t="shared" si="0"/>
        <v>100</v>
      </c>
      <c r="T8" s="770" t="s">
        <v>17</v>
      </c>
      <c r="U8" s="771">
        <f t="shared" si="1"/>
        <v>100</v>
      </c>
      <c r="V8" s="770" t="s">
        <v>17</v>
      </c>
      <c r="W8" s="771">
        <f t="shared" si="2"/>
        <v>100</v>
      </c>
      <c r="X8" s="772"/>
      <c r="Y8" s="3213" t="s">
        <v>2551</v>
      </c>
      <c r="Z8" s="3214"/>
      <c r="AA8" s="773">
        <f t="shared" ref="AA8:AA40" si="3">D8/F8</f>
        <v>1</v>
      </c>
      <c r="AB8" s="773">
        <f t="shared" ref="AB8:AB40" si="4">D8/H8</f>
        <v>1</v>
      </c>
      <c r="AC8" s="773">
        <f t="shared" ref="AC8:AC40" si="5">D8/J8</f>
        <v>1</v>
      </c>
    </row>
    <row r="9" spans="1:29" s="116" customFormat="1">
      <c r="A9" s="415" t="s">
        <v>2552</v>
      </c>
      <c r="B9" s="71" t="s">
        <v>2553</v>
      </c>
      <c r="C9" s="2947" t="s">
        <v>3088</v>
      </c>
      <c r="D9" s="134">
        <v>100</v>
      </c>
      <c r="E9" s="419" t="s">
        <v>3087</v>
      </c>
      <c r="F9" s="134">
        <f>SUMIF(57:57,E9,58:58)-SUMIF(57:57,C9,58:58)+100</f>
        <v>100</v>
      </c>
      <c r="G9" s="419" t="s">
        <v>3087</v>
      </c>
      <c r="H9" s="134">
        <f>SUMIF(57:57,G9,58:58)-SUMIF(57:57,C9,58:58)+100</f>
        <v>100</v>
      </c>
      <c r="I9" s="419" t="s">
        <v>3087</v>
      </c>
      <c r="J9" s="134">
        <f>SUMIF(57:57,I9,58:58)-SUMIF(57:57,C9,58:58)+100</f>
        <v>100</v>
      </c>
      <c r="K9" s="611"/>
      <c r="L9" s="1135"/>
      <c r="M9" s="1136"/>
      <c r="N9" s="1136"/>
      <c r="O9" s="1137"/>
      <c r="P9" s="3179" t="s">
        <v>2554</v>
      </c>
      <c r="Q9" s="1799"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179"/>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75" thickBot="1">
      <c r="A11" s="428"/>
      <c r="B11" s="422" t="s">
        <v>2557</v>
      </c>
      <c r="C11" s="429"/>
      <c r="D11" s="135">
        <v>100</v>
      </c>
      <c r="E11" s="429"/>
      <c r="F11" s="135">
        <f>LOOKUP(E11,62:62,63:63)-LOOKUP(C11,62:62,63:63)+100</f>
        <v>100</v>
      </c>
      <c r="G11" s="430"/>
      <c r="H11" s="135">
        <f>LOOKUP(G11,62:62,63:63)-LOOKUP(C11,62:62,63:63)+100</f>
        <v>100</v>
      </c>
      <c r="I11" s="429"/>
      <c r="J11" s="135">
        <f>LOOKUP(I11,62:62,63:63)-LOOKUP(C11,62:62,63:63)+100</f>
        <v>100</v>
      </c>
      <c r="K11" s="612"/>
      <c r="L11" s="1141"/>
      <c r="M11" s="1134"/>
      <c r="N11" s="1134"/>
      <c r="O11" s="1142"/>
      <c r="P11" s="3179"/>
      <c r="Q11" s="1799"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773">
        <f t="shared" si="5"/>
        <v>1</v>
      </c>
    </row>
    <row r="12" spans="1:29" s="116" customFormat="1" ht="15" hidden="1">
      <c r="A12" s="431"/>
      <c r="B12" s="2604">
        <v>111</v>
      </c>
      <c r="C12" s="432"/>
      <c r="D12" s="433">
        <v>100</v>
      </c>
      <c r="E12" s="434"/>
      <c r="F12" s="135">
        <f>SUMIF(64:64,E12,65:65)-SUMIF(64:64,C12,65:65)+100</f>
        <v>100</v>
      </c>
      <c r="G12" s="2696"/>
      <c r="H12" s="135">
        <f>SUMIF(64:64,G12,65:65)-SUMIF(64:64,C12,65:65)+100</f>
        <v>100</v>
      </c>
      <c r="I12" s="469"/>
      <c r="J12" s="135">
        <f>SUMIF(64:64,I12,65:65)-SUMIF(64:64,C12,65:65)+100</f>
        <v>100</v>
      </c>
      <c r="K12" s="613"/>
      <c r="L12" s="1135"/>
      <c r="M12" s="1136"/>
      <c r="N12" s="1136"/>
      <c r="O12" s="1137"/>
      <c r="P12" s="3179"/>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hidden="1">
      <c r="A13" s="428"/>
      <c r="B13" s="2604">
        <v>111</v>
      </c>
      <c r="C13" s="434"/>
      <c r="D13" s="435">
        <v>100</v>
      </c>
      <c r="E13" s="434"/>
      <c r="F13" s="135">
        <f>SUMIF(66:66,E13,67:67)-SUMIF(66:66,C13,67:67)+100</f>
        <v>100</v>
      </c>
      <c r="G13" s="2696"/>
      <c r="H13" s="435">
        <f>SUMIF(66:66,G13,67:67)-SUMIF(66:66,C13,67:67)+100</f>
        <v>100</v>
      </c>
      <c r="I13" s="469"/>
      <c r="J13" s="435">
        <f>SUMIF(66:66,I13,67:67)-SUMIF(66:66,C13,67:67)+100</f>
        <v>100</v>
      </c>
      <c r="K13" s="613"/>
      <c r="L13" s="1143"/>
      <c r="M13" s="1134"/>
      <c r="N13" s="1134"/>
      <c r="O13" s="1142"/>
      <c r="P13" s="3179"/>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hidden="1"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9"/>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2558</v>
      </c>
      <c r="B15" s="69" t="s">
        <v>2702</v>
      </c>
      <c r="C15" s="2697" t="str">
        <f>估价对象房地状况!G3</f>
        <v>估价对象位于北京经济技术开发区，园区建设成熟度较好，产业集聚程度较好。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4" t="s">
        <v>2559</v>
      </c>
      <c r="Q15" s="1814" t="str">
        <f t="shared" si="6"/>
        <v>产业集聚程度</v>
      </c>
      <c r="R15" s="774" t="s">
        <v>17</v>
      </c>
      <c r="S15" s="775">
        <f t="shared" si="0"/>
        <v>100</v>
      </c>
      <c r="T15" s="774" t="s">
        <v>17</v>
      </c>
      <c r="U15" s="775">
        <f t="shared" si="1"/>
        <v>100</v>
      </c>
      <c r="V15" s="774" t="s">
        <v>17</v>
      </c>
      <c r="W15" s="775">
        <f t="shared" si="2"/>
        <v>100</v>
      </c>
      <c r="X15" s="1817"/>
      <c r="Y15" s="3184" t="s">
        <v>2559</v>
      </c>
      <c r="Z15" s="1818" t="str">
        <f t="shared" si="7"/>
        <v>产业集聚程度</v>
      </c>
      <c r="AA15" s="1815">
        <f t="shared" si="3"/>
        <v>1</v>
      </c>
      <c r="AB15" s="1815">
        <f t="shared" si="4"/>
        <v>1</v>
      </c>
      <c r="AC15" s="1815">
        <f t="shared" si="5"/>
        <v>1</v>
      </c>
    </row>
    <row r="16" spans="1:29" ht="15">
      <c r="A16" s="428"/>
      <c r="B16" s="446"/>
      <c r="C16" s="447" t="s">
        <v>3071</v>
      </c>
      <c r="D16" s="448"/>
      <c r="E16" s="447" t="s">
        <v>3071</v>
      </c>
      <c r="F16" s="449"/>
      <c r="G16" s="447" t="s">
        <v>3071</v>
      </c>
      <c r="H16" s="450"/>
      <c r="I16" s="447" t="s">
        <v>3071</v>
      </c>
      <c r="J16" s="448"/>
      <c r="K16" s="615"/>
      <c r="L16" s="1143"/>
      <c r="M16" s="1134"/>
      <c r="N16" s="1134"/>
      <c r="O16" s="1142"/>
      <c r="P16" s="3185"/>
      <c r="Q16" s="1814"/>
      <c r="R16" s="774"/>
      <c r="S16" s="775"/>
      <c r="T16" s="774"/>
      <c r="U16" s="775"/>
      <c r="V16" s="774"/>
      <c r="W16" s="775"/>
      <c r="X16" s="1817"/>
      <c r="Y16" s="3185"/>
      <c r="Z16" s="1818"/>
      <c r="AA16" s="1815">
        <v>1</v>
      </c>
      <c r="AB16" s="1815">
        <v>1</v>
      </c>
      <c r="AC16" s="1815">
        <v>1</v>
      </c>
    </row>
    <row r="17" spans="1:29" ht="128.25">
      <c r="A17" s="428"/>
      <c r="B17" s="451" t="s">
        <v>2097</v>
      </c>
      <c r="C17" s="2611" t="str">
        <f>估价对象房地状况!G4</f>
        <v>估价对象紧邻城市支路——景园街，公共交通通达情况一般，周边有542、846路等公共交通，停车便捷程度较好，综合评价交通便捷度较好。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185"/>
      <c r="Q18" s="1814"/>
      <c r="R18" s="774"/>
      <c r="S18" s="775"/>
      <c r="T18" s="774"/>
      <c r="U18" s="775"/>
      <c r="V18" s="774"/>
      <c r="W18" s="775"/>
      <c r="X18" s="1817"/>
      <c r="Y18" s="3185"/>
      <c r="Z18" s="1818"/>
      <c r="AA18" s="1815">
        <v>1</v>
      </c>
      <c r="AB18" s="1815">
        <v>1</v>
      </c>
      <c r="AC18" s="1815">
        <v>1</v>
      </c>
    </row>
    <row r="19" spans="1:29" ht="199.5">
      <c r="A19" s="428"/>
      <c r="B19" s="451" t="s">
        <v>2687</v>
      </c>
      <c r="C19" s="2611" t="str">
        <f>估价对象房地状况!G5</f>
        <v>估价对象所在区域2公里以内有：银行（华夏银行、中国工商银行），超市（康盛宏利超市、和禾便利店），医院（北京同仁医院南区），学校（齐齐哈尔大学北京研发中心）等，公共配套设施齐备情况较好。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5"/>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1815">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185"/>
      <c r="Q20" s="1814"/>
      <c r="R20" s="774"/>
      <c r="S20" s="775"/>
      <c r="T20" s="774"/>
      <c r="U20" s="775"/>
      <c r="V20" s="774"/>
      <c r="W20" s="775"/>
      <c r="X20" s="1817"/>
      <c r="Y20" s="3185"/>
      <c r="Z20" s="1818"/>
      <c r="AA20" s="1815">
        <v>1</v>
      </c>
      <c r="AB20" s="1815">
        <v>1</v>
      </c>
      <c r="AC20" s="1815">
        <v>1</v>
      </c>
    </row>
    <row r="21" spans="1:29" ht="71.25">
      <c r="A21" s="428"/>
      <c r="B21" s="1387" t="s">
        <v>2688</v>
      </c>
      <c r="C21" s="2611" t="str">
        <f>估价对象房地状况!G6</f>
        <v>估价对象所在区域基础设施水平达到“七通”；估价对象为“六通”。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5"/>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t="s">
        <v>3089</v>
      </c>
      <c r="D22" s="448"/>
      <c r="E22" s="2612" t="s">
        <v>3089</v>
      </c>
      <c r="F22" s="449"/>
      <c r="G22" s="2612" t="s">
        <v>3089</v>
      </c>
      <c r="H22" s="448"/>
      <c r="I22" s="2612" t="s">
        <v>3089</v>
      </c>
      <c r="J22" s="448"/>
      <c r="K22" s="1386"/>
      <c r="L22" s="1143"/>
      <c r="M22" s="1134"/>
      <c r="N22" s="1134"/>
      <c r="O22" s="1142"/>
      <c r="P22" s="3185"/>
      <c r="Q22" s="1814"/>
      <c r="R22" s="774"/>
      <c r="S22" s="775"/>
      <c r="T22" s="774"/>
      <c r="U22" s="775"/>
      <c r="V22" s="774"/>
      <c r="W22" s="775"/>
      <c r="X22" s="1817"/>
      <c r="Y22" s="3185"/>
      <c r="Z22" s="1818"/>
      <c r="AA22" s="1815">
        <v>1</v>
      </c>
      <c r="AB22" s="1815">
        <v>1</v>
      </c>
      <c r="AC22" s="1815">
        <v>1</v>
      </c>
    </row>
    <row r="23" spans="1:29" ht="71.25">
      <c r="A23" s="428"/>
      <c r="B23" s="451" t="s">
        <v>2689</v>
      </c>
      <c r="C23" s="2611"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5"/>
      <c r="Q23" s="1814" t="str">
        <f>B23</f>
        <v>环境质量</v>
      </c>
      <c r="R23" s="774" t="s">
        <v>17</v>
      </c>
      <c r="S23" s="775">
        <f>F23</f>
        <v>100</v>
      </c>
      <c r="T23" s="774" t="s">
        <v>17</v>
      </c>
      <c r="U23" s="775">
        <f>H23</f>
        <v>100</v>
      </c>
      <c r="V23" s="774" t="s">
        <v>17</v>
      </c>
      <c r="W23" s="775">
        <f>J23</f>
        <v>100</v>
      </c>
      <c r="X23" s="1817"/>
      <c r="Y23" s="3185"/>
      <c r="Z23" s="1818" t="str">
        <f>Q23</f>
        <v>环境质量</v>
      </c>
      <c r="AA23" s="1815">
        <f t="shared" si="3"/>
        <v>1</v>
      </c>
      <c r="AB23" s="1815">
        <f t="shared" si="4"/>
        <v>1</v>
      </c>
      <c r="AC23" s="1815">
        <f t="shared" si="5"/>
        <v>1</v>
      </c>
    </row>
    <row r="24" spans="1:29" ht="15.75" thickBot="1">
      <c r="A24" s="428"/>
      <c r="B24" s="1387"/>
      <c r="C24" s="447" t="s">
        <v>3071</v>
      </c>
      <c r="D24" s="448"/>
      <c r="E24" s="447" t="s">
        <v>3071</v>
      </c>
      <c r="F24" s="449"/>
      <c r="G24" s="447" t="s">
        <v>3071</v>
      </c>
      <c r="H24" s="448"/>
      <c r="I24" s="447" t="s">
        <v>3071</v>
      </c>
      <c r="J24" s="448"/>
      <c r="K24" s="615"/>
      <c r="L24" s="1143"/>
      <c r="M24" s="1134"/>
      <c r="N24" s="1134"/>
      <c r="O24" s="1142"/>
      <c r="P24" s="3185"/>
      <c r="Q24" s="1814"/>
      <c r="R24" s="774"/>
      <c r="S24" s="775"/>
      <c r="T24" s="774"/>
      <c r="U24" s="775"/>
      <c r="V24" s="774"/>
      <c r="W24" s="775"/>
      <c r="X24" s="1817"/>
      <c r="Y24" s="3185"/>
      <c r="Z24" s="1818"/>
      <c r="AA24" s="1815">
        <v>1</v>
      </c>
      <c r="AB24" s="1815">
        <v>1</v>
      </c>
      <c r="AC24" s="1815">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5"/>
      <c r="Q25" s="1814">
        <f>B25</f>
        <v>111</v>
      </c>
      <c r="R25" s="774" t="s">
        <v>17</v>
      </c>
      <c r="S25" s="775">
        <f>F25</f>
        <v>100</v>
      </c>
      <c r="T25" s="774" t="s">
        <v>17</v>
      </c>
      <c r="U25" s="775">
        <f>H25</f>
        <v>100</v>
      </c>
      <c r="V25" s="774" t="s">
        <v>17</v>
      </c>
      <c r="W25" s="775">
        <f>J25</f>
        <v>100</v>
      </c>
      <c r="X25" s="1817"/>
      <c r="Y25" s="3185"/>
      <c r="Z25" s="1818">
        <f>Q25</f>
        <v>111</v>
      </c>
      <c r="AA25" s="1815">
        <f t="shared" si="3"/>
        <v>1</v>
      </c>
      <c r="AB25" s="1815">
        <f t="shared" si="4"/>
        <v>1</v>
      </c>
      <c r="AC25" s="1815">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5"/>
      <c r="Q26" s="1814">
        <f t="shared" ref="Q26:Q40" si="11">B26</f>
        <v>111</v>
      </c>
      <c r="R26" s="774" t="s">
        <v>17</v>
      </c>
      <c r="S26" s="775">
        <f>F26</f>
        <v>100</v>
      </c>
      <c r="T26" s="774" t="s">
        <v>17</v>
      </c>
      <c r="U26" s="775">
        <f>H26</f>
        <v>100</v>
      </c>
      <c r="V26" s="774" t="s">
        <v>17</v>
      </c>
      <c r="W26" s="775">
        <f>J26</f>
        <v>100</v>
      </c>
      <c r="X26" s="1817"/>
      <c r="Y26" s="3185"/>
      <c r="Z26" s="1818">
        <f>Q26</f>
        <v>111</v>
      </c>
      <c r="AA26" s="1815">
        <f t="shared" si="3"/>
        <v>1</v>
      </c>
      <c r="AB26" s="1815">
        <f t="shared" si="4"/>
        <v>1</v>
      </c>
      <c r="AC26" s="1815">
        <f t="shared" si="5"/>
        <v>1</v>
      </c>
    </row>
    <row r="27" spans="1:29" s="116"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5"/>
      <c r="Q27" s="1799">
        <f t="shared" si="11"/>
        <v>111</v>
      </c>
      <c r="R27" s="770" t="s">
        <v>17</v>
      </c>
      <c r="S27" s="771">
        <f>F27</f>
        <v>100</v>
      </c>
      <c r="T27" s="770" t="s">
        <v>17</v>
      </c>
      <c r="U27" s="771">
        <f>H27</f>
        <v>100</v>
      </c>
      <c r="V27" s="770" t="s">
        <v>17</v>
      </c>
      <c r="W27" s="771">
        <f>J27</f>
        <v>100</v>
      </c>
      <c r="X27" s="772"/>
      <c r="Y27" s="3185"/>
      <c r="Z27" s="55">
        <f>Q27</f>
        <v>111</v>
      </c>
      <c r="AA27" s="1815">
        <f>D27/F27</f>
        <v>1</v>
      </c>
      <c r="AB27" s="1815">
        <f>D27/H27</f>
        <v>1</v>
      </c>
      <c r="AC27" s="1815">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5"/>
      <c r="Q28" s="1814">
        <f t="shared" si="11"/>
        <v>111</v>
      </c>
      <c r="R28" s="774" t="s">
        <v>17</v>
      </c>
      <c r="S28" s="775">
        <f t="shared" ref="S28:S40" si="12">F28</f>
        <v>100</v>
      </c>
      <c r="T28" s="774" t="s">
        <v>17</v>
      </c>
      <c r="U28" s="775">
        <f t="shared" ref="U28:U40" si="13">H28</f>
        <v>100</v>
      </c>
      <c r="V28" s="774" t="s">
        <v>17</v>
      </c>
      <c r="W28" s="775">
        <f t="shared" ref="W28:W40" si="14">J28</f>
        <v>100</v>
      </c>
      <c r="X28" s="1817"/>
      <c r="Y28" s="3185"/>
      <c r="Z28" s="1818">
        <f t="shared" ref="Z28:Z40" si="15">Q28</f>
        <v>111</v>
      </c>
      <c r="AA28" s="1815">
        <f t="shared" si="3"/>
        <v>1</v>
      </c>
      <c r="AB28" s="1815">
        <f t="shared" si="4"/>
        <v>1</v>
      </c>
      <c r="AC28" s="1815">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186" t="s">
        <v>2564</v>
      </c>
      <c r="Q29" s="1814" t="str">
        <f t="shared" si="11"/>
        <v>建筑类型</v>
      </c>
      <c r="R29" s="774" t="s">
        <v>17</v>
      </c>
      <c r="S29" s="775">
        <f t="shared" si="12"/>
        <v>100</v>
      </c>
      <c r="T29" s="774" t="s">
        <v>17</v>
      </c>
      <c r="U29" s="775">
        <f t="shared" si="13"/>
        <v>100</v>
      </c>
      <c r="V29" s="774" t="s">
        <v>17</v>
      </c>
      <c r="W29" s="775">
        <f t="shared" si="14"/>
        <v>100</v>
      </c>
      <c r="X29" s="1817"/>
      <c r="Y29" s="3187" t="s">
        <v>2564</v>
      </c>
      <c r="Z29" s="1818" t="str">
        <f t="shared" si="15"/>
        <v>建筑类型</v>
      </c>
      <c r="AA29" s="1815">
        <f t="shared" si="3"/>
        <v>1</v>
      </c>
      <c r="AB29" s="1815">
        <f t="shared" si="4"/>
        <v>1</v>
      </c>
      <c r="AC29" s="1815">
        <f t="shared" si="5"/>
        <v>1</v>
      </c>
    </row>
    <row r="30" spans="1:29" s="471" customFormat="1" ht="15">
      <c r="A30" s="468"/>
      <c r="B30" s="422" t="s">
        <v>2565</v>
      </c>
      <c r="C30" s="469">
        <f>'数据-汇总表'!F19</f>
        <v>28495.38</v>
      </c>
      <c r="D30" s="135">
        <v>100</v>
      </c>
      <c r="E30" s="430">
        <v>3000</v>
      </c>
      <c r="F30" s="425">
        <f>LOOKUP(E30,91:91,92:92)-LOOKUP(C30,91:91,92:92)+100</f>
        <v>98</v>
      </c>
      <c r="G30" s="429">
        <v>1500</v>
      </c>
      <c r="H30" s="135">
        <f>LOOKUP(G30,91:91,92:92)-LOOKUP(C30,91:91,92:92)+100</f>
        <v>98</v>
      </c>
      <c r="I30" s="429">
        <v>830</v>
      </c>
      <c r="J30" s="135">
        <f>LOOKUP(I30,91:91,92:92)-LOOKUP(C30,91:91,92:92)+100</f>
        <v>98</v>
      </c>
      <c r="K30" s="613"/>
      <c r="L30" s="1141"/>
      <c r="M30" s="1144"/>
      <c r="N30" s="1144"/>
      <c r="O30" s="1145"/>
      <c r="P30" s="3187"/>
      <c r="Q30" s="776" t="str">
        <f t="shared" si="11"/>
        <v>项目建筑规模</v>
      </c>
      <c r="R30" s="777" t="s">
        <v>17</v>
      </c>
      <c r="S30" s="778">
        <f t="shared" si="12"/>
        <v>98</v>
      </c>
      <c r="T30" s="777" t="s">
        <v>17</v>
      </c>
      <c r="U30" s="778">
        <f t="shared" si="13"/>
        <v>98</v>
      </c>
      <c r="V30" s="777" t="s">
        <v>17</v>
      </c>
      <c r="W30" s="778">
        <f t="shared" si="14"/>
        <v>98</v>
      </c>
      <c r="X30" s="779"/>
      <c r="Y30" s="3187"/>
      <c r="Z30" s="780" t="str">
        <f t="shared" si="15"/>
        <v>项目建筑规模</v>
      </c>
      <c r="AA30" s="1815">
        <f t="shared" si="3"/>
        <v>1.0204081632653061</v>
      </c>
      <c r="AB30" s="1815">
        <f t="shared" si="4"/>
        <v>1.0204081632653061</v>
      </c>
      <c r="AC30" s="1815">
        <f t="shared" si="5"/>
        <v>1.0204081632653061</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7"/>
      <c r="Q31" s="1814" t="str">
        <f t="shared" si="11"/>
        <v>建筑结构</v>
      </c>
      <c r="R31" s="774" t="s">
        <v>17</v>
      </c>
      <c r="S31" s="775">
        <f t="shared" si="12"/>
        <v>100</v>
      </c>
      <c r="T31" s="774" t="s">
        <v>17</v>
      </c>
      <c r="U31" s="775">
        <f t="shared" si="13"/>
        <v>100</v>
      </c>
      <c r="V31" s="774" t="s">
        <v>17</v>
      </c>
      <c r="W31" s="775">
        <f t="shared" si="14"/>
        <v>100</v>
      </c>
      <c r="X31" s="1817"/>
      <c r="Y31" s="3187"/>
      <c r="Z31" s="1818" t="str">
        <f t="shared" si="15"/>
        <v>建筑结构</v>
      </c>
      <c r="AA31" s="1815">
        <f t="shared" si="3"/>
        <v>1</v>
      </c>
      <c r="AB31" s="1815">
        <f t="shared" si="4"/>
        <v>1</v>
      </c>
      <c r="AC31" s="1815">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7"/>
      <c r="Q32" s="1814" t="str">
        <f t="shared" si="11"/>
        <v>公共部分装修</v>
      </c>
      <c r="R32" s="774" t="s">
        <v>17</v>
      </c>
      <c r="S32" s="775">
        <f t="shared" si="12"/>
        <v>100</v>
      </c>
      <c r="T32" s="774" t="s">
        <v>17</v>
      </c>
      <c r="U32" s="775">
        <f t="shared" si="13"/>
        <v>100</v>
      </c>
      <c r="V32" s="774" t="s">
        <v>17</v>
      </c>
      <c r="W32" s="775">
        <f t="shared" si="14"/>
        <v>100</v>
      </c>
      <c r="X32" s="1817"/>
      <c r="Y32" s="3187"/>
      <c r="Z32" s="1818" t="str">
        <f t="shared" si="15"/>
        <v>公共部分装修</v>
      </c>
      <c r="AA32" s="1815">
        <f t="shared" si="3"/>
        <v>1</v>
      </c>
      <c r="AB32" s="1815">
        <f t="shared" si="4"/>
        <v>1</v>
      </c>
      <c r="AC32" s="1815">
        <f t="shared" si="5"/>
        <v>1</v>
      </c>
    </row>
    <row r="33" spans="1:29" ht="15">
      <c r="A33" s="472"/>
      <c r="B33" s="422" t="s">
        <v>2661</v>
      </c>
      <c r="C33" s="469">
        <v>100</v>
      </c>
      <c r="D33" s="435">
        <v>100</v>
      </c>
      <c r="E33" s="474">
        <v>1</v>
      </c>
      <c r="F33" s="461">
        <f>LOOKUP(E33,98:98,99:99)-LOOKUP(C33,98:98,99:99)+100</f>
        <v>100</v>
      </c>
      <c r="G33" s="474">
        <v>1</v>
      </c>
      <c r="H33" s="461">
        <f>LOOKUP(G33,98:98,99:99)-LOOKUP(C33,98:98,99:99)+100</f>
        <v>100</v>
      </c>
      <c r="I33" s="474">
        <v>1</v>
      </c>
      <c r="J33" s="435">
        <f>LOOKUP(I33,98:98,99:99)-LOOKUP(C33,98:98,99:99)+100</f>
        <v>100</v>
      </c>
      <c r="K33" s="612"/>
      <c r="L33" s="1143"/>
      <c r="M33" s="1134"/>
      <c r="N33" s="1134"/>
      <c r="O33" s="1142"/>
      <c r="P33" s="3187"/>
      <c r="Q33" s="1814" t="str">
        <f t="shared" si="11"/>
        <v>成新度</v>
      </c>
      <c r="R33" s="774" t="s">
        <v>17</v>
      </c>
      <c r="S33" s="775">
        <f t="shared" si="12"/>
        <v>100</v>
      </c>
      <c r="T33" s="774" t="s">
        <v>17</v>
      </c>
      <c r="U33" s="775">
        <f t="shared" si="13"/>
        <v>100</v>
      </c>
      <c r="V33" s="774" t="s">
        <v>17</v>
      </c>
      <c r="W33" s="775">
        <f t="shared" si="14"/>
        <v>100</v>
      </c>
      <c r="X33" s="1817"/>
      <c r="Y33" s="3187"/>
      <c r="Z33" s="1818" t="str">
        <f t="shared" si="15"/>
        <v>成新度</v>
      </c>
      <c r="AA33" s="1815">
        <f t="shared" si="3"/>
        <v>1</v>
      </c>
      <c r="AB33" s="1815">
        <f t="shared" si="4"/>
        <v>1</v>
      </c>
      <c r="AC33" s="1815">
        <f t="shared" si="5"/>
        <v>1</v>
      </c>
    </row>
    <row r="34" spans="1:29" s="116" customFormat="1" ht="15">
      <c r="A34" s="473"/>
      <c r="B34" s="422" t="s">
        <v>2694</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7"/>
      <c r="Q34" s="1799"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7" t="s">
        <v>2564</v>
      </c>
      <c r="Q35" s="1814" t="str">
        <f t="shared" si="11"/>
        <v>市政基础设施</v>
      </c>
      <c r="R35" s="774" t="s">
        <v>17</v>
      </c>
      <c r="S35" s="775">
        <f t="shared" si="12"/>
        <v>100</v>
      </c>
      <c r="T35" s="774" t="s">
        <v>17</v>
      </c>
      <c r="U35" s="775">
        <f t="shared" si="13"/>
        <v>100</v>
      </c>
      <c r="V35" s="774" t="s">
        <v>17</v>
      </c>
      <c r="W35" s="775">
        <f t="shared" si="14"/>
        <v>100</v>
      </c>
      <c r="X35" s="1817"/>
      <c r="Y35" s="3187" t="s">
        <v>2564</v>
      </c>
      <c r="Z35" s="1818" t="str">
        <f t="shared" si="15"/>
        <v>市政基础设施</v>
      </c>
      <c r="AA35" s="1815">
        <f t="shared" si="3"/>
        <v>1</v>
      </c>
      <c r="AB35" s="1815">
        <f t="shared" si="4"/>
        <v>1</v>
      </c>
      <c r="AC35" s="1815">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7"/>
      <c r="Q36" s="1814" t="str">
        <f t="shared" si="11"/>
        <v>内部装修</v>
      </c>
      <c r="R36" s="774" t="s">
        <v>17</v>
      </c>
      <c r="S36" s="775">
        <f t="shared" si="12"/>
        <v>100</v>
      </c>
      <c r="T36" s="774" t="s">
        <v>17</v>
      </c>
      <c r="U36" s="775">
        <f t="shared" si="13"/>
        <v>100</v>
      </c>
      <c r="V36" s="774" t="s">
        <v>17</v>
      </c>
      <c r="W36" s="775">
        <f t="shared" si="14"/>
        <v>100</v>
      </c>
      <c r="X36" s="1817"/>
      <c r="Y36" s="3187"/>
      <c r="Z36" s="1818" t="str">
        <f t="shared" si="15"/>
        <v>内部装修</v>
      </c>
      <c r="AA36" s="1815">
        <f t="shared" si="3"/>
        <v>1</v>
      </c>
      <c r="AB36" s="1815">
        <f t="shared" si="4"/>
        <v>1</v>
      </c>
      <c r="AC36" s="1815">
        <f t="shared" si="5"/>
        <v>1</v>
      </c>
    </row>
    <row r="37" spans="1:29" ht="15.75" thickBot="1">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7"/>
      <c r="Q37" s="1814" t="str">
        <f t="shared" si="11"/>
        <v>内部装修状况</v>
      </c>
      <c r="R37" s="774" t="s">
        <v>17</v>
      </c>
      <c r="S37" s="775">
        <f t="shared" si="12"/>
        <v>100</v>
      </c>
      <c r="T37" s="774" t="s">
        <v>17</v>
      </c>
      <c r="U37" s="775">
        <f t="shared" si="13"/>
        <v>100</v>
      </c>
      <c r="V37" s="774" t="s">
        <v>17</v>
      </c>
      <c r="W37" s="775">
        <f t="shared" si="14"/>
        <v>100</v>
      </c>
      <c r="X37" s="1817"/>
      <c r="Y37" s="3187"/>
      <c r="Z37" s="1818" t="str">
        <f t="shared" si="15"/>
        <v>内部装修状况</v>
      </c>
      <c r="AA37" s="1815">
        <f t="shared" si="3"/>
        <v>1</v>
      </c>
      <c r="AB37" s="1815">
        <f t="shared" si="4"/>
        <v>1</v>
      </c>
      <c r="AC37" s="1815">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5">
        <f t="shared" si="3"/>
        <v>1</v>
      </c>
      <c r="AB38" s="1815">
        <f t="shared" si="4"/>
        <v>1</v>
      </c>
      <c r="AC38" s="1815">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7"/>
      <c r="Q39" s="1814">
        <f t="shared" si="11"/>
        <v>111</v>
      </c>
      <c r="R39" s="774" t="s">
        <v>17</v>
      </c>
      <c r="S39" s="775">
        <f t="shared" si="12"/>
        <v>100</v>
      </c>
      <c r="T39" s="774" t="s">
        <v>17</v>
      </c>
      <c r="U39" s="775">
        <f t="shared" si="13"/>
        <v>100</v>
      </c>
      <c r="V39" s="774" t="s">
        <v>17</v>
      </c>
      <c r="W39" s="775">
        <f t="shared" si="14"/>
        <v>100</v>
      </c>
      <c r="X39" s="1817"/>
      <c r="Y39" s="3187"/>
      <c r="Z39" s="1818">
        <f t="shared" si="15"/>
        <v>111</v>
      </c>
      <c r="AA39" s="1815">
        <f t="shared" si="3"/>
        <v>1</v>
      </c>
      <c r="AB39" s="1815">
        <f t="shared" si="4"/>
        <v>1</v>
      </c>
      <c r="AC39" s="1815">
        <f t="shared" si="5"/>
        <v>1</v>
      </c>
    </row>
    <row r="40" spans="1:29" ht="15.75" hidden="1"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8"/>
      <c r="Q40" s="1814">
        <f t="shared" si="11"/>
        <v>111</v>
      </c>
      <c r="R40" s="774" t="s">
        <v>17</v>
      </c>
      <c r="S40" s="775">
        <f t="shared" si="12"/>
        <v>100</v>
      </c>
      <c r="T40" s="774" t="s">
        <v>17</v>
      </c>
      <c r="U40" s="775">
        <f t="shared" si="13"/>
        <v>100</v>
      </c>
      <c r="V40" s="774" t="s">
        <v>17</v>
      </c>
      <c r="W40" s="775">
        <f t="shared" si="14"/>
        <v>100</v>
      </c>
      <c r="X40" s="1817"/>
      <c r="Y40" s="3188"/>
      <c r="Z40" s="1818">
        <f t="shared" si="15"/>
        <v>111</v>
      </c>
      <c r="AA40" s="1815">
        <f t="shared" si="3"/>
        <v>1</v>
      </c>
      <c r="AB40" s="1815">
        <f t="shared" si="4"/>
        <v>1</v>
      </c>
      <c r="AC40" s="1815">
        <f t="shared" si="5"/>
        <v>1</v>
      </c>
    </row>
    <row r="41" spans="1:29" ht="15">
      <c r="A41" s="479" t="s">
        <v>2576</v>
      </c>
      <c r="B41" s="480"/>
      <c r="C41" s="1410" t="s">
        <v>1</v>
      </c>
      <c r="D41" s="1411"/>
      <c r="E41" s="1412">
        <f>2*0.95</f>
        <v>1.9</v>
      </c>
      <c r="F41" s="1413"/>
      <c r="G41" s="1414">
        <f>2*0.95</f>
        <v>1.9</v>
      </c>
      <c r="H41" s="1415"/>
      <c r="I41" s="1412">
        <f>1.8*0.95</f>
        <v>1.71</v>
      </c>
      <c r="J41" s="1415"/>
      <c r="K41" s="783"/>
      <c r="L41" s="1146"/>
      <c r="M41" s="1147"/>
      <c r="N41" s="1134"/>
      <c r="O41" s="1147"/>
      <c r="P41" s="3179" t="str">
        <f>A41</f>
        <v>成交单价（元/平方米）</v>
      </c>
      <c r="Q41" s="3179"/>
      <c r="R41" s="3180">
        <f>E41</f>
        <v>1.9</v>
      </c>
      <c r="S41" s="3180"/>
      <c r="T41" s="3180">
        <f>G41</f>
        <v>1.9</v>
      </c>
      <c r="U41" s="3180"/>
      <c r="V41" s="3180">
        <f>I41</f>
        <v>1.71</v>
      </c>
      <c r="W41" s="3180"/>
      <c r="X41" s="759"/>
      <c r="Y41" s="781"/>
      <c r="Z41" s="759"/>
      <c r="AA41" s="759"/>
      <c r="AB41" s="759"/>
      <c r="AC41" s="759"/>
    </row>
    <row r="42" spans="1:29" ht="15.75" thickBot="1">
      <c r="A42" s="486" t="s">
        <v>2668</v>
      </c>
      <c r="B42" s="487"/>
      <c r="C42" s="1416">
        <f>R43</f>
        <v>1.8</v>
      </c>
      <c r="D42" s="1417"/>
      <c r="E42" s="1418">
        <f>R42</f>
        <v>1.9</v>
      </c>
      <c r="F42" s="1418"/>
      <c r="G42" s="1416">
        <f>T42</f>
        <v>1.9</v>
      </c>
      <c r="H42" s="1417"/>
      <c r="I42" s="1418">
        <f>V42</f>
        <v>1.7</v>
      </c>
      <c r="J42" s="1417"/>
      <c r="K42" s="784"/>
      <c r="L42" s="1146"/>
      <c r="M42" s="1147"/>
      <c r="N42" s="1134"/>
      <c r="O42" s="1147"/>
      <c r="P42" s="3179" t="str">
        <f>A42</f>
        <v>比较价值（元/平方米）</v>
      </c>
      <c r="Q42" s="3179"/>
      <c r="R42" s="3180">
        <f>IF(F1="售价",ROUND(PRODUCT(R41,AA7:AA40),0),ROUND(PRODUCT(R41,AA7:AA40),1))</f>
        <v>1.9</v>
      </c>
      <c r="S42" s="3180"/>
      <c r="T42" s="3180">
        <f>IF(F1="售价",ROUND(PRODUCT(T41,AB7:AB40),0),ROUND(PRODUCT(T41,AB7:AB40),1))</f>
        <v>1.9</v>
      </c>
      <c r="U42" s="3180"/>
      <c r="V42" s="3180">
        <f>IF(F1="售价",ROUND(PRODUCT(V41,AC7:AC40),0),ROUND(PRODUCT(V41,AC7:AC40),1))</f>
        <v>1.7</v>
      </c>
      <c r="W42" s="3180"/>
      <c r="X42" s="759"/>
      <c r="Y42" s="759"/>
      <c r="Z42" s="759"/>
      <c r="AA42" s="759"/>
      <c r="AB42" s="759"/>
      <c r="AC42" s="759"/>
    </row>
    <row r="43" spans="1:29" ht="15.75" thickBot="1">
      <c r="A43" s="492" t="s">
        <v>2669</v>
      </c>
      <c r="B43" s="493"/>
      <c r="C43" s="1420">
        <f>R43</f>
        <v>1.8</v>
      </c>
      <c r="D43" s="1420"/>
      <c r="E43" s="1420"/>
      <c r="F43" s="1420"/>
      <c r="G43" s="1420"/>
      <c r="H43" s="1420"/>
      <c r="I43" s="1420"/>
      <c r="J43" s="1420"/>
      <c r="K43" s="785"/>
      <c r="L43" s="1146"/>
      <c r="M43" s="1147"/>
      <c r="N43" s="1147"/>
      <c r="O43" s="1147"/>
      <c r="P43" s="3181" t="str">
        <f>A43</f>
        <v>估价对象XX用房的比较价值（楼面单价，元/平方米）</v>
      </c>
      <c r="Q43" s="3182"/>
      <c r="R43" s="3183">
        <f>IF(F1="售价",ROUND(AVERAGE(R42:V42),0),ROUND(AVERAGE(R42:V42),1))</f>
        <v>1.8</v>
      </c>
      <c r="S43" s="3183"/>
      <c r="T43" s="3183"/>
      <c r="U43" s="3183"/>
      <c r="V43" s="3183"/>
      <c r="W43" s="318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f>IF(E41&lt;E42,E42/E41-1,E41/E42-1)</f>
        <v>0</v>
      </c>
      <c r="F46" s="500" t="str">
        <f>IF(OR(E46&gt;=0.3,E46&lt;=-0.3),"超过30%","")</f>
        <v/>
      </c>
      <c r="G46" s="499">
        <f>IF(G41&lt;G42,G42/G41-1,G41/G42-1)</f>
        <v>0</v>
      </c>
      <c r="H46" s="500" t="str">
        <f>IF(OR(G46&gt;=0.3,G46&lt;=-0.3),"超过30%","")</f>
        <v/>
      </c>
      <c r="I46" s="499">
        <f>IF(I41&lt;I42,I42/I41-1,I41/I42-1)</f>
        <v>5.8823529411764497E-3</v>
      </c>
      <c r="J46" s="500" t="str">
        <f>IF(OR(I46&gt;=0.3,I46&lt;=-0.3),"超过30%","")</f>
        <v/>
      </c>
      <c r="K46" s="1108"/>
      <c r="L46" s="1109"/>
      <c r="M46" s="1147"/>
      <c r="N46" s="1147"/>
      <c r="O46" s="1147"/>
    </row>
    <row r="47" spans="1:29" ht="13.5" customHeight="1">
      <c r="A47" s="1147"/>
      <c r="B47" s="1147"/>
      <c r="C47" s="497" t="s">
        <v>2671</v>
      </c>
      <c r="D47" s="501"/>
      <c r="E47" s="499">
        <f>IF(E42&lt;G42,G42/E42-1,E42/G42-1)</f>
        <v>0</v>
      </c>
      <c r="F47" s="500" t="str">
        <f>IF(OR(E47&gt;=0.2,E47&lt;=-0.2),"超过20%","")</f>
        <v/>
      </c>
      <c r="G47" s="499">
        <f>IF(G42&lt;I42,I42/G42-1,G42/I42-1)</f>
        <v>0.11764705882352944</v>
      </c>
      <c r="H47" s="500" t="str">
        <f>IF(OR(G47&gt;=0.2,G47&lt;=-0.2),"超过20%","")</f>
        <v/>
      </c>
      <c r="I47" s="499">
        <f>IF(I42&lt;E42,E42/I42-1,I42/E42-1)</f>
        <v>0.11764705882352944</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0</v>
      </c>
      <c r="F48" s="500" t="str">
        <f>IF(OR(E48&gt;=0.3,E48&lt;=-0.3),"超过30%","")</f>
        <v/>
      </c>
      <c r="G48" s="499">
        <f>IF(G41&lt;I41,I41/G41-1,G41/I41-1)</f>
        <v>0.11111111111111116</v>
      </c>
      <c r="H48" s="500" t="str">
        <f>IF(OR(G48&gt;=0.3,G48&lt;=-0.3),"超过30%","")</f>
        <v/>
      </c>
      <c r="I48" s="499">
        <f>IF(I41&lt;E41,E41/I41-1,I41/E41-1)</f>
        <v>0.11111111111111116</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2584</v>
      </c>
      <c r="B54" s="516"/>
      <c r="C54" s="517"/>
      <c r="D54" s="518"/>
      <c r="E54" s="518"/>
      <c r="F54" s="518"/>
      <c r="G54" s="518"/>
      <c r="H54" s="518"/>
      <c r="I54" s="518"/>
      <c r="J54" s="518"/>
      <c r="K54" s="518"/>
      <c r="L54" s="518"/>
      <c r="M54" s="519"/>
      <c r="N54" s="518"/>
      <c r="O54" s="520"/>
      <c r="P54" s="504"/>
      <c r="Q54" s="504"/>
    </row>
    <row r="55" spans="1:17" s="116" customFormat="1" ht="15">
      <c r="A55" s="521" t="s">
        <v>2549</v>
      </c>
      <c r="B55" s="510"/>
      <c r="C55" s="522" t="s">
        <v>2651</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t="str">
        <f>C9</f>
        <v>工业厂房</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5（含）-6</v>
      </c>
      <c r="I61" s="547" t="str">
        <f t="shared" si="17"/>
        <v>6（含）-7</v>
      </c>
      <c r="J61" s="547" t="str">
        <f t="shared" si="17"/>
        <v>7（含）-8</v>
      </c>
      <c r="K61" s="547" t="str">
        <f t="shared" si="17"/>
        <v>8（含）-9</v>
      </c>
      <c r="L61" s="547" t="str">
        <f t="shared" si="17"/>
        <v>9（含）-10</v>
      </c>
      <c r="M61" s="448" t="str">
        <f>M62&amp;"（含）"&amp;"-"&amp;P62</f>
        <v>10（含）-</v>
      </c>
      <c r="N61" s="1156"/>
      <c r="O61" s="1156"/>
      <c r="P61" s="45"/>
      <c r="Q61" s="504"/>
    </row>
    <row r="62" spans="1:17" ht="15">
      <c r="A62" s="534"/>
      <c r="B62" s="548"/>
      <c r="C62" s="549">
        <v>0</v>
      </c>
      <c r="D62" s="549">
        <v>1</v>
      </c>
      <c r="E62" s="549">
        <v>2</v>
      </c>
      <c r="F62" s="549">
        <v>3</v>
      </c>
      <c r="G62" s="549">
        <v>4</v>
      </c>
      <c r="H62" s="549">
        <v>5</v>
      </c>
      <c r="I62" s="549">
        <v>6</v>
      </c>
      <c r="J62" s="549">
        <v>7</v>
      </c>
      <c r="K62" s="550">
        <v>8</v>
      </c>
      <c r="L62" s="550">
        <v>9</v>
      </c>
      <c r="M62" s="552">
        <v>10</v>
      </c>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6" customFormat="1" ht="15.75" thickTop="1">
      <c r="A80" s="579"/>
      <c r="B80" s="538">
        <f>B25</f>
        <v>111</v>
      </c>
      <c r="C80" s="554"/>
      <c r="D80" s="554"/>
      <c r="E80" s="554"/>
      <c r="F80" s="554"/>
      <c r="G80" s="554"/>
      <c r="H80" s="554"/>
      <c r="I80" s="554"/>
      <c r="J80" s="554"/>
      <c r="K80" s="554"/>
      <c r="L80" s="580"/>
      <c r="M80" s="581"/>
      <c r="N80" s="1154"/>
      <c r="O80" s="1154"/>
      <c r="P80" s="45"/>
      <c r="Q80" s="504"/>
    </row>
    <row r="81" spans="1:17" s="116" customFormat="1" ht="15.75" thickBot="1">
      <c r="A81" s="579"/>
      <c r="B81" s="543"/>
      <c r="C81" s="560"/>
      <c r="D81" s="536"/>
      <c r="E81" s="536"/>
      <c r="F81" s="536"/>
      <c r="G81" s="536"/>
      <c r="H81" s="536"/>
      <c r="I81" s="536"/>
      <c r="J81" s="536"/>
      <c r="K81" s="536"/>
      <c r="L81" s="536"/>
      <c r="M81" s="537"/>
      <c r="N81" s="1156"/>
      <c r="O81" s="1156"/>
      <c r="P81" s="45"/>
      <c r="Q81" s="504"/>
    </row>
    <row r="82" spans="1:17" s="116" customFormat="1" ht="15.75" thickTop="1">
      <c r="A82" s="579"/>
      <c r="B82" s="538">
        <f>B26</f>
        <v>111</v>
      </c>
      <c r="C82" s="554"/>
      <c r="D82" s="554"/>
      <c r="E82" s="554"/>
      <c r="F82" s="554"/>
      <c r="G82" s="554"/>
      <c r="H82" s="554"/>
      <c r="I82" s="554"/>
      <c r="J82" s="554"/>
      <c r="K82" s="554"/>
      <c r="L82" s="580"/>
      <c r="M82" s="581"/>
      <c r="N82" s="1154"/>
      <c r="O82" s="1154"/>
      <c r="P82" s="45"/>
      <c r="Q82" s="504"/>
    </row>
    <row r="83" spans="1:17" s="116"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2612</v>
      </c>
      <c r="C90" s="578" t="str">
        <f>C91&amp;"(含)"&amp;"-"&amp;D91</f>
        <v>0(含)-10000</v>
      </c>
      <c r="D90" s="578" t="str">
        <f t="shared" ref="D90:L90" si="20">D91&amp;"(含)"&amp;"-"&amp;E91</f>
        <v>10000(含)-20000</v>
      </c>
      <c r="E90" s="578" t="str">
        <f t="shared" si="20"/>
        <v>20000(含)-30000</v>
      </c>
      <c r="F90" s="578" t="str">
        <f t="shared" si="20"/>
        <v>30000(含)-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10000</v>
      </c>
      <c r="E91" s="595">
        <v>20000</v>
      </c>
      <c r="F91" s="595">
        <v>30000</v>
      </c>
      <c r="G91" s="595"/>
      <c r="H91" s="595"/>
      <c r="I91" s="595"/>
      <c r="J91" s="596"/>
      <c r="K91" s="596"/>
      <c r="L91" s="597"/>
      <c r="M91" s="598"/>
      <c r="N91" s="1157"/>
      <c r="O91" s="1157"/>
      <c r="P91" s="558"/>
      <c r="Q91" s="559"/>
    </row>
    <row r="92" spans="1:17" s="471" customFormat="1" ht="15.75" thickBot="1">
      <c r="A92" s="553"/>
      <c r="B92" s="543"/>
      <c r="C92" s="560">
        <v>100</v>
      </c>
      <c r="D92" s="536">
        <v>101</v>
      </c>
      <c r="E92" s="536">
        <v>102</v>
      </c>
      <c r="F92" s="536">
        <v>103</v>
      </c>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2949" t="s">
        <v>3091</v>
      </c>
      <c r="D95" s="2949" t="s">
        <v>3092</v>
      </c>
      <c r="E95" s="2949" t="s">
        <v>3093</v>
      </c>
      <c r="F95" s="2950" t="s">
        <v>3094</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2949" t="s">
        <v>3091</v>
      </c>
      <c r="D104" s="2949" t="s">
        <v>3092</v>
      </c>
      <c r="E104" s="2949" t="s">
        <v>3093</v>
      </c>
      <c r="F104" s="2950" t="s">
        <v>3094</v>
      </c>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90" zoomScaleNormal="90" zoomScaleSheetLayoutView="90" workbookViewId="0">
      <selection activeCell="H57" sqref="H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3053</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t="e">
        <f ca="1">C40+J29+L46</f>
        <v>#N/A</v>
      </c>
      <c r="C2" s="1849" t="s">
        <v>1517</v>
      </c>
      <c r="D2" s="1849"/>
      <c r="E2" s="1850"/>
      <c r="F2" s="1851"/>
      <c r="G2" s="1852"/>
      <c r="H2" s="1844"/>
      <c r="I2" s="1844"/>
      <c r="J2" s="1844"/>
      <c r="K2" s="1845"/>
      <c r="L2" s="1844"/>
      <c r="M2" s="1844"/>
    </row>
    <row r="3" spans="1:37" ht="18" customHeight="1" thickBot="1">
      <c r="A3" s="1853" t="s">
        <v>1518</v>
      </c>
      <c r="B3" s="1854">
        <f ca="1">IF(ISERROR(B2*10000/F43),0,ROUND(B2*10000/F43,0))</f>
        <v>0</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176" t="s">
        <v>1404</v>
      </c>
      <c r="C6" s="1299" t="e">
        <f ca="1">ROUND(F6*F8*F7*(1-F9)/10000,0)</f>
        <v>#N/A</v>
      </c>
      <c r="D6" s="164" t="s">
        <v>3032</v>
      </c>
      <c r="E6" s="347" t="s">
        <v>1406</v>
      </c>
      <c r="F6" s="348" t="e">
        <f ca="1">INDIRECT("'数据-取费表'!u"&amp;$G$1)</f>
        <v>#N/A</v>
      </c>
      <c r="G6" s="1855"/>
      <c r="H6" s="1294" t="s">
        <v>1035</v>
      </c>
      <c r="I6" s="3176" t="s">
        <v>1404</v>
      </c>
      <c r="J6" s="346" t="e">
        <f ca="1">ROUND(M6*M8*M7*(1-M9)/10000,0)</f>
        <v>#N/A</v>
      </c>
      <c r="K6" s="164" t="s">
        <v>3031</v>
      </c>
      <c r="L6" s="347" t="s">
        <v>1406</v>
      </c>
      <c r="M6" s="348" t="e">
        <f ca="1">INDIRECT("'数据-取费表'!z"&amp;$G$1)</f>
        <v>#N/A</v>
      </c>
    </row>
    <row r="7" spans="1:37" ht="18" customHeight="1">
      <c r="A7" s="1298"/>
      <c r="B7" s="3177"/>
      <c r="C7" s="1300"/>
      <c r="D7" s="352"/>
      <c r="E7" s="2938" t="s">
        <v>1407</v>
      </c>
      <c r="F7" s="348" t="e">
        <f ca="1">IF(INDIRECT("'数据-取费表'!ah"&amp;$G$1)="",INDIRECT("'数据-取费表'!k"&amp;$G$1),INDIRECT("'数据-取费表'!ah"&amp;$G$1))</f>
        <v>#N/A</v>
      </c>
      <c r="G7" s="1855"/>
      <c r="H7" s="349"/>
      <c r="I7" s="3177"/>
      <c r="J7" s="351"/>
      <c r="K7" s="352"/>
      <c r="L7" s="347" t="s">
        <v>1407</v>
      </c>
      <c r="M7" s="348" t="e">
        <f ca="1">F7</f>
        <v>#N/A</v>
      </c>
    </row>
    <row r="8" spans="1:37" ht="18" customHeight="1">
      <c r="A8" s="349"/>
      <c r="B8" s="3177"/>
      <c r="C8" s="351"/>
      <c r="D8" s="352"/>
      <c r="E8" s="347" t="s">
        <v>1408</v>
      </c>
      <c r="F8" s="348" t="e">
        <f ca="1">INDIRECT("'数据-取费表'!ai"&amp;$G$1)</f>
        <v>#N/A</v>
      </c>
      <c r="G8" s="1855"/>
      <c r="H8" s="349"/>
      <c r="I8" s="3177"/>
      <c r="J8" s="351"/>
      <c r="K8" s="352"/>
      <c r="L8" s="347" t="s">
        <v>1408</v>
      </c>
      <c r="M8" s="348" t="e">
        <f ca="1">INDIRECT("'数据-取费表'!ai"&amp;$G$1)</f>
        <v>#N/A</v>
      </c>
    </row>
    <row r="9" spans="1:37" ht="18" customHeight="1">
      <c r="A9" s="349"/>
      <c r="B9" s="3178"/>
      <c r="C9" s="351"/>
      <c r="D9" s="352"/>
      <c r="E9" s="347" t="s">
        <v>1409</v>
      </c>
      <c r="F9" s="357" t="e">
        <f ca="1">INDIRECT("'数据-取费表'!w"&amp;$G$1)</f>
        <v>#N/A</v>
      </c>
      <c r="G9" s="1855"/>
      <c r="H9" s="349"/>
      <c r="I9" s="3178"/>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3028</v>
      </c>
      <c r="E10" s="358" t="s">
        <v>1412</v>
      </c>
      <c r="F10" s="1369" t="s">
        <v>3080</v>
      </c>
      <c r="G10" s="1855"/>
      <c r="H10" s="1294" t="s">
        <v>1039</v>
      </c>
      <c r="I10" s="1827" t="s">
        <v>1410</v>
      </c>
      <c r="J10" s="346" t="e">
        <f ca="1">ROUND(IF(M10="押一",M6*M8*M7/12*M11,IF(M10="押二",M6*M8*M7/12*2*M11,IF(M10="押三",M6*M8*M7/12*3*M11,J11*M11)))/10000,0)</f>
        <v>#N/A</v>
      </c>
      <c r="K10" s="1828" t="s">
        <v>3028</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5"/>
      <c r="H13" s="1332">
        <v>2</v>
      </c>
      <c r="I13" s="1333" t="s">
        <v>1415</v>
      </c>
      <c r="J13" s="1293" t="e">
        <f ca="1">ROUND(J14*J15,0)</f>
        <v>#N/A</v>
      </c>
      <c r="K13" s="1340" t="s">
        <v>1416</v>
      </c>
      <c r="L13" s="1856"/>
      <c r="M13" s="1857"/>
    </row>
    <row r="14" spans="1:37" ht="18" customHeight="1">
      <c r="A14" s="1204" t="s">
        <v>1034</v>
      </c>
      <c r="B14" s="347" t="s">
        <v>1418</v>
      </c>
      <c r="C14" s="363" t="e">
        <f ca="1">INDIRECT("'数据-取费表'!m"&amp;$G$1)+INDIRECT("'数据-取费表'!t"&amp;$G$1)</f>
        <v>#N/A</v>
      </c>
      <c r="D14" s="2932" t="s">
        <v>1419</v>
      </c>
      <c r="E14" s="2930"/>
      <c r="F14" s="364"/>
      <c r="G14" s="1855"/>
      <c r="H14" s="1204" t="s">
        <v>1035</v>
      </c>
      <c r="I14" s="347" t="s">
        <v>1420</v>
      </c>
      <c r="J14" s="24" t="e">
        <f ca="1">C29</f>
        <v>#N/A</v>
      </c>
      <c r="K14" s="2937"/>
      <c r="L14" s="982"/>
      <c r="M14" s="983"/>
    </row>
    <row r="15" spans="1:37" s="1862" customFormat="1" ht="18" customHeight="1" thickBot="1">
      <c r="A15" s="1204" t="s">
        <v>1036</v>
      </c>
      <c r="B15" s="347" t="s">
        <v>1421</v>
      </c>
      <c r="C15" s="24" t="e">
        <f ca="1">ROUND(C14*F15,0)</f>
        <v>#N/A</v>
      </c>
      <c r="D15" s="365" t="s">
        <v>1422</v>
      </c>
      <c r="E15" s="365" t="s">
        <v>1423</v>
      </c>
      <c r="F15" s="366">
        <f>'数据-取费表'!B33</f>
        <v>0.03</v>
      </c>
      <c r="G15" s="1858"/>
      <c r="H15" s="1342" t="s">
        <v>1039</v>
      </c>
      <c r="I15" s="1343" t="s">
        <v>1417</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t="e">
        <f ca="1">ROUND(INDIRECT("'数据-取费表'!m"&amp;$G$1)*F16,0)</f>
        <v>#N/A</v>
      </c>
      <c r="D16" s="347" t="s">
        <v>1422</v>
      </c>
      <c r="E16" s="347" t="s">
        <v>1423</v>
      </c>
      <c r="F16" s="367" t="e">
        <f ca="1">IF(INDIRECT("'数据-取费表'!c"&amp;$G$1)="住宅",'数据-取费表'!B34,0)</f>
        <v>#N/A</v>
      </c>
      <c r="G16" s="1855"/>
      <c r="H16" s="1332" t="s">
        <v>1030</v>
      </c>
      <c r="I16" s="1333" t="s">
        <v>1425</v>
      </c>
      <c r="J16" s="355" t="e">
        <f ca="1">ROUND(J17+J22+J23+J24,0)</f>
        <v>#N/A</v>
      </c>
      <c r="K16" s="1340" t="s">
        <v>1426</v>
      </c>
      <c r="L16" s="2933"/>
      <c r="M16" s="1297"/>
    </row>
    <row r="17" spans="1:37" s="1862" customFormat="1" ht="18" customHeight="1">
      <c r="A17" s="1204" t="s">
        <v>1391</v>
      </c>
      <c r="B17" s="347" t="s">
        <v>1427</v>
      </c>
      <c r="C17" s="24" t="e">
        <f ca="1">ROUND(F17*(F43+INDIRECT("'数据-取费表'!S"&amp;$G$1))/10000,0)</f>
        <v>#N/A</v>
      </c>
      <c r="D17" s="347" t="s">
        <v>1428</v>
      </c>
      <c r="E17" s="347" t="s">
        <v>1429</v>
      </c>
      <c r="F17" s="26">
        <f>'数据-取费表'!B35</f>
        <v>200</v>
      </c>
      <c r="G17" s="1858"/>
      <c r="H17" s="1204" t="s">
        <v>1035</v>
      </c>
      <c r="I17" s="347" t="s">
        <v>1430</v>
      </c>
      <c r="J17" s="24" t="e">
        <f ca="1">ROUND(IF(项目基本情况!B11="自然人",J5*M17,J18+J19+J20),1)</f>
        <v>#N/A</v>
      </c>
      <c r="K17" s="2932" t="s">
        <v>1431</v>
      </c>
      <c r="L17" s="2931" t="s">
        <v>1432</v>
      </c>
      <c r="M17" s="368" t="e">
        <f ca="1">IF(项目基本情况!B11="企业","",IF(INDIRECT("'数据-取费表'!c"&amp;$G$1)="住宅",5%,IF(M6*M7*M8/12/(1+'数据-取费表'!C42)&gt;20000,12%,7%)))</f>
        <v>#N/A</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t="e">
        <f ca="1">ROUND(C14*F18,0)</f>
        <v>#N/A</v>
      </c>
      <c r="D18" s="347" t="s">
        <v>1422</v>
      </c>
      <c r="E18" s="347" t="s">
        <v>1423</v>
      </c>
      <c r="F18" s="367">
        <f>'数据-取费表'!B36</f>
        <v>1.4999999999999999E-2</v>
      </c>
      <c r="G18" s="1858"/>
      <c r="H18" s="1204" t="s">
        <v>1034</v>
      </c>
      <c r="I18" s="347" t="s">
        <v>1434</v>
      </c>
      <c r="J18" s="24" t="e">
        <f ca="1">ROUND(J5*M18/(1+'数据-取费表'!C42),2)</f>
        <v>#N/A</v>
      </c>
      <c r="K18" s="2931"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t="e">
        <f ca="1">SUM(C14:C18)</f>
        <v>#N/A</v>
      </c>
      <c r="D19" s="139" t="s">
        <v>1437</v>
      </c>
      <c r="E19" s="2936"/>
      <c r="F19" s="26"/>
      <c r="G19" s="1855"/>
      <c r="H19" s="1204" t="s">
        <v>1036</v>
      </c>
      <c r="I19" s="347" t="s">
        <v>1438</v>
      </c>
      <c r="J19" s="24" t="e">
        <f ca="1">IF(K19="按租金收入计税",ROUND(J5*M19,2),ROUND(C29*M19*0.7,2))</f>
        <v>#N/A</v>
      </c>
      <c r="K19" s="1832" t="s">
        <v>1439</v>
      </c>
      <c r="L19" s="347" t="s">
        <v>1423</v>
      </c>
      <c r="M19" s="367">
        <f>IF(K19="按租金收入计税",'数据-取费表'!B51,'数据-取费表'!B50)</f>
        <v>1.2E-2</v>
      </c>
    </row>
    <row r="20" spans="1:37" s="1862" customFormat="1" ht="18" customHeight="1">
      <c r="A20" s="1204" t="s">
        <v>1039</v>
      </c>
      <c r="B20" s="347" t="s">
        <v>1440</v>
      </c>
      <c r="C20" s="24" t="e">
        <f ca="1">ROUND(C19*F20,0)</f>
        <v>#N/A</v>
      </c>
      <c r="D20" s="369" t="s">
        <v>1441</v>
      </c>
      <c r="E20" s="347" t="s">
        <v>1423</v>
      </c>
      <c r="F20" s="367">
        <f>'数据-取费表'!B37</f>
        <v>0.02</v>
      </c>
      <c r="G20" s="1858"/>
      <c r="H20" s="1204" t="s">
        <v>1390</v>
      </c>
      <c r="I20" s="164" t="s">
        <v>1442</v>
      </c>
      <c r="J20" s="25" t="e">
        <f ca="1">ROUND(M20*M21/10000,2)</f>
        <v>#N/A</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2936"/>
      <c r="F22" s="26"/>
      <c r="G22" s="1855"/>
      <c r="H22" s="1204" t="s">
        <v>1039</v>
      </c>
      <c r="I22" s="347" t="s">
        <v>1450</v>
      </c>
      <c r="J22" s="24" t="e">
        <f ca="1">ROUND(J14*M22,1)</f>
        <v>#N/A</v>
      </c>
      <c r="K22" s="2931" t="s">
        <v>1451</v>
      </c>
      <c r="L22" s="347" t="s">
        <v>1423</v>
      </c>
      <c r="M22" s="374" t="e">
        <f ca="1">INDIRECT("'数据-取费表'!Ak"&amp;$G$1)</f>
        <v>#N/A</v>
      </c>
    </row>
    <row r="23" spans="1:37" s="1862"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t="e">
        <f ca="1">ROUND(J13*M23,1)</f>
        <v>#N/A</v>
      </c>
      <c r="K23" s="2931" t="s">
        <v>1455</v>
      </c>
      <c r="L23" s="347" t="s">
        <v>1423</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1393</v>
      </c>
      <c r="I24" s="1343" t="s">
        <v>1440</v>
      </c>
      <c r="J24" s="1344" t="e">
        <f ca="1">ROUND(J5*M24,1)</f>
        <v>#N/A</v>
      </c>
      <c r="K24" s="1345" t="s">
        <v>1460</v>
      </c>
      <c r="L24" s="1343" t="s">
        <v>1423</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2936"/>
      <c r="F25" s="26"/>
      <c r="G25" s="1855"/>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5"/>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5"/>
      <c r="H27" s="349"/>
      <c r="I27" s="350"/>
      <c r="J27" s="351"/>
      <c r="K27" s="378" t="s">
        <v>1474</v>
      </c>
      <c r="L27" s="347" t="s">
        <v>1475</v>
      </c>
      <c r="M27" s="379" t="e">
        <f ca="1">INDIRECT("'数据-取费表'!ag"&amp;$G$1)</f>
        <v>#N/A</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t="e">
        <f ca="1">ROUND((C19+C20+C23+C26)/(1-F21-C24-C27-C28),0)</f>
        <v>#N/A</v>
      </c>
      <c r="D29" s="1345"/>
      <c r="E29" s="1343"/>
      <c r="F29" s="1346"/>
      <c r="G29" s="1858"/>
      <c r="H29" s="380" t="s">
        <v>1033</v>
      </c>
      <c r="I29" s="381" t="s">
        <v>1480</v>
      </c>
      <c r="J29" s="382" t="e">
        <f ca="1">ROUND(J26/(1+F40)^F41,0)</f>
        <v>#N/A</v>
      </c>
      <c r="K29" s="383" t="s">
        <v>1481</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t="e">
        <f ca="1">ROUND(C31+C36+C37+C38,0)</f>
        <v>#N/A</v>
      </c>
      <c r="D30" s="1340" t="s">
        <v>1426</v>
      </c>
      <c r="E30" s="2933"/>
      <c r="F30" s="1297"/>
      <c r="G30" s="1855"/>
      <c r="H30" s="745"/>
      <c r="I30" s="746"/>
      <c r="J30" s="747"/>
      <c r="K30" s="748"/>
      <c r="L30" s="749"/>
      <c r="M30" s="750"/>
    </row>
    <row r="31" spans="1:37" ht="18" customHeight="1">
      <c r="A31" s="1204" t="s">
        <v>1035</v>
      </c>
      <c r="B31" s="347" t="s">
        <v>1430</v>
      </c>
      <c r="C31" s="24" t="e">
        <f ca="1">ROUND(IF(项目基本情况!B11="自然人",C5*F31,C32+C33+C34),1)</f>
        <v>#N/A</v>
      </c>
      <c r="D31" s="2932" t="s">
        <v>1431</v>
      </c>
      <c r="E31" s="2931" t="s">
        <v>1482</v>
      </c>
      <c r="F31" s="368" t="e">
        <f ca="1">IF(项目基本情况!B11="企业","",IF(INDIRECT("'数据-取费表'!c"&amp;$G$1)="住宅",5%,IF(F6*F7*F8/12/(1+'数据-取费表'!C42)&gt;20000,12%,7%)))</f>
        <v>#N/A</v>
      </c>
      <c r="G31" s="1855"/>
      <c r="H31" s="745"/>
      <c r="I31" s="746"/>
      <c r="J31" s="747"/>
      <c r="K31" s="748"/>
      <c r="L31" s="749"/>
      <c r="M31" s="750"/>
    </row>
    <row r="32" spans="1:37" ht="18" customHeight="1">
      <c r="A32" s="1204" t="s">
        <v>1034</v>
      </c>
      <c r="B32" s="347" t="s">
        <v>1434</v>
      </c>
      <c r="C32" s="24" t="e">
        <f ca="1">IF(项目基本情况!B11="自然人","——",ROUND(C5*F32/(1+'数据-取费表'!C42),2))</f>
        <v>#N/A</v>
      </c>
      <c r="D32" s="2931" t="s">
        <v>1435</v>
      </c>
      <c r="E32" s="347" t="s">
        <v>1423</v>
      </c>
      <c r="F32" s="377">
        <f>'数据-取费表'!B41</f>
        <v>5.5000000000000007E-2</v>
      </c>
      <c r="G32" s="1855"/>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t="e">
        <f ca="1">IF(项目基本情况!B11="自然人","——",ROUND(F34*F35/10000,2))</f>
        <v>#N/A</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t="e">
        <f ca="1">INDIRECT("'数据-取费表'!r"&amp;$G$1)</f>
        <v>#N/A</v>
      </c>
      <c r="G35" s="1855"/>
      <c r="H35" s="745"/>
      <c r="I35" s="1864"/>
      <c r="J35" s="1865"/>
      <c r="K35" s="1866"/>
      <c r="L35" s="1863"/>
      <c r="M35" s="1863"/>
    </row>
    <row r="36" spans="1:18" ht="18" customHeight="1">
      <c r="A36" s="1355" t="s">
        <v>1039</v>
      </c>
      <c r="B36" s="347" t="s">
        <v>1450</v>
      </c>
      <c r="C36" s="24" t="e">
        <f ca="1">ROUND(C29*F36,1)</f>
        <v>#N/A</v>
      </c>
      <c r="D36" s="2931" t="s">
        <v>1483</v>
      </c>
      <c r="E36" s="347" t="s">
        <v>1423</v>
      </c>
      <c r="F36" s="374" t="e">
        <f ca="1">INDIRECT("'数据-取费表'!Ak"&amp;$G$1)</f>
        <v>#N/A</v>
      </c>
      <c r="G36" s="1855"/>
      <c r="H36" s="1863"/>
      <c r="I36" s="1864"/>
      <c r="J36" s="1865"/>
      <c r="K36" s="751"/>
      <c r="L36" s="1863"/>
      <c r="M36" s="1863"/>
    </row>
    <row r="37" spans="1:18" ht="18" customHeight="1">
      <c r="A37" s="1204" t="s">
        <v>1075</v>
      </c>
      <c r="B37" s="347" t="s">
        <v>1454</v>
      </c>
      <c r="C37" s="24" t="e">
        <f ca="1">ROUND(C13*F37,1)</f>
        <v>#N/A</v>
      </c>
      <c r="D37" s="2931" t="s">
        <v>1455</v>
      </c>
      <c r="E37" s="347" t="s">
        <v>1423</v>
      </c>
      <c r="F37" s="376" t="e">
        <f ca="1">INDIRECT("'数据-取费表'!Al"&amp;$G$1)</f>
        <v>#N/A</v>
      </c>
      <c r="G37" s="1855"/>
      <c r="H37" s="1863"/>
      <c r="I37" s="1864"/>
      <c r="J37" s="1865"/>
      <c r="K37" s="751"/>
      <c r="L37" s="1863"/>
      <c r="M37" s="1863"/>
    </row>
    <row r="38" spans="1:18" ht="18" customHeight="1" thickBot="1">
      <c r="A38" s="1342" t="s">
        <v>1393</v>
      </c>
      <c r="B38" s="1343" t="s">
        <v>1440</v>
      </c>
      <c r="C38" s="1344" t="e">
        <f ca="1">ROUND(C5*F38,1)</f>
        <v>#N/A</v>
      </c>
      <c r="D38" s="1345" t="s">
        <v>1460</v>
      </c>
      <c r="E38" s="1343" t="s">
        <v>1423</v>
      </c>
      <c r="F38" s="1339" t="e">
        <f ca="1">INDIRECT("'数据-取费表'!Am"&amp;$G$1)</f>
        <v>#N/A</v>
      </c>
      <c r="G38" s="1855"/>
      <c r="H38" s="1863"/>
      <c r="I38" s="1864"/>
      <c r="J38" s="1865"/>
      <c r="K38" s="1869"/>
      <c r="L38" s="1863"/>
      <c r="M38" s="1863"/>
    </row>
    <row r="39" spans="1:18" ht="24.6" customHeight="1" thickTop="1">
      <c r="A39" s="1332" t="s">
        <v>1031</v>
      </c>
      <c r="B39" s="1347" t="s">
        <v>1464</v>
      </c>
      <c r="C39" s="355" t="e">
        <f ca="1">C5-C30</f>
        <v>#N/A</v>
      </c>
      <c r="D39" s="1348" t="s">
        <v>1465</v>
      </c>
      <c r="E39" s="1349"/>
      <c r="F39" s="1350"/>
      <c r="G39" s="1855"/>
      <c r="H39" s="1863"/>
      <c r="I39" s="1864"/>
      <c r="J39" s="1865"/>
      <c r="K39" s="1869"/>
      <c r="L39" s="1863"/>
      <c r="M39" s="1863"/>
    </row>
    <row r="40" spans="1:18" ht="18" customHeight="1">
      <c r="A40" s="344" t="s">
        <v>1032</v>
      </c>
      <c r="B40" s="345" t="s">
        <v>1486</v>
      </c>
      <c r="C40" s="346" t="e">
        <f ca="1">ROUND(C39*(1-((1+F42)/(1+F40))^F41)/(F40-F42),0)</f>
        <v>#N/A</v>
      </c>
      <c r="D40" s="370" t="s">
        <v>1470</v>
      </c>
      <c r="E40" s="347" t="s">
        <v>1471</v>
      </c>
      <c r="F40" s="357" t="e">
        <f ca="1">INDIRECT("'数据-取费表'!I"&amp;$G$1)</f>
        <v>#N/A</v>
      </c>
      <c r="G40" s="1855"/>
      <c r="H40" s="1843"/>
      <c r="I40" s="1864"/>
      <c r="J40" s="1865"/>
      <c r="K40" s="1869"/>
      <c r="L40" s="1843"/>
      <c r="M40" s="1843"/>
    </row>
    <row r="41" spans="1:18" ht="18" customHeight="1">
      <c r="A41" s="349"/>
      <c r="B41" s="350"/>
      <c r="C41" s="351"/>
      <c r="D41" s="378" t="s">
        <v>1487</v>
      </c>
      <c r="E41" s="347" t="s">
        <v>1475</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1478</v>
      </c>
      <c r="F42" s="357" t="e">
        <f ca="1">INDIRECT("'数据-取费表'!v"&amp;$G$1)</f>
        <v>#N/A</v>
      </c>
      <c r="G42" s="1855"/>
      <c r="H42" s="732"/>
      <c r="I42" s="1864"/>
      <c r="J42" s="1865"/>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t="e">
        <f ca="1">C68-C40</f>
        <v>#N/A</v>
      </c>
      <c r="D46" s="1876" t="str">
        <f>C2</f>
        <v>万元</v>
      </c>
      <c r="E46" s="1870"/>
      <c r="F46" s="1870"/>
      <c r="I46" s="1877" t="s">
        <v>1522</v>
      </c>
      <c r="J46" s="1878"/>
      <c r="K46" s="1879"/>
      <c r="L46" s="1880" t="e">
        <f ca="1">IF(M47="住宅",0,IF(L48&gt;J51,L60,J60))</f>
        <v>#N/A</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t="e">
        <f ca="1">INDIRECT("'数据-取费表'!d"&amp;$G$1)</f>
        <v>#N/A</v>
      </c>
      <c r="M47" s="1842" t="str">
        <f>IF(ISNUMBER(FIND("住宅",C1)),"住宅","非住宅")</f>
        <v>非住宅</v>
      </c>
      <c r="O47" s="1888" t="s">
        <v>1040</v>
      </c>
      <c r="P47" s="1889" t="s">
        <v>1529</v>
      </c>
      <c r="Q47" s="1890" t="e">
        <f ca="1">C40+J29</f>
        <v>#N/A</v>
      </c>
      <c r="R47" s="1890" t="s">
        <v>1530</v>
      </c>
    </row>
    <row r="48" spans="1:18" s="1846" customFormat="1" ht="28.5" thickBot="1">
      <c r="A48" s="1363" t="s">
        <v>1135</v>
      </c>
      <c r="B48" s="345" t="s">
        <v>1402</v>
      </c>
      <c r="C48" s="2935" t="e">
        <f ca="1">C49+C53+C55</f>
        <v>#N/A</v>
      </c>
      <c r="D48" s="1365"/>
      <c r="E48" s="1366"/>
      <c r="F48" s="1184"/>
      <c r="G48" s="792"/>
      <c r="H48" s="793"/>
      <c r="I48" s="1891" t="s">
        <v>1531</v>
      </c>
      <c r="J48" s="1892" t="s">
        <v>3079</v>
      </c>
      <c r="K48" s="1893" t="s">
        <v>1532</v>
      </c>
      <c r="L48" s="1894" t="e">
        <f ca="1">INDIRECT("'数据-取费表'!f"&amp;$G$1)</f>
        <v>#N/A</v>
      </c>
      <c r="O48" s="1888" t="s">
        <v>1041</v>
      </c>
      <c r="P48" s="1889" t="s">
        <v>1533</v>
      </c>
      <c r="Q48" s="1890" t="e">
        <f ca="1">J60</f>
        <v>#N/A</v>
      </c>
      <c r="R48" s="1890" t="s">
        <v>1534</v>
      </c>
    </row>
    <row r="49" spans="1:18" s="1846" customFormat="1" ht="13.5" thickBot="1">
      <c r="A49" s="1197" t="s">
        <v>1136</v>
      </c>
      <c r="B49" s="1833" t="s">
        <v>1491</v>
      </c>
      <c r="C49" s="1367" t="e">
        <f ca="1">ROUND(F49*F51*F50*(1-F52)/10000,0)</f>
        <v>#N/A</v>
      </c>
      <c r="D49" s="1279" t="s">
        <v>3031</v>
      </c>
      <c r="E49" s="1834" t="s">
        <v>1492</v>
      </c>
      <c r="F49" s="1284">
        <f>'比较法-办公'!C50</f>
        <v>2.6</v>
      </c>
      <c r="G49" s="1895"/>
      <c r="H49" s="793"/>
      <c r="I49" s="1891" t="s">
        <v>1535</v>
      </c>
      <c r="J49" s="1896">
        <v>2006</v>
      </c>
      <c r="K49" s="1893" t="s">
        <v>1536</v>
      </c>
      <c r="L49" s="1897"/>
      <c r="O49" s="1898" t="s">
        <v>1042</v>
      </c>
      <c r="P49" s="1889" t="s">
        <v>1537</v>
      </c>
      <c r="Q49" s="1890" t="e">
        <f ca="1">C29</f>
        <v>#N/A</v>
      </c>
      <c r="R49" s="1890" t="s">
        <v>1530</v>
      </c>
    </row>
    <row r="50" spans="1:18" s="1846" customFormat="1" ht="13.5" thickBot="1">
      <c r="A50" s="1198"/>
      <c r="B50" s="1201"/>
      <c r="C50" s="1371"/>
      <c r="D50" s="1175"/>
      <c r="E50" s="1280" t="s">
        <v>1407</v>
      </c>
      <c r="F50" s="1281" t="e">
        <f ca="1">F7</f>
        <v>#N/A</v>
      </c>
      <c r="H50" s="793"/>
      <c r="I50" s="1891" t="s">
        <v>1538</v>
      </c>
      <c r="J50" s="1899">
        <f>SUMPRODUCT((I63:I65=J47)*(J62:L62=J48)*(J63:L65))</f>
        <v>60</v>
      </c>
      <c r="K50" s="1893" t="s">
        <v>1539</v>
      </c>
      <c r="L50" s="1897"/>
      <c r="M50" s="1900"/>
      <c r="O50" s="1898" t="s">
        <v>1043</v>
      </c>
      <c r="P50" s="1889" t="s">
        <v>1540</v>
      </c>
      <c r="Q50" s="1901" t="e">
        <f ca="1">J58</f>
        <v>#N/A</v>
      </c>
      <c r="R50" s="1890"/>
    </row>
    <row r="51" spans="1:18" s="1846" customFormat="1" ht="13.5" thickBot="1">
      <c r="A51" s="1199"/>
      <c r="B51" s="1201"/>
      <c r="C51" s="1202"/>
      <c r="D51" s="1175"/>
      <c r="E51" s="1203" t="s">
        <v>1408</v>
      </c>
      <c r="F51" s="348" t="e">
        <f ca="1">F8</f>
        <v>#N/A</v>
      </c>
      <c r="I51" s="1902" t="s">
        <v>1541</v>
      </c>
      <c r="J51" s="1903">
        <f>IF(J49="",J50,J49+J50-YEAR('数据-取费表'!B2))</f>
        <v>49</v>
      </c>
      <c r="K51" s="1904" t="s">
        <v>1542</v>
      </c>
      <c r="L51" s="1905" t="e">
        <f ca="1">ROUND(-PV(INDIRECT("'数据-取费表'!h"&amp;$G$1),L48,(C39-C13*C76),0),0)</f>
        <v>#N/A</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t="e">
        <f ca="1">J53</f>
        <v>#N/A</v>
      </c>
      <c r="R52" s="1890" t="s">
        <v>1547</v>
      </c>
    </row>
    <row r="53" spans="1:18" s="1846" customFormat="1" ht="24.75" thickBot="1">
      <c r="A53" s="1408" t="s">
        <v>1137</v>
      </c>
      <c r="B53" s="1835" t="s">
        <v>1410</v>
      </c>
      <c r="C53" s="361" t="e">
        <f ca="1">ROUND(IF(F53="押一",F49*F51*F50/12*F11,IF(F53="押二",F49*F51*F50/12*2*F11,IF(F53="押三",F49*F51*F50/12*3*F11,C54*F11)))/10000,0)</f>
        <v>#N/A</v>
      </c>
      <c r="D53" s="1828" t="s">
        <v>3028</v>
      </c>
      <c r="E53" s="358" t="s">
        <v>1412</v>
      </c>
      <c r="F53" s="1369" t="s">
        <v>3080</v>
      </c>
      <c r="I53" s="1909" t="s">
        <v>1548</v>
      </c>
      <c r="J53" s="1910" t="e">
        <f ca="1">IF(M47="住宅",J51,IF(D1="——",MIN(J51,L48),IF(D1="在建（套用方法）",MIN(J51,L48-'数据-取费表'!B24),IF(D1="土地（套用方法）",MIN(J51,L48-'数据-取费表'!B20)))))</f>
        <v>#N/A</v>
      </c>
      <c r="K53" s="3174" t="s">
        <v>1549</v>
      </c>
      <c r="L53" s="3175"/>
      <c r="O53" s="1888" t="s">
        <v>1046</v>
      </c>
      <c r="P53" s="1889" t="s">
        <v>1550</v>
      </c>
      <c r="Q53" s="1890" t="e">
        <f ca="1">Q47+Q48</f>
        <v>#N/A</v>
      </c>
      <c r="R53" s="1890" t="s">
        <v>1047</v>
      </c>
    </row>
    <row r="54" spans="1:18" s="1846" customFormat="1" ht="13.5" thickBot="1">
      <c r="A54" s="1409"/>
      <c r="B54" s="1829" t="s">
        <v>1389</v>
      </c>
      <c r="C54" s="1181"/>
      <c r="D54" s="1828"/>
      <c r="E54" s="293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1551</v>
      </c>
      <c r="P54" s="1843"/>
      <c r="Q54" s="1843"/>
      <c r="R54" s="1843"/>
    </row>
    <row r="55" spans="1:18" s="1846" customFormat="1" ht="13.5" thickBot="1">
      <c r="A55" s="1336" t="s">
        <v>1075</v>
      </c>
      <c r="B55" s="1831" t="s">
        <v>1414</v>
      </c>
      <c r="C55" s="1337"/>
      <c r="D55" s="1828"/>
      <c r="E55" s="2934"/>
      <c r="F55" s="1911"/>
      <c r="I55" s="1914" t="s">
        <v>1552</v>
      </c>
      <c r="J55" s="1915" t="e">
        <f ca="1">ROUND(IF(J47="钢混",J57/J50,1-(1-2%)*(J50-J57)/J50),3)</f>
        <v>#N/A</v>
      </c>
      <c r="K55" s="1916" t="s">
        <v>1553</v>
      </c>
      <c r="L55" s="1917" t="s">
        <v>1554</v>
      </c>
      <c r="O55" s="1881" t="s">
        <v>1523</v>
      </c>
      <c r="P55" s="1882" t="s">
        <v>1524</v>
      </c>
      <c r="Q55" s="1883" t="s">
        <v>1525</v>
      </c>
      <c r="R55" s="1883" t="s">
        <v>1526</v>
      </c>
    </row>
    <row r="56" spans="1:18" s="1846" customFormat="1" ht="25.5" thickTop="1" thickBot="1">
      <c r="A56" s="1179">
        <v>2</v>
      </c>
      <c r="B56" s="1180" t="s">
        <v>1415</v>
      </c>
      <c r="C56" s="276" t="e">
        <f ca="1">C13</f>
        <v>#N/A</v>
      </c>
      <c r="D56" s="1918"/>
      <c r="E56" s="1919"/>
      <c r="F56" s="1911"/>
      <c r="I56" s="1920" t="s">
        <v>1555</v>
      </c>
      <c r="J56" s="1921" t="s">
        <v>3060</v>
      </c>
      <c r="K56" s="1891" t="s">
        <v>1556</v>
      </c>
      <c r="L56" s="1894" t="e">
        <f ca="1">IF(L48&lt;J51,"——",L48-J53)</f>
        <v>#N/A</v>
      </c>
      <c r="O56" s="1888" t="s">
        <v>1040</v>
      </c>
      <c r="P56" s="1889" t="s">
        <v>1529</v>
      </c>
      <c r="Q56" s="1890" t="e">
        <f ca="1">C40+J29</f>
        <v>#N/A</v>
      </c>
      <c r="R56" s="1890" t="s">
        <v>1530</v>
      </c>
    </row>
    <row r="57" spans="1:18" s="1846" customFormat="1" ht="24.75" thickBot="1">
      <c r="A57" s="1922"/>
      <c r="B57" s="1172" t="s">
        <v>1479</v>
      </c>
      <c r="C57" s="282" t="e">
        <f ca="1">C29</f>
        <v>#N/A</v>
      </c>
      <c r="D57" s="1923"/>
      <c r="E57" s="1924"/>
      <c r="F57" s="1925"/>
      <c r="I57" s="1926" t="s">
        <v>1557</v>
      </c>
      <c r="J57" s="1927" t="e">
        <f ca="1">IF(OR(M47="住宅",J51&lt;L48,J56="是"),"——",J51-L48)</f>
        <v>#N/A</v>
      </c>
      <c r="K57" s="1891" t="s">
        <v>1558</v>
      </c>
      <c r="L57" s="1894" t="e">
        <f ca="1">IF(L48&lt;J51,"——",IF(L55="比较法",L49,IF(L55="基准地价",L50,L51)))</f>
        <v>#N/A</v>
      </c>
      <c r="O57" s="1888" t="s">
        <v>1041</v>
      </c>
      <c r="P57" s="1889" t="s">
        <v>1559</v>
      </c>
      <c r="Q57" s="1890" t="e">
        <f ca="1">L60</f>
        <v>#N/A</v>
      </c>
      <c r="R57" s="1890" t="s">
        <v>1560</v>
      </c>
    </row>
    <row r="58" spans="1:18" s="1846" customFormat="1" ht="24.75" thickBot="1">
      <c r="A58" s="360" t="s">
        <v>1030</v>
      </c>
      <c r="B58" s="1180" t="s">
        <v>1425</v>
      </c>
      <c r="C58" s="361" t="e">
        <f ca="1">ROUND(C59+C64+C65+C66,0)</f>
        <v>#N/A</v>
      </c>
      <c r="D58" s="1182" t="s">
        <v>1426</v>
      </c>
      <c r="E58" s="1183"/>
      <c r="F58" s="1184"/>
      <c r="I58" s="1926" t="s">
        <v>1561</v>
      </c>
      <c r="J58" s="1928" t="e">
        <f ca="1">IF(J55&lt;0.4,0.4,J55)</f>
        <v>#N/A</v>
      </c>
      <c r="K58" s="1904" t="s">
        <v>1562</v>
      </c>
      <c r="L58" s="1894" t="e">
        <f ca="1">ROUND(POWER(1+L52,L47-L48)*(POWER(1+L52,L48)-1)/(POWER(1+L52,L47)-1),4)</f>
        <v>#N/A</v>
      </c>
      <c r="O58" s="1898" t="s">
        <v>1042</v>
      </c>
      <c r="P58" s="1889" t="s">
        <v>1563</v>
      </c>
      <c r="Q58" s="1890">
        <f>IF(L55="比较法",L49,IF(L55="基准地价",L50,0))</f>
        <v>0</v>
      </c>
      <c r="R58" s="1890" t="s">
        <v>1530</v>
      </c>
    </row>
    <row r="59" spans="1:18" s="1846" customFormat="1" ht="24.75" thickBot="1">
      <c r="A59" s="1204" t="s">
        <v>1035</v>
      </c>
      <c r="B59" s="1172" t="s">
        <v>1430</v>
      </c>
      <c r="C59" s="24" t="e">
        <f ca="1">ROUND(IF(项目基本情况!B11="自然人",C48*F59,C60+C61+C62),1)</f>
        <v>#N/A</v>
      </c>
      <c r="D59" s="1185" t="s">
        <v>1431</v>
      </c>
      <c r="E59" s="1186" t="s">
        <v>1432</v>
      </c>
      <c r="F59" s="368" t="e">
        <f ca="1">IF(项目基本情况!B11="企业","",IF(INDIRECT("'数据-取费表'!c"&amp;$G$1)="住宅",5%,IF(F49*F50*F51/12/(1+'数据-取费表'!C42)&gt;20000,12%,7%)))</f>
        <v>#N/A</v>
      </c>
      <c r="I59" s="1926" t="s">
        <v>1564</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1565</v>
      </c>
      <c r="Q59" s="1901">
        <f>L52</f>
        <v>0</v>
      </c>
      <c r="R59" s="1890"/>
    </row>
    <row r="60" spans="1:18" s="1846"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9" t="s">
        <v>1566</v>
      </c>
      <c r="J60" s="1930" t="e">
        <f ca="1">IF(OR(M47="住宅",J51&lt;L48,J56="是"),"0",ROUND(J59/(1+J52)^J53,0))</f>
        <v>#N/A</v>
      </c>
      <c r="K60" s="1931" t="s">
        <v>1567</v>
      </c>
      <c r="L60" s="1930" t="e">
        <f ca="1">IF(OR(M47="住宅",L48&lt;J51),0,ROUND(L57*(L58/L59-1),0))</f>
        <v>#N/A</v>
      </c>
      <c r="O60" s="1898" t="s">
        <v>1044</v>
      </c>
      <c r="P60" s="1889" t="s">
        <v>1568</v>
      </c>
      <c r="Q60" s="1890" t="e">
        <f ca="1">L58</f>
        <v>#N/A</v>
      </c>
      <c r="R60" s="1890" t="s">
        <v>1569</v>
      </c>
    </row>
    <row r="61" spans="1:18" s="1846" customFormat="1" ht="13.5" thickBot="1">
      <c r="A61" s="1204" t="s">
        <v>1493</v>
      </c>
      <c r="B61" s="1172" t="s">
        <v>1438</v>
      </c>
      <c r="C61" s="24" t="e">
        <f ca="1">IF(项目基本情况!B11="自然人","——",IF(D61="按租金收入计税",ROUND(C48*F61,2),IF(D61="按房产原值计税",ROUND(C57*F61*0.7,2),INDIRECT("'数据-取费表'!Aj"&amp;$G$1))))</f>
        <v>#N/A</v>
      </c>
      <c r="D61" s="1832" t="s">
        <v>1439</v>
      </c>
      <c r="E61" s="1172" t="s">
        <v>1423</v>
      </c>
      <c r="F61" s="367">
        <f t="shared" si="0"/>
        <v>1.2E-2</v>
      </c>
      <c r="I61" s="1932"/>
      <c r="J61" s="1932"/>
      <c r="K61" s="1932"/>
      <c r="L61" s="1932"/>
      <c r="O61" s="1898" t="s">
        <v>1045</v>
      </c>
      <c r="P61" s="1889" t="str">
        <f>K59</f>
        <v>建筑物剩余耐用年限下的土地年期修正系数Kn</v>
      </c>
      <c r="Q61" s="1890" t="e">
        <f ca="1">L59</f>
        <v>#N/A</v>
      </c>
      <c r="R61" s="1890" t="s">
        <v>1570</v>
      </c>
    </row>
    <row r="62" spans="1:18" s="1846" customFormat="1" ht="13.5" thickBot="1">
      <c r="A62" s="1204" t="s">
        <v>1496</v>
      </c>
      <c r="B62" s="1171" t="s">
        <v>1442</v>
      </c>
      <c r="C62" s="25" t="e">
        <f ca="1">IF(项目基本情况!B11="自然人","——",ROUND(F62*F63/10000,2))</f>
        <v>#N/A</v>
      </c>
      <c r="D62" s="1187" t="s">
        <v>1443</v>
      </c>
      <c r="E62" s="1172" t="s">
        <v>1444</v>
      </c>
      <c r="F62" s="371">
        <f t="shared" si="0"/>
        <v>1.5</v>
      </c>
      <c r="I62" s="1933" t="s">
        <v>1571</v>
      </c>
      <c r="J62" s="1934" t="s">
        <v>1572</v>
      </c>
      <c r="K62" s="1934" t="s">
        <v>1573</v>
      </c>
      <c r="L62" s="1934" t="s">
        <v>1574</v>
      </c>
      <c r="M62" s="1935" t="s">
        <v>1575</v>
      </c>
      <c r="O62" s="1888" t="s">
        <v>1046</v>
      </c>
      <c r="P62" s="1889" t="s">
        <v>1550</v>
      </c>
      <c r="Q62" s="1890" t="e">
        <f ca="1">Q56+Q57</f>
        <v>#N/A</v>
      </c>
      <c r="R62" s="1890" t="s">
        <v>1047</v>
      </c>
    </row>
    <row r="63" spans="1:18" s="1846" customFormat="1" ht="13.5" thickBot="1">
      <c r="A63" s="372"/>
      <c r="B63" s="1178"/>
      <c r="C63" s="29"/>
      <c r="D63" s="1188"/>
      <c r="E63" s="1172" t="s">
        <v>1448</v>
      </c>
      <c r="F63" s="348" t="e">
        <f t="shared" ca="1" si="0"/>
        <v>#N/A</v>
      </c>
      <c r="I63" s="1933" t="s">
        <v>1577</v>
      </c>
      <c r="J63" s="1934">
        <v>70</v>
      </c>
      <c r="K63" s="1934">
        <v>50</v>
      </c>
      <c r="L63" s="1934">
        <v>80</v>
      </c>
      <c r="M63" s="1936">
        <v>0.02</v>
      </c>
      <c r="O63" s="1873" t="s">
        <v>1578</v>
      </c>
      <c r="P63" s="1843"/>
      <c r="Q63" s="1843"/>
      <c r="R63" s="1843"/>
    </row>
    <row r="64" spans="1:18" s="1846" customFormat="1" ht="13.5" thickBot="1">
      <c r="A64" s="1204" t="s">
        <v>1039</v>
      </c>
      <c r="B64" s="1172" t="s">
        <v>1450</v>
      </c>
      <c r="C64" s="24" t="e">
        <f ca="1">ROUND(C57*F64,1)</f>
        <v>#N/A</v>
      </c>
      <c r="D64" s="1186" t="s">
        <v>1483</v>
      </c>
      <c r="E64" s="1172" t="s">
        <v>1423</v>
      </c>
      <c r="F64" s="374" t="e">
        <f t="shared" ca="1" si="0"/>
        <v>#N/A</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t="e">
        <f ca="1">ROUND(C56*F65,1)</f>
        <v>#N/A</v>
      </c>
      <c r="D65" s="1186" t="s">
        <v>1455</v>
      </c>
      <c r="E65" s="1172" t="s">
        <v>1423</v>
      </c>
      <c r="F65" s="376" t="e">
        <f t="shared" ca="1" si="0"/>
        <v>#N/A</v>
      </c>
      <c r="I65" s="1933" t="s">
        <v>1580</v>
      </c>
      <c r="J65" s="1934">
        <v>40</v>
      </c>
      <c r="K65" s="1934">
        <v>30</v>
      </c>
      <c r="L65" s="1934">
        <v>50</v>
      </c>
      <c r="M65" s="1936">
        <v>0.02</v>
      </c>
      <c r="O65" s="1888" t="s">
        <v>1040</v>
      </c>
      <c r="P65" s="1889" t="s">
        <v>1529</v>
      </c>
      <c r="Q65" s="1890" t="e">
        <f ca="1">C40+J29</f>
        <v>#N/A</v>
      </c>
      <c r="R65" s="1890" t="s">
        <v>1530</v>
      </c>
    </row>
    <row r="66" spans="1:18" s="1846" customFormat="1" ht="16.5" thickBot="1">
      <c r="A66" s="1204" t="s">
        <v>1505</v>
      </c>
      <c r="B66" s="1172" t="s">
        <v>1440</v>
      </c>
      <c r="C66" s="24" t="e">
        <f ca="1">ROUND(C48*F66,1)</f>
        <v>#N/A</v>
      </c>
      <c r="D66" s="1186" t="s">
        <v>1460</v>
      </c>
      <c r="E66" s="1172" t="s">
        <v>1423</v>
      </c>
      <c r="F66" s="357" t="e">
        <f t="shared" ca="1" si="0"/>
        <v>#N/A</v>
      </c>
      <c r="O66" s="1888" t="s">
        <v>1041</v>
      </c>
      <c r="P66" s="1889" t="s">
        <v>1559</v>
      </c>
      <c r="Q66" s="1890" t="e">
        <f ca="1">L60</f>
        <v>#N/A</v>
      </c>
      <c r="R66" s="1890" t="s">
        <v>1582</v>
      </c>
    </row>
    <row r="67" spans="1:18" s="1846" customFormat="1" ht="16.5" thickBot="1">
      <c r="A67" s="1179" t="s">
        <v>1031</v>
      </c>
      <c r="B67" s="1189" t="s">
        <v>1464</v>
      </c>
      <c r="C67" s="361" t="e">
        <f ca="1">C48-C58</f>
        <v>#N/A</v>
      </c>
      <c r="D67" s="1185" t="s">
        <v>1465</v>
      </c>
      <c r="E67" s="1190"/>
      <c r="F67" s="1191"/>
      <c r="O67" s="1898" t="s">
        <v>1042</v>
      </c>
      <c r="P67" s="1889" t="s">
        <v>1563</v>
      </c>
      <c r="Q67" s="1937" t="e">
        <f ca="1">L51</f>
        <v>#N/A</v>
      </c>
      <c r="R67" s="1890" t="s">
        <v>1583</v>
      </c>
    </row>
    <row r="68" spans="1:18" s="1846" customFormat="1" ht="16.5" thickBot="1">
      <c r="A68" s="1169" t="s">
        <v>1032</v>
      </c>
      <c r="B68" s="1170" t="s">
        <v>1486</v>
      </c>
      <c r="C68" s="346" t="e">
        <f ca="1">ROUND(C67*(1-((1+F70)/(1+F68))^F69)/(F68-F70),0)</f>
        <v>#N/A</v>
      </c>
      <c r="D68" s="1187" t="s">
        <v>1470</v>
      </c>
      <c r="E68" s="1172" t="s">
        <v>1471</v>
      </c>
      <c r="F68" s="357" t="e">
        <f ca="1">F40</f>
        <v>#N/A</v>
      </c>
      <c r="O68" s="1898" t="s">
        <v>1043</v>
      </c>
      <c r="P68" s="1938" t="s">
        <v>1584</v>
      </c>
      <c r="Q68" s="1890" t="e">
        <f ca="1">ROUND(Q69-Q70*Q71,0)</f>
        <v>#N/A</v>
      </c>
      <c r="R68" s="1890" t="s">
        <v>1051</v>
      </c>
    </row>
    <row r="69" spans="1:18" s="1846" customFormat="1" ht="13.5" thickBot="1">
      <c r="A69" s="1173"/>
      <c r="B69" s="1174"/>
      <c r="C69" s="351"/>
      <c r="D69" s="1192" t="s">
        <v>1474</v>
      </c>
      <c r="E69" s="1172" t="s">
        <v>1475</v>
      </c>
      <c r="F69" s="379" t="e">
        <f ca="1">F41</f>
        <v>#N/A</v>
      </c>
      <c r="O69" s="1898" t="s">
        <v>1048</v>
      </c>
      <c r="P69" s="1938" t="s">
        <v>1585</v>
      </c>
      <c r="Q69" s="1890" t="e">
        <f ca="1">C39</f>
        <v>#N/A</v>
      </c>
      <c r="R69" s="1890" t="s">
        <v>1530</v>
      </c>
    </row>
    <row r="70" spans="1:18" s="1846" customFormat="1" ht="13.5" thickBot="1">
      <c r="A70" s="1176"/>
      <c r="B70" s="1177"/>
      <c r="C70" s="355"/>
      <c r="D70" s="1188"/>
      <c r="E70" s="1172" t="s">
        <v>1478</v>
      </c>
      <c r="F70" s="1278"/>
      <c r="O70" s="1898" t="s">
        <v>1049</v>
      </c>
      <c r="P70" s="1938" t="s">
        <v>1586</v>
      </c>
      <c r="Q70" s="1890" t="e">
        <f ca="1">C13</f>
        <v>#N/A</v>
      </c>
      <c r="R70" s="1890" t="s">
        <v>1530</v>
      </c>
    </row>
    <row r="71" spans="1:18" s="1846" customFormat="1" ht="13.5" thickBot="1">
      <c r="A71" s="1193" t="s">
        <v>1033</v>
      </c>
      <c r="B71" s="1194" t="s">
        <v>1488</v>
      </c>
      <c r="C71" s="382" t="e">
        <f ca="1">ROUND(C68*10000/F71,0)</f>
        <v>#N/A</v>
      </c>
      <c r="D71" s="1195" t="s">
        <v>1489</v>
      </c>
      <c r="E71" s="1196" t="s">
        <v>1490</v>
      </c>
      <c r="F71" s="385" t="e">
        <f ca="1">F43</f>
        <v>#N/A</v>
      </c>
      <c r="O71" s="1898" t="s">
        <v>1050</v>
      </c>
      <c r="P71" s="1938" t="s">
        <v>1587</v>
      </c>
      <c r="Q71" s="1901" t="e">
        <f ca="1">C76</f>
        <v>#N/A</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#N/A</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#N/A</v>
      </c>
      <c r="R74" s="1890" t="s">
        <v>1570</v>
      </c>
    </row>
    <row r="75" spans="1:18" ht="13.5" thickBot="1">
      <c r="A75" s="1846"/>
      <c r="B75" s="386" t="s">
        <v>1507</v>
      </c>
      <c r="C75" s="387" t="e">
        <f ca="1">ROUND(C13*C76,0)</f>
        <v>#N/A</v>
      </c>
      <c r="D75" s="1846"/>
      <c r="E75" s="1846"/>
      <c r="F75" s="1846"/>
      <c r="K75" s="1872"/>
      <c r="L75" s="1846"/>
      <c r="O75" s="1888" t="s">
        <v>1046</v>
      </c>
      <c r="P75" s="1889" t="s">
        <v>1550</v>
      </c>
      <c r="Q75" s="1890" t="e">
        <f ca="1">Q65+Q66</f>
        <v>#N/A</v>
      </c>
      <c r="R75" s="1890" t="s">
        <v>1047</v>
      </c>
    </row>
    <row r="76" spans="1:18">
      <c r="B76" s="388" t="s">
        <v>1508</v>
      </c>
      <c r="C76" s="389" t="e">
        <f ca="1">INDIRECT("'数据-取费表'!j"&amp;$G$1)</f>
        <v>#N/A</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76" t="s">
        <v>1404</v>
      </c>
      <c r="C6" s="1299">
        <f ca="1">ROUND(F6*F8*F7*(1-F9),0)</f>
        <v>0</v>
      </c>
      <c r="D6" s="164" t="s">
        <v>3027</v>
      </c>
      <c r="E6" s="347" t="s">
        <v>1406</v>
      </c>
      <c r="F6" s="348">
        <f ca="1">INDIRECT("'数据-取费表'!u"&amp;$G$1)</f>
        <v>0</v>
      </c>
      <c r="G6" s="1855"/>
      <c r="H6" s="1294" t="s">
        <v>1035</v>
      </c>
      <c r="I6" s="3176" t="s">
        <v>1404</v>
      </c>
      <c r="J6" s="346">
        <f ca="1">ROUND(M6*M8*M7*(1-M9),0)</f>
        <v>0</v>
      </c>
      <c r="K6" s="1838" t="s">
        <v>3030</v>
      </c>
      <c r="L6" s="347" t="s">
        <v>1406</v>
      </c>
      <c r="M6" s="348">
        <f ca="1">INDIRECT("'数据-取费表'!z"&amp;$G$1)</f>
        <v>0</v>
      </c>
    </row>
    <row r="7" spans="1:37" ht="18" customHeight="1">
      <c r="A7" s="1298"/>
      <c r="B7" s="3177"/>
      <c r="C7" s="1300"/>
      <c r="D7" s="352"/>
      <c r="E7" s="1301" t="s">
        <v>1407</v>
      </c>
      <c r="F7" s="348">
        <f ca="1">IF(INDIRECT("'数据-取费表'!ah"&amp;$G$1)="",INDIRECT("'数据-取费表'!k"&amp;$G$1),INDIRECT("'数据-取费表'!ah"&amp;$G$1))</f>
        <v>0</v>
      </c>
      <c r="G7" s="1855"/>
      <c r="H7" s="349"/>
      <c r="I7" s="3177"/>
      <c r="J7" s="351"/>
      <c r="K7" s="352"/>
      <c r="L7" s="347" t="s">
        <v>1407</v>
      </c>
      <c r="M7" s="348">
        <f ca="1">F7</f>
        <v>0</v>
      </c>
    </row>
    <row r="8" spans="1:37" ht="18" customHeight="1">
      <c r="A8" s="349"/>
      <c r="B8" s="3177"/>
      <c r="C8" s="351"/>
      <c r="D8" s="352"/>
      <c r="E8" s="347" t="s">
        <v>1408</v>
      </c>
      <c r="F8" s="348">
        <f ca="1">INDIRECT("'数据-取费表'!ai"&amp;$G$1)</f>
        <v>365</v>
      </c>
      <c r="G8" s="1855"/>
      <c r="H8" s="349"/>
      <c r="I8" s="3177"/>
      <c r="J8" s="351"/>
      <c r="K8" s="352"/>
      <c r="L8" s="347" t="s">
        <v>1408</v>
      </c>
      <c r="M8" s="348">
        <f ca="1">INDIRECT("'数据-取费表'!ai"&amp;$G$1)</f>
        <v>365</v>
      </c>
    </row>
    <row r="9" spans="1:37" ht="18" customHeight="1">
      <c r="A9" s="349"/>
      <c r="B9" s="3178"/>
      <c r="C9" s="351"/>
      <c r="D9" s="352"/>
      <c r="E9" s="347" t="s">
        <v>1409</v>
      </c>
      <c r="F9" s="357">
        <f ca="1">INDIRECT("'数据-取费表'!w"&amp;$G$1)</f>
        <v>0</v>
      </c>
      <c r="G9" s="1855"/>
      <c r="H9" s="349"/>
      <c r="I9" s="317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3028</v>
      </c>
      <c r="E10" s="358" t="s">
        <v>1412</v>
      </c>
      <c r="F10" s="1369"/>
      <c r="G10" s="1855"/>
      <c r="H10" s="1294" t="s">
        <v>1039</v>
      </c>
      <c r="I10" s="1827" t="s">
        <v>1410</v>
      </c>
      <c r="J10" s="346">
        <f ca="1">ROUND(IF(M10="押一",M6*M8*M7/12*M11,IF(M10="押二",M6*M8*M7/12*2*M11,IF(M10="押三",M6*M8*M7/12*3*M11,J11*M11))),0)</f>
        <v>0</v>
      </c>
      <c r="K10" s="1839" t="s">
        <v>3029</v>
      </c>
      <c r="L10" s="358" t="s">
        <v>1412</v>
      </c>
      <c r="M10" s="1369"/>
    </row>
    <row r="11" spans="1:37" ht="18" customHeight="1">
      <c r="A11" s="353"/>
      <c r="B11" s="1829" t="s">
        <v>1603</v>
      </c>
      <c r="C11" s="1181"/>
      <c r="D11" s="352"/>
      <c r="E11" s="358" t="s">
        <v>1413</v>
      </c>
      <c r="F11" s="359">
        <f ca="1">'数据-取费表'!B39</f>
        <v>1.4999999999999999E-2</v>
      </c>
      <c r="G11" s="1855"/>
      <c r="H11" s="1302"/>
      <c r="I11" s="1829" t="s">
        <v>1604</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5"/>
      <c r="H13" s="1332">
        <v>2</v>
      </c>
      <c r="I13" s="1333" t="s">
        <v>1415</v>
      </c>
      <c r="J13" s="1293">
        <f ca="1">ROUND(J14*J15,0)</f>
        <v>0</v>
      </c>
      <c r="K13" s="1340" t="s">
        <v>1416</v>
      </c>
      <c r="L13" s="1856"/>
      <c r="M13" s="1857"/>
    </row>
    <row r="14" spans="1:37" ht="18" customHeight="1">
      <c r="A14" s="1204" t="s">
        <v>1034</v>
      </c>
      <c r="B14" s="347" t="s">
        <v>1418</v>
      </c>
      <c r="C14" s="363">
        <f ca="1">ROUND(INDIRECT("'数据-取费表'!l"&amp;$G$1)*F43+'数据-取费表'!L14*INDIRECT("'数据-取费表'!S"&amp;$G$1),0)</f>
        <v>0</v>
      </c>
      <c r="D14" s="1804" t="s">
        <v>1419</v>
      </c>
      <c r="E14" s="1798"/>
      <c r="F14" s="364"/>
      <c r="G14" s="1855"/>
      <c r="H14" s="1204" t="s">
        <v>1035</v>
      </c>
      <c r="I14" s="347" t="s">
        <v>1420</v>
      </c>
      <c r="J14" s="24">
        <f ca="1">C29</f>
        <v>0</v>
      </c>
      <c r="K14" s="15"/>
      <c r="L14" s="982"/>
      <c r="M14" s="983"/>
    </row>
    <row r="15" spans="1:37" s="1862" customFormat="1" ht="18" customHeight="1" thickBot="1">
      <c r="A15" s="1204" t="s">
        <v>1036</v>
      </c>
      <c r="B15" s="347" t="s">
        <v>1421</v>
      </c>
      <c r="C15" s="24">
        <f ca="1">ROUND(C14*F15,0)</f>
        <v>0</v>
      </c>
      <c r="D15" s="365" t="s">
        <v>1422</v>
      </c>
      <c r="E15" s="365" t="s">
        <v>1423</v>
      </c>
      <c r="F15" s="366">
        <f>'数据-取费表'!B33</f>
        <v>0.03</v>
      </c>
      <c r="G15" s="1858"/>
      <c r="H15" s="1342" t="s">
        <v>1039</v>
      </c>
      <c r="I15" s="1343" t="s">
        <v>1417</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ROUND(INDIRECT("'数据-取费表'!l"&amp;$G$1)*F43*F16,0)</f>
        <v>0</v>
      </c>
      <c r="D16" s="347" t="s">
        <v>1422</v>
      </c>
      <c r="E16" s="347" t="s">
        <v>1423</v>
      </c>
      <c r="F16" s="367">
        <f ca="1">IF(INDIRECT("'数据-取费表'!c"&amp;$G$1)="住宅",'数据-取费表'!B34,0)</f>
        <v>0</v>
      </c>
      <c r="G16" s="1855"/>
      <c r="H16" s="1332" t="s">
        <v>1030</v>
      </c>
      <c r="I16" s="1333" t="s">
        <v>1425</v>
      </c>
      <c r="J16" s="355">
        <f ca="1">ROUND(J17+J22+J23+J24,0)</f>
        <v>0</v>
      </c>
      <c r="K16" s="1340" t="s">
        <v>1426</v>
      </c>
      <c r="L16" s="1341"/>
      <c r="M16" s="1297"/>
    </row>
    <row r="17" spans="1:37" s="1862" customFormat="1" ht="18" customHeight="1">
      <c r="A17" s="1204" t="s">
        <v>1391</v>
      </c>
      <c r="B17" s="347" t="s">
        <v>1427</v>
      </c>
      <c r="C17" s="24">
        <f ca="1">ROUND(F17*(F43+INDIRECT("'数据-取费表'!S"&amp;$G$1)),0)</f>
        <v>0</v>
      </c>
      <c r="D17" s="347" t="s">
        <v>1428</v>
      </c>
      <c r="E17" s="347" t="s">
        <v>1429</v>
      </c>
      <c r="F17" s="26">
        <f>'数据-取费表'!B35</f>
        <v>200</v>
      </c>
      <c r="G17" s="1858"/>
      <c r="H17" s="1204" t="s">
        <v>1035</v>
      </c>
      <c r="I17" s="347" t="s">
        <v>1430</v>
      </c>
      <c r="J17" s="24">
        <f ca="1">ROUND(IF(项目基本情况!B11="自然人",J5*M17,J18+J19+J20),0)</f>
        <v>0</v>
      </c>
      <c r="K17" s="1804" t="s">
        <v>1431</v>
      </c>
      <c r="L17" s="1802" t="s">
        <v>1432</v>
      </c>
      <c r="M17" s="368">
        <f ca="1">IF(项目基本情况!B11="企业","",IF(INDIRECT("'数据-取费表'!c"&amp;$G$1)="住宅",5%,IF(M6*M7*M8/12/(1+'数据-取费表'!C42)&gt;20000,12%,7%)))</f>
        <v>7.0000000000000007E-2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0</v>
      </c>
      <c r="D18" s="347" t="s">
        <v>1422</v>
      </c>
      <c r="E18" s="347" t="s">
        <v>1423</v>
      </c>
      <c r="F18" s="367">
        <f>'数据-取费表'!B36</f>
        <v>1.4999999999999999E-2</v>
      </c>
      <c r="G18" s="1858"/>
      <c r="H18" s="1204" t="s">
        <v>1034</v>
      </c>
      <c r="I18" s="347" t="s">
        <v>1434</v>
      </c>
      <c r="J18" s="24">
        <f ca="1">ROUND(J5*M18/(1+'数据-取费表'!C42),0)</f>
        <v>0</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0</v>
      </c>
      <c r="D19" s="139" t="s">
        <v>1437</v>
      </c>
      <c r="E19" s="1822"/>
      <c r="F19" s="26"/>
      <c r="G19" s="1855"/>
      <c r="H19" s="1204" t="s">
        <v>1036</v>
      </c>
      <c r="I19" s="347" t="s">
        <v>1438</v>
      </c>
      <c r="J19" s="24">
        <f ca="1">IF(K19="按租金收入计税",ROUND(J5*M19,0),ROUND(C29*M19*0.7,0))</f>
        <v>0</v>
      </c>
      <c r="K19" s="1832" t="s">
        <v>1439</v>
      </c>
      <c r="L19" s="347" t="s">
        <v>1423</v>
      </c>
      <c r="M19" s="367">
        <f>IF(K19="按租金收入计税",'数据-取费表'!B51,'数据-取费表'!B50)</f>
        <v>1.2E-2</v>
      </c>
    </row>
    <row r="20" spans="1:37" s="1862" customFormat="1" ht="18" customHeight="1">
      <c r="A20" s="1204" t="s">
        <v>1039</v>
      </c>
      <c r="B20" s="347" t="s">
        <v>1440</v>
      </c>
      <c r="C20" s="24">
        <f ca="1">ROUND(C19*F20,0)</f>
        <v>0</v>
      </c>
      <c r="D20" s="369" t="s">
        <v>1441</v>
      </c>
      <c r="E20" s="347" t="s">
        <v>1423</v>
      </c>
      <c r="F20" s="367">
        <f>'数据-取费表'!B37</f>
        <v>0.02</v>
      </c>
      <c r="G20" s="1858"/>
      <c r="H20" s="1204" t="s">
        <v>1390</v>
      </c>
      <c r="I20" s="164" t="s">
        <v>1442</v>
      </c>
      <c r="J20" s="25">
        <f ca="1">ROUND(M20*M21,0)</f>
        <v>0</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v>
      </c>
      <c r="D21" s="369" t="s">
        <v>1446</v>
      </c>
      <c r="E21" s="347" t="s">
        <v>1447</v>
      </c>
      <c r="F21" s="367">
        <f>'数据-取费表'!B38</f>
        <v>0.02</v>
      </c>
      <c r="G21" s="1858"/>
      <c r="H21" s="372"/>
      <c r="I21" s="356"/>
      <c r="J21" s="29"/>
      <c r="K21" s="373"/>
      <c r="L21" s="347" t="s">
        <v>1448</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ROUND(J14*M22,0)</f>
        <v>0</v>
      </c>
      <c r="K22" s="1802" t="s">
        <v>1451</v>
      </c>
      <c r="L22" s="347" t="s">
        <v>1423</v>
      </c>
      <c r="M22" s="374">
        <f ca="1">INDIRECT("'数据-取费表'!Ak"&amp;$G$1)</f>
        <v>0</v>
      </c>
    </row>
    <row r="23" spans="1:37" s="1862"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ROUND(J13*M23,0)</f>
        <v>0</v>
      </c>
      <c r="K23" s="1802" t="s">
        <v>1455</v>
      </c>
      <c r="L23" s="347" t="s">
        <v>1456</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ROUND(J5*M24,0)</f>
        <v>0</v>
      </c>
      <c r="K24" s="1345" t="s">
        <v>1460</v>
      </c>
      <c r="L24" s="1343" t="s">
        <v>1456</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7" t="s">
        <v>1462</v>
      </c>
      <c r="C25" s="24"/>
      <c r="D25" s="139" t="s">
        <v>1463</v>
      </c>
      <c r="E25" s="1822"/>
      <c r="F25" s="26"/>
      <c r="G25" s="1855"/>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5"/>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5"/>
      <c r="H27" s="349"/>
      <c r="I27" s="350"/>
      <c r="J27" s="351"/>
      <c r="K27" s="378" t="s">
        <v>1474</v>
      </c>
      <c r="L27" s="347" t="s">
        <v>1475</v>
      </c>
      <c r="M27" s="379">
        <f ca="1">INDIRECT("'数据-取费表'!ag"&amp;$G$1)</f>
        <v>0</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0</v>
      </c>
      <c r="D29" s="1345"/>
      <c r="E29" s="1343"/>
      <c r="F29" s="1346"/>
      <c r="G29" s="1858"/>
      <c r="H29" s="380" t="s">
        <v>1033</v>
      </c>
      <c r="I29" s="381" t="s">
        <v>1480</v>
      </c>
      <c r="J29" s="382">
        <f ca="1">ROUND(J26/(1+F40)^F41,0)</f>
        <v>0</v>
      </c>
      <c r="K29" s="383" t="s">
        <v>1481</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ROUND(IF(项目基本情况!B11="自然人",C5*F31,C32+C33+C34),0)</f>
        <v>0</v>
      </c>
      <c r="D31" s="1804" t="s">
        <v>1431</v>
      </c>
      <c r="E31" s="1802" t="s">
        <v>1482</v>
      </c>
      <c r="F31" s="368">
        <f ca="1">IF(项目基本情况!B11="企业","",IF(INDIRECT("'数据-取费表'!c"&amp;$G$1)="住宅",5%,IF(F6*F7*F8/12/(1+'数据-取费表'!C42)&gt;20000,12%,7%)))</f>
        <v>7.0000000000000007E-2</v>
      </c>
      <c r="G31" s="1855"/>
      <c r="H31" s="745"/>
      <c r="I31" s="746"/>
      <c r="J31" s="747"/>
      <c r="K31" s="748"/>
      <c r="L31" s="749"/>
      <c r="M31" s="750"/>
    </row>
    <row r="32" spans="1:37" ht="18" customHeight="1">
      <c r="A32" s="1204" t="s">
        <v>1034</v>
      </c>
      <c r="B32" s="347" t="s">
        <v>1434</v>
      </c>
      <c r="C32" s="24">
        <f ca="1">IF(项目基本情况!B11="自然人","——",ROUND(C5*F32/(1+'数据-取费表'!C42),0))</f>
        <v>0</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f>
        <v>0</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0</v>
      </c>
      <c r="G35" s="1855"/>
      <c r="H35" s="745"/>
      <c r="I35" s="1864"/>
      <c r="J35" s="1865"/>
      <c r="K35" s="1866"/>
      <c r="L35" s="1863"/>
      <c r="M35" s="1863"/>
    </row>
    <row r="36" spans="1:18" ht="18" customHeight="1">
      <c r="A36" s="1355" t="s">
        <v>1039</v>
      </c>
      <c r="B36" s="347" t="s">
        <v>1450</v>
      </c>
      <c r="C36" s="24">
        <f ca="1">ROUND(C29*F36,0)</f>
        <v>0</v>
      </c>
      <c r="D36" s="1802" t="s">
        <v>1483</v>
      </c>
      <c r="E36" s="347" t="s">
        <v>1423</v>
      </c>
      <c r="F36" s="374">
        <f ca="1">INDIRECT("'数据-取费表'!Ak"&amp;$G$1)</f>
        <v>0</v>
      </c>
      <c r="G36" s="1855"/>
      <c r="H36" s="1863"/>
      <c r="I36" s="1864"/>
      <c r="J36" s="1865"/>
      <c r="K36" s="751"/>
      <c r="L36" s="1863"/>
      <c r="M36" s="1863"/>
    </row>
    <row r="37" spans="1:18" ht="18" customHeight="1">
      <c r="A37" s="1204" t="s">
        <v>1075</v>
      </c>
      <c r="B37" s="347" t="s">
        <v>1454</v>
      </c>
      <c r="C37" s="24">
        <f ca="1">ROUND(C13*F37,0)</f>
        <v>0</v>
      </c>
      <c r="D37" s="1802" t="s">
        <v>1455</v>
      </c>
      <c r="E37" s="347" t="s">
        <v>1456</v>
      </c>
      <c r="F37" s="376">
        <f ca="1">INDIRECT("'数据-取费表'!Al"&amp;$G$1)</f>
        <v>0</v>
      </c>
      <c r="G37" s="1855"/>
      <c r="H37" s="1863"/>
      <c r="I37" s="1864"/>
      <c r="J37" s="1865"/>
      <c r="K37" s="751"/>
      <c r="L37" s="1863"/>
      <c r="M37" s="1863"/>
    </row>
    <row r="38" spans="1:18" ht="18" customHeight="1" thickBot="1">
      <c r="A38" s="1342" t="s">
        <v>1394</v>
      </c>
      <c r="B38" s="1343" t="s">
        <v>1440</v>
      </c>
      <c r="C38" s="1344">
        <f ca="1">ROUND(C5*F38,1)</f>
        <v>0</v>
      </c>
      <c r="D38" s="1345" t="s">
        <v>1460</v>
      </c>
      <c r="E38" s="1343" t="s">
        <v>1456</v>
      </c>
      <c r="F38" s="1339">
        <f ca="1">INDIRECT("'数据-取费表'!Am"&amp;$G$1)</f>
        <v>0</v>
      </c>
      <c r="G38" s="1855"/>
      <c r="H38" s="1863"/>
      <c r="I38" s="1864"/>
      <c r="J38" s="1865"/>
      <c r="K38" s="1869"/>
      <c r="L38" s="1863"/>
      <c r="M38" s="1863"/>
    </row>
    <row r="39" spans="1:18" ht="24.6" customHeight="1" thickTop="1">
      <c r="A39" s="1332" t="s">
        <v>1031</v>
      </c>
      <c r="B39" s="1347" t="s">
        <v>1484</v>
      </c>
      <c r="C39" s="355">
        <f ca="1">C5-C30</f>
        <v>0</v>
      </c>
      <c r="D39" s="1348" t="s">
        <v>1485</v>
      </c>
      <c r="E39" s="1349"/>
      <c r="F39" s="1350"/>
      <c r="G39" s="1855"/>
      <c r="H39" s="1863"/>
      <c r="I39" s="1864"/>
      <c r="J39" s="1865"/>
      <c r="K39" s="1869"/>
      <c r="L39" s="1863"/>
      <c r="M39" s="1863"/>
    </row>
    <row r="40" spans="1:18" ht="18" customHeight="1">
      <c r="A40" s="344" t="s">
        <v>1032</v>
      </c>
      <c r="B40" s="345" t="s">
        <v>1486</v>
      </c>
      <c r="C40" s="346" t="e">
        <f ca="1">ROUND(C39*(1-((1+F42)/(1+F40))^F41)/(F40-F42),0)</f>
        <v>#DIV/0!</v>
      </c>
      <c r="D40" s="370" t="s">
        <v>1470</v>
      </c>
      <c r="E40" s="347" t="s">
        <v>1471</v>
      </c>
      <c r="F40" s="357">
        <f ca="1">INDIRECT("'数据-取费表'!I"&amp;$G$1)</f>
        <v>0</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1520</v>
      </c>
      <c r="P45" s="1843"/>
      <c r="Q45" s="1843"/>
      <c r="R45" s="1843"/>
    </row>
    <row r="46" spans="1:18" s="1846" customFormat="1" ht="13.5" thickBot="1">
      <c r="A46" s="1874" t="s">
        <v>1521</v>
      </c>
      <c r="C46" s="1875" t="e">
        <f ca="1">ROUND(C45/10000,0)</f>
        <v>#DIV/0!</v>
      </c>
      <c r="D46" s="1876" t="str">
        <f>C2</f>
        <v>万元</v>
      </c>
      <c r="I46" s="1877" t="s">
        <v>1522</v>
      </c>
      <c r="J46" s="1878"/>
      <c r="K46" s="1879"/>
      <c r="L46" s="1880" t="e">
        <f ca="1">IF(M47="住宅",0,IF(L48&gt;J51,L60,J60))</f>
        <v>#DIV/0!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c r="K47" s="1886" t="s">
        <v>1528</v>
      </c>
      <c r="L47" s="1887">
        <f ca="1">INDIRECT("'数据-取费表'!d"&amp;$G$1)</f>
        <v>0</v>
      </c>
      <c r="M47" s="1842" t="str">
        <f>IF(ISNUMBER(FIND("住宅",C1)),"住宅","非住宅")</f>
        <v>非住宅</v>
      </c>
      <c r="O47" s="1888" t="s">
        <v>1040</v>
      </c>
      <c r="P47" s="1889" t="s">
        <v>1529</v>
      </c>
      <c r="Q47" s="1890" t="e">
        <f ca="1">C40+J29</f>
        <v>#DIV/0!</v>
      </c>
      <c r="R47" s="1890" t="s">
        <v>1530</v>
      </c>
    </row>
    <row r="48" spans="1:18" s="1846" customFormat="1" ht="28.5" thickBot="1">
      <c r="A48" s="1363" t="s">
        <v>1135</v>
      </c>
      <c r="B48" s="345" t="s">
        <v>1402</v>
      </c>
      <c r="C48" s="1821">
        <f ca="1">C49+C53+C55</f>
        <v>0</v>
      </c>
      <c r="D48" s="1365"/>
      <c r="E48" s="1366"/>
      <c r="F48" s="1184"/>
      <c r="G48" s="792"/>
      <c r="H48" s="793"/>
      <c r="I48" s="1891" t="s">
        <v>1531</v>
      </c>
      <c r="J48" s="1892"/>
      <c r="K48" s="1893" t="s">
        <v>1532</v>
      </c>
      <c r="L48" s="1894">
        <f ca="1">INDIRECT("'数据-取费表'!f"&amp;$G$1)</f>
        <v>0</v>
      </c>
      <c r="O48" s="1888" t="s">
        <v>1041</v>
      </c>
      <c r="P48" s="1889" t="s">
        <v>1533</v>
      </c>
      <c r="Q48" s="1890" t="e">
        <f ca="1">J60</f>
        <v>#DIV/0!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c r="K49" s="1893" t="s">
        <v>1536</v>
      </c>
      <c r="L49" s="1897"/>
      <c r="O49" s="1898" t="s">
        <v>1042</v>
      </c>
      <c r="P49" s="1889" t="s">
        <v>1537</v>
      </c>
      <c r="Q49" s="1890">
        <f ca="1">C29</f>
        <v>0</v>
      </c>
      <c r="R49" s="1890" t="s">
        <v>1530</v>
      </c>
    </row>
    <row r="50" spans="1:18" s="1846" customFormat="1" ht="13.5" thickBot="1">
      <c r="A50" s="1198"/>
      <c r="B50" s="1201"/>
      <c r="C50" s="1202"/>
      <c r="D50" s="1175"/>
      <c r="E50" s="1280" t="s">
        <v>1407</v>
      </c>
      <c r="F50" s="1281">
        <f ca="1">F7</f>
        <v>0</v>
      </c>
      <c r="H50" s="793"/>
      <c r="I50" s="1891" t="s">
        <v>1538</v>
      </c>
      <c r="J50" s="1899">
        <f>SUMPRODUCT((I63:I65=J47)*(J62:L62=J48)*(J63:L65))</f>
        <v>0</v>
      </c>
      <c r="K50" s="1893" t="s">
        <v>1539</v>
      </c>
      <c r="L50" s="1897"/>
      <c r="M50" s="1900"/>
      <c r="O50" s="1898" t="s">
        <v>1043</v>
      </c>
      <c r="P50" s="1889" t="s">
        <v>1540</v>
      </c>
      <c r="Q50" s="1901" t="e">
        <f ca="1">J58</f>
        <v>#DIV/0!</v>
      </c>
      <c r="R50" s="1890"/>
    </row>
    <row r="51" spans="1:18" s="1846" customFormat="1" ht="13.5" thickBot="1">
      <c r="A51" s="1199"/>
      <c r="B51" s="1201"/>
      <c r="C51" s="1202"/>
      <c r="D51" s="1175"/>
      <c r="E51" s="1203" t="s">
        <v>1408</v>
      </c>
      <c r="F51" s="348">
        <f ca="1">F8</f>
        <v>365</v>
      </c>
      <c r="I51" s="1902" t="s">
        <v>1541</v>
      </c>
      <c r="J51" s="1903">
        <f>IF(J49="",J50,J49+J50-YEAR('数据-取费表'!B2))</f>
        <v>0</v>
      </c>
      <c r="K51" s="1904" t="s">
        <v>1542</v>
      </c>
      <c r="L51" s="1905">
        <f ca="1">ROUND(-PV(INDIRECT("'数据-取费表'!h"&amp;$G$1),L48,(C39-C13*C76),0),0)</f>
        <v>0</v>
      </c>
      <c r="M51" s="1906"/>
      <c r="O51" s="1898" t="s">
        <v>1044</v>
      </c>
      <c r="P51" s="1889" t="s">
        <v>1543</v>
      </c>
      <c r="Q51" s="1901">
        <f>J52</f>
        <v>0</v>
      </c>
      <c r="R51" s="1890"/>
    </row>
    <row r="52" spans="1:18" s="1846" customFormat="1" ht="13.5" thickBot="1">
      <c r="A52" s="1199"/>
      <c r="B52" s="1201"/>
      <c r="C52" s="1202"/>
      <c r="D52" s="1175"/>
      <c r="E52" s="1203" t="s">
        <v>1409</v>
      </c>
      <c r="F52" s="1278"/>
      <c r="I52" s="1907" t="s">
        <v>1544</v>
      </c>
      <c r="J52" s="1908"/>
      <c r="K52" s="1907" t="s">
        <v>1545</v>
      </c>
      <c r="L52" s="1908"/>
      <c r="O52" s="1898" t="s">
        <v>1045</v>
      </c>
      <c r="P52" s="1889" t="s">
        <v>1546</v>
      </c>
      <c r="Q52" s="1890" t="b">
        <f>J53</f>
        <v>0</v>
      </c>
      <c r="R52" s="1890" t="s">
        <v>1547</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1548</v>
      </c>
      <c r="J53" s="1910" t="b">
        <f>IF(M47="住宅",J51,IF(D1="——",MIN(J51,L48),IF(D1="在建（套用方法）",MIN(J51,L48-'数据-取费表'!B24),IF(D1="土地（套用方法）",MIN(J51,L48-'数据-取费表'!B20)))))</f>
        <v>0</v>
      </c>
      <c r="K53" s="3174" t="s">
        <v>1549</v>
      </c>
      <c r="L53" s="3175"/>
      <c r="O53" s="1888" t="s">
        <v>1046</v>
      </c>
      <c r="P53" s="1889" t="s">
        <v>1550</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#DIV/0!</v>
      </c>
      <c r="K55" s="1916" t="s">
        <v>1553</v>
      </c>
      <c r="L55" s="1917"/>
      <c r="O55" s="1881" t="s">
        <v>1523</v>
      </c>
      <c r="P55" s="1882" t="s">
        <v>1524</v>
      </c>
      <c r="Q55" s="1883" t="s">
        <v>1525</v>
      </c>
      <c r="R55" s="1883" t="s">
        <v>1526</v>
      </c>
    </row>
    <row r="56" spans="1:18" s="1846" customFormat="1" ht="36" customHeight="1" thickTop="1" thickBot="1">
      <c r="A56" s="1179">
        <v>2</v>
      </c>
      <c r="B56" s="1180" t="s">
        <v>1415</v>
      </c>
      <c r="C56" s="276">
        <f ca="1">C13</f>
        <v>0</v>
      </c>
      <c r="D56" s="1918"/>
      <c r="E56" s="1919"/>
      <c r="F56" s="1911"/>
      <c r="I56" s="1920" t="s">
        <v>1555</v>
      </c>
      <c r="J56" s="1921"/>
      <c r="K56" s="1891" t="s">
        <v>1556</v>
      </c>
      <c r="L56" s="1894">
        <f ca="1">IF(L48&lt;J51,"——",L48-J51)</f>
        <v>0</v>
      </c>
      <c r="O56" s="1888" t="s">
        <v>1040</v>
      </c>
      <c r="P56" s="1889" t="s">
        <v>1529</v>
      </c>
      <c r="Q56" s="1890" t="e">
        <f ca="1">C40+J29</f>
        <v>#DIV/0!</v>
      </c>
      <c r="R56" s="1890" t="s">
        <v>1530</v>
      </c>
    </row>
    <row r="57" spans="1:18" s="1846" customFormat="1" ht="24.75" thickBot="1">
      <c r="A57" s="1922"/>
      <c r="B57" s="1172" t="s">
        <v>1479</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1425</v>
      </c>
      <c r="C58" s="361">
        <f ca="1">ROUND(C59+C64+C65+C66,0)</f>
        <v>0</v>
      </c>
      <c r="D58" s="1182" t="s">
        <v>1426</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0</v>
      </c>
      <c r="D59" s="1185" t="s">
        <v>1431</v>
      </c>
      <c r="E59" s="1186" t="s">
        <v>1432</v>
      </c>
      <c r="F59" s="368">
        <f ca="1">IF(项目基本情况!B11="企业","",IF(INDIRECT("'数据-取费表'!c"&amp;$G$1)="住宅",5%,IF(F49*F50*F51/12/(1+'数据-取费表'!C42)&gt;20000,12%,7%)))</f>
        <v>7.0000000000000007E-2</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0</v>
      </c>
      <c r="D61" s="1832" t="s">
        <v>1439</v>
      </c>
      <c r="E61" s="1172" t="s">
        <v>1495</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1">
        <f t="shared" si="0"/>
        <v>1.5</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1500</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0</v>
      </c>
      <c r="D64" s="1186" t="s">
        <v>1503</v>
      </c>
      <c r="E64" s="1172" t="s">
        <v>1495</v>
      </c>
      <c r="F64" s="374">
        <f t="shared" ca="1" si="0"/>
        <v>0</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0</v>
      </c>
      <c r="D65" s="1186" t="s">
        <v>1455</v>
      </c>
      <c r="E65" s="1172" t="s">
        <v>1456</v>
      </c>
      <c r="F65" s="376">
        <f t="shared" ca="1" si="0"/>
        <v>0</v>
      </c>
      <c r="I65" s="1933" t="s">
        <v>1580</v>
      </c>
      <c r="J65" s="1934">
        <v>40</v>
      </c>
      <c r="K65" s="1934">
        <v>30</v>
      </c>
      <c r="L65" s="1934">
        <v>50</v>
      </c>
      <c r="M65" s="1936">
        <v>0.02</v>
      </c>
      <c r="O65" s="1888" t="s">
        <v>1040</v>
      </c>
      <c r="P65" s="1889" t="s">
        <v>1581</v>
      </c>
      <c r="Q65" s="1890" t="e">
        <f ca="1">C40+J29</f>
        <v>#DIV/0!</v>
      </c>
      <c r="R65" s="1890" t="s">
        <v>1530</v>
      </c>
    </row>
    <row r="66" spans="1:18" s="1846" customFormat="1" ht="16.5" thickBot="1">
      <c r="A66" s="1204" t="s">
        <v>1505</v>
      </c>
      <c r="B66" s="1172" t="s">
        <v>1440</v>
      </c>
      <c r="C66" s="24">
        <f ca="1">ROUND(C48*F66,0)</f>
        <v>0</v>
      </c>
      <c r="D66" s="1186" t="s">
        <v>1506</v>
      </c>
      <c r="E66" s="1172" t="s">
        <v>1423</v>
      </c>
      <c r="F66" s="357">
        <f t="shared" ca="1" si="0"/>
        <v>0</v>
      </c>
      <c r="O66" s="1888" t="s">
        <v>1041</v>
      </c>
      <c r="P66" s="1889" t="s">
        <v>1559</v>
      </c>
      <c r="Q66" s="1890" t="e">
        <f ca="1">L60</f>
        <v>#DIV/0!</v>
      </c>
      <c r="R66" s="1890" t="s">
        <v>1582</v>
      </c>
    </row>
    <row r="67" spans="1:18" s="1846" customFormat="1" ht="16.5" thickBot="1">
      <c r="A67" s="1179" t="s">
        <v>1031</v>
      </c>
      <c r="B67" s="1189" t="s">
        <v>1464</v>
      </c>
      <c r="C67" s="361">
        <f ca="1">C48-C58</f>
        <v>0</v>
      </c>
      <c r="D67" s="1185" t="s">
        <v>1465</v>
      </c>
      <c r="E67" s="1190"/>
      <c r="F67" s="1191"/>
      <c r="O67" s="1898" t="s">
        <v>1042</v>
      </c>
      <c r="P67" s="1889" t="s">
        <v>1563</v>
      </c>
      <c r="Q67" s="1937">
        <f ca="1">L51</f>
        <v>0</v>
      </c>
      <c r="R67" s="1890" t="s">
        <v>1583</v>
      </c>
    </row>
    <row r="68" spans="1:18" s="1846" customFormat="1" ht="16.5" thickBot="1">
      <c r="A68" s="1169" t="s">
        <v>1032</v>
      </c>
      <c r="B68" s="1170" t="s">
        <v>1486</v>
      </c>
      <c r="C68" s="346" t="e">
        <f ca="1">ROUND(C67*(1-((1+F70)/(1+F68))^F69)/(F68-F70),0)</f>
        <v>#DIV/0!</v>
      </c>
      <c r="D68" s="1187" t="s">
        <v>1470</v>
      </c>
      <c r="E68" s="1172" t="s">
        <v>1471</v>
      </c>
      <c r="F68" s="357">
        <f ca="1">F40</f>
        <v>0</v>
      </c>
      <c r="O68" s="1898" t="s">
        <v>1043</v>
      </c>
      <c r="P68" s="1938" t="s">
        <v>1584</v>
      </c>
      <c r="Q68" s="1890">
        <f ca="1">ROUND(Q69-Q70*Q71,0)</f>
        <v>0</v>
      </c>
      <c r="R68" s="1890" t="s">
        <v>1051</v>
      </c>
    </row>
    <row r="69" spans="1:18" s="1846" customFormat="1" ht="13.5" thickBot="1">
      <c r="A69" s="1173"/>
      <c r="B69" s="1174"/>
      <c r="C69" s="351"/>
      <c r="D69" s="1192" t="s">
        <v>1474</v>
      </c>
      <c r="E69" s="1172" t="s">
        <v>1475</v>
      </c>
      <c r="F69" s="379">
        <f ca="1">F41</f>
        <v>0</v>
      </c>
      <c r="O69" s="1898" t="s">
        <v>1048</v>
      </c>
      <c r="P69" s="1938" t="s">
        <v>1585</v>
      </c>
      <c r="Q69" s="1890">
        <f ca="1">C39</f>
        <v>0</v>
      </c>
      <c r="R69" s="1890" t="s">
        <v>1530</v>
      </c>
    </row>
    <row r="70" spans="1:18" s="1846" customFormat="1" ht="13.5" thickBot="1">
      <c r="A70" s="1176"/>
      <c r="B70" s="1177"/>
      <c r="C70" s="355"/>
      <c r="D70" s="1188"/>
      <c r="E70" s="1172" t="s">
        <v>1478</v>
      </c>
      <c r="F70" s="1278">
        <f ca="1">F42</f>
        <v>0</v>
      </c>
      <c r="O70" s="1898" t="s">
        <v>1049</v>
      </c>
      <c r="P70" s="1938" t="s">
        <v>1586</v>
      </c>
      <c r="Q70" s="1890">
        <f ca="1">C13</f>
        <v>0</v>
      </c>
      <c r="R70" s="1890" t="s">
        <v>1530</v>
      </c>
    </row>
    <row r="71" spans="1:18" s="1846" customFormat="1" ht="13.5" thickBot="1">
      <c r="A71" s="1193" t="s">
        <v>1033</v>
      </c>
      <c r="B71" s="1194" t="s">
        <v>1488</v>
      </c>
      <c r="C71" s="382" t="e">
        <f ca="1">ROUND(C68/F71,0)</f>
        <v>#DIV/0!</v>
      </c>
      <c r="D71" s="1195" t="s">
        <v>1489</v>
      </c>
      <c r="E71" s="1196" t="s">
        <v>1490</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1507</v>
      </c>
      <c r="C75" s="387">
        <f ca="1">ROUND(C13*C76,0)</f>
        <v>0</v>
      </c>
      <c r="D75" s="1846"/>
      <c r="E75" s="1846"/>
      <c r="F75" s="1846"/>
      <c r="K75" s="1872"/>
      <c r="L75" s="1846"/>
      <c r="O75" s="1888" t="s">
        <v>1046</v>
      </c>
      <c r="P75" s="1889" t="s">
        <v>1550</v>
      </c>
      <c r="Q75" s="1890" t="e">
        <f ca="1">Q65+Q66</f>
        <v>#DIV/0!</v>
      </c>
      <c r="R75" s="1890" t="s">
        <v>1047</v>
      </c>
    </row>
    <row r="76" spans="1:18">
      <c r="B76" s="388" t="s">
        <v>1508</v>
      </c>
      <c r="C76" s="389">
        <f ca="1">INDIRECT("'数据-取费表'!j"&amp;$G$1)</f>
        <v>0</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c r="E3" s="1304"/>
      <c r="F3" s="1307"/>
      <c r="G3" s="1307"/>
      <c r="H3" s="1308"/>
      <c r="I3" s="1309">
        <f>ROUND(D3*E3*F3*G3*H3/10000,0)</f>
        <v>0</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0</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f>ROUND(D12*E12*F12*G12/10000,0)</f>
        <v>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f>ROUND(D17*E17*F17*G17/10000,0)</f>
        <v>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0</v>
      </c>
    </row>
    <row r="21" spans="1:9">
      <c r="A21" s="3226" t="s">
        <v>1109</v>
      </c>
      <c r="B21" s="3229"/>
      <c r="C21" s="3229"/>
      <c r="D21" s="3229"/>
      <c r="E21" s="3229"/>
      <c r="F21" s="3229"/>
      <c r="G21" s="3229"/>
      <c r="H21" s="1769">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23">
        <f>C27-C30-C31-C32</f>
        <v>0</v>
      </c>
      <c r="F26" s="3223"/>
      <c r="G26" s="3223"/>
      <c r="H26" s="1741" t="s">
        <v>1341</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20" t="s">
        <v>1129</v>
      </c>
      <c r="B33" s="3221"/>
      <c r="C33" s="3221"/>
      <c r="D33" s="3222"/>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2528</v>
      </c>
      <c r="C1" s="1638" t="s">
        <v>2529</v>
      </c>
      <c r="D1" s="1625"/>
      <c r="E1" s="2587"/>
      <c r="F1" s="2588" t="s">
        <v>2530</v>
      </c>
      <c r="G1" s="1635" t="s">
        <v>2531</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2533</v>
      </c>
      <c r="D3" s="399">
        <f>IF(D1="",'数据-汇总表'!E3,SUMIF('数据-汇总表'!$C19:$C33,D1,'数据-汇总表'!$E19:$E33))</f>
        <v>28894.02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92" t="s">
        <v>2535</v>
      </c>
      <c r="D4" s="3193"/>
      <c r="E4" s="3194" t="s">
        <v>2536</v>
      </c>
      <c r="F4" s="3195"/>
      <c r="G4" s="3192" t="s">
        <v>2537</v>
      </c>
      <c r="H4" s="3193"/>
      <c r="I4" s="3192" t="s">
        <v>2538</v>
      </c>
      <c r="J4" s="3193"/>
      <c r="K4" s="2600" t="s">
        <v>2539</v>
      </c>
      <c r="L4" s="1133"/>
      <c r="M4" s="1134"/>
      <c r="N4" s="1134"/>
      <c r="O4" s="1134"/>
      <c r="P4" s="3196" t="s">
        <v>2540</v>
      </c>
      <c r="Q4" s="3197"/>
      <c r="R4" s="3202" t="s">
        <v>2536</v>
      </c>
      <c r="S4" s="3203"/>
      <c r="T4" s="3202" t="s">
        <v>2537</v>
      </c>
      <c r="U4" s="3203"/>
      <c r="V4" s="3208" t="s">
        <v>2538</v>
      </c>
      <c r="W4" s="3208"/>
      <c r="X4" s="1817"/>
      <c r="Y4" s="3202" t="s">
        <v>2540</v>
      </c>
      <c r="Z4" s="3203"/>
      <c r="AA4" s="3189" t="s">
        <v>2536</v>
      </c>
      <c r="AB4" s="3189" t="s">
        <v>2537</v>
      </c>
      <c r="AC4" s="3189" t="s">
        <v>2538</v>
      </c>
    </row>
    <row r="5" spans="1:29" ht="15">
      <c r="A5" s="404"/>
      <c r="B5" s="405"/>
      <c r="C5" s="3211" t="s">
        <v>2541</v>
      </c>
      <c r="D5" s="3212"/>
      <c r="E5" s="3218" t="s">
        <v>2542</v>
      </c>
      <c r="F5" s="3219"/>
      <c r="G5" s="3211" t="s">
        <v>2543</v>
      </c>
      <c r="H5" s="3212"/>
      <c r="I5" s="3211" t="s">
        <v>2544</v>
      </c>
      <c r="J5" s="3212"/>
      <c r="K5" s="2601"/>
      <c r="L5" s="1133"/>
      <c r="M5" s="1134"/>
      <c r="N5" s="1134"/>
      <c r="O5" s="1134"/>
      <c r="P5" s="3198"/>
      <c r="Q5" s="3199"/>
      <c r="R5" s="3204"/>
      <c r="S5" s="3205"/>
      <c r="T5" s="3204"/>
      <c r="U5" s="3205"/>
      <c r="V5" s="3208"/>
      <c r="W5" s="3208"/>
      <c r="X5" s="1817"/>
      <c r="Y5" s="3204"/>
      <c r="Z5" s="3205"/>
      <c r="AA5" s="3190"/>
      <c r="AB5" s="3190"/>
      <c r="AC5" s="3190"/>
    </row>
    <row r="6" spans="1:29" ht="15.75" thickBot="1">
      <c r="A6" s="406"/>
      <c r="B6" s="407"/>
      <c r="C6" s="3209" t="s">
        <v>2545</v>
      </c>
      <c r="D6" s="3210"/>
      <c r="E6" s="3216" t="s">
        <v>2545</v>
      </c>
      <c r="F6" s="3217"/>
      <c r="G6" s="3209" t="s">
        <v>2545</v>
      </c>
      <c r="H6" s="3210"/>
      <c r="I6" s="3209" t="s">
        <v>2545</v>
      </c>
      <c r="J6" s="3210"/>
      <c r="K6" s="2601" t="s">
        <v>2546</v>
      </c>
      <c r="L6" s="1133"/>
      <c r="M6" s="1134"/>
      <c r="N6" s="1134"/>
      <c r="O6" s="1134"/>
      <c r="P6" s="3200"/>
      <c r="Q6" s="3201"/>
      <c r="R6" s="3204"/>
      <c r="S6" s="3205"/>
      <c r="T6" s="3206"/>
      <c r="U6" s="3207"/>
      <c r="V6" s="3208"/>
      <c r="W6" s="3208"/>
      <c r="X6" s="1817"/>
      <c r="Y6" s="3206"/>
      <c r="Z6" s="3207"/>
      <c r="AA6" s="3191"/>
      <c r="AB6" s="3191"/>
      <c r="AC6" s="3191"/>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3" t="s">
        <v>2548</v>
      </c>
      <c r="Q7" s="3215"/>
      <c r="R7" s="770" t="s">
        <v>23</v>
      </c>
      <c r="S7" s="771">
        <f t="shared" ref="S7:S15" si="0">F7</f>
        <v>0</v>
      </c>
      <c r="T7" s="770" t="s">
        <v>23</v>
      </c>
      <c r="U7" s="771">
        <f t="shared" ref="U7:U15" si="1">H7</f>
        <v>0</v>
      </c>
      <c r="V7" s="770" t="s">
        <v>23</v>
      </c>
      <c r="W7" s="771">
        <f t="shared" ref="W7:W15" si="2">J7</f>
        <v>0</v>
      </c>
      <c r="X7" s="772"/>
      <c r="Y7" s="3213" t="s">
        <v>2548</v>
      </c>
      <c r="Z7" s="3214"/>
      <c r="AA7" s="773" t="e">
        <f>D7/F7</f>
        <v>#DIV/0!</v>
      </c>
      <c r="AB7" s="773" t="e">
        <f>D7/H7</f>
        <v>#DIV/0!</v>
      </c>
      <c r="AC7" s="773" t="e">
        <f>D7/J7</f>
        <v>#DIV/0!</v>
      </c>
    </row>
    <row r="8" spans="1:29" s="116"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3" t="s">
        <v>2551</v>
      </c>
      <c r="Q8" s="3214"/>
      <c r="R8" s="770" t="s">
        <v>23</v>
      </c>
      <c r="S8" s="771">
        <f t="shared" si="0"/>
        <v>0</v>
      </c>
      <c r="T8" s="770" t="s">
        <v>23</v>
      </c>
      <c r="U8" s="771">
        <f t="shared" si="1"/>
        <v>0</v>
      </c>
      <c r="V8" s="770" t="s">
        <v>23</v>
      </c>
      <c r="W8" s="771">
        <f t="shared" si="2"/>
        <v>0</v>
      </c>
      <c r="X8" s="772"/>
      <c r="Y8" s="3213" t="s">
        <v>2551</v>
      </c>
      <c r="Z8" s="3214"/>
      <c r="AA8" s="773" t="e">
        <f t="shared" ref="AA8:AA19" si="3">D8/F8</f>
        <v>#DIV/0!</v>
      </c>
      <c r="AB8" s="773" t="e">
        <f t="shared" ref="AB8:AB19" si="4">D8/H8</f>
        <v>#DIV/0!</v>
      </c>
      <c r="AC8" s="773" t="e">
        <f t="shared" ref="AC8:AC19" si="5">D8/J8</f>
        <v>#DIV/0!</v>
      </c>
    </row>
    <row r="9" spans="1:29" s="116" customFormat="1">
      <c r="A9" s="415" t="s">
        <v>2552</v>
      </c>
      <c r="B9" s="71" t="s">
        <v>2553</v>
      </c>
      <c r="C9" s="416"/>
      <c r="D9" s="134">
        <v>100</v>
      </c>
      <c r="E9" s="417"/>
      <c r="F9" s="418">
        <f>SUMIF(63:63,E9,64:64)-SUMIF(63:63,C9,64:64)+100</f>
        <v>100</v>
      </c>
      <c r="G9" s="419"/>
      <c r="H9" s="134">
        <f>SUMIF(63:63,G9,64:64)-SUMIF(63:63,C9,64:64)+100</f>
        <v>100</v>
      </c>
      <c r="I9" s="419"/>
      <c r="J9" s="134">
        <f>SUMIF(63:63,I9,64:64)-SUMIF(63:63,C9,64:64)+100</f>
        <v>100</v>
      </c>
      <c r="K9" s="2602"/>
      <c r="L9" s="1135"/>
      <c r="M9" s="1136"/>
      <c r="N9" s="1136"/>
      <c r="O9" s="1136"/>
      <c r="P9" s="3246" t="s">
        <v>2554</v>
      </c>
      <c r="Q9" s="1799"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46"/>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46"/>
      <c r="Q11" s="1799"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6" customFormat="1" ht="15">
      <c r="A12" s="431"/>
      <c r="B12" s="2604">
        <v>111</v>
      </c>
      <c r="C12" s="432"/>
      <c r="D12" s="433">
        <v>100</v>
      </c>
      <c r="E12" s="432"/>
      <c r="F12" s="425">
        <f>SUMIF(70:70,E12,71:71)-SUMIF(70:70,C12,71:71)+100</f>
        <v>100</v>
      </c>
      <c r="G12" s="432"/>
      <c r="H12" s="135">
        <f>SUMIF(70:70,G12,71:71)-SUMIF(70:70,C12,71:71)+100</f>
        <v>100</v>
      </c>
      <c r="I12" s="432"/>
      <c r="J12" s="135">
        <f>SUMIF(70:70,I12,71:71)-SUMIF(70:70,C12,71:71)+100</f>
        <v>100</v>
      </c>
      <c r="K12" s="2605"/>
      <c r="L12" s="1135"/>
      <c r="M12" s="1136"/>
      <c r="N12" s="1136"/>
      <c r="O12" s="1136"/>
      <c r="P12" s="3246"/>
      <c r="Q12" s="1799">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46"/>
      <c r="Q13" s="1799">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46"/>
      <c r="Q14" s="1799">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2558</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2559</v>
      </c>
      <c r="Q15" s="1814" t="str">
        <f t="shared" si="6"/>
        <v>居住社区成熟度</v>
      </c>
      <c r="R15" s="774" t="s">
        <v>21</v>
      </c>
      <c r="S15" s="775">
        <f t="shared" si="0"/>
        <v>100</v>
      </c>
      <c r="T15" s="774" t="s">
        <v>21</v>
      </c>
      <c r="U15" s="775">
        <f t="shared" si="1"/>
        <v>100</v>
      </c>
      <c r="V15" s="774" t="s">
        <v>21</v>
      </c>
      <c r="W15" s="775">
        <f t="shared" si="2"/>
        <v>100</v>
      </c>
      <c r="X15" s="1817"/>
      <c r="Y15" s="3184" t="s">
        <v>2559</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245"/>
      <c r="Q16" s="1814"/>
      <c r="R16" s="774"/>
      <c r="S16" s="775"/>
      <c r="T16" s="774"/>
      <c r="U16" s="775"/>
      <c r="V16" s="774"/>
      <c r="W16" s="775"/>
      <c r="X16" s="1817"/>
      <c r="Y16" s="3185"/>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4" t="str">
        <f>B17</f>
        <v>交通便捷度</v>
      </c>
      <c r="R17" s="774" t="s">
        <v>21</v>
      </c>
      <c r="S17" s="775">
        <f>F17</f>
        <v>100</v>
      </c>
      <c r="T17" s="774" t="s">
        <v>21</v>
      </c>
      <c r="U17" s="775">
        <f>H17</f>
        <v>100</v>
      </c>
      <c r="V17" s="774" t="s">
        <v>21</v>
      </c>
      <c r="W17" s="775">
        <f>J17</f>
        <v>100</v>
      </c>
      <c r="X17" s="1817"/>
      <c r="Y17" s="3185"/>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245"/>
      <c r="Q18" s="1814"/>
      <c r="R18" s="774"/>
      <c r="S18" s="775"/>
      <c r="T18" s="774"/>
      <c r="U18" s="775"/>
      <c r="V18" s="774"/>
      <c r="W18" s="775"/>
      <c r="X18" s="1817"/>
      <c r="Y18" s="3185"/>
      <c r="Z18" s="1818"/>
      <c r="AA18" s="1815">
        <v>1</v>
      </c>
      <c r="AB18" s="1815">
        <v>1</v>
      </c>
      <c r="AC18" s="1815">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4" t="str">
        <f>B19</f>
        <v>公共配套设施</v>
      </c>
      <c r="R19" s="774" t="s">
        <v>21</v>
      </c>
      <c r="S19" s="775">
        <f>F19</f>
        <v>100</v>
      </c>
      <c r="T19" s="774" t="s">
        <v>21</v>
      </c>
      <c r="U19" s="775">
        <f>H19</f>
        <v>100</v>
      </c>
      <c r="V19" s="774" t="s">
        <v>21</v>
      </c>
      <c r="W19" s="775">
        <f>J19</f>
        <v>100</v>
      </c>
      <c r="X19" s="1817"/>
      <c r="Y19" s="3185"/>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245"/>
      <c r="Q20" s="1814"/>
      <c r="R20" s="774"/>
      <c r="S20" s="775"/>
      <c r="T20" s="774"/>
      <c r="U20" s="775"/>
      <c r="V20" s="774"/>
      <c r="W20" s="775"/>
      <c r="X20" s="1817"/>
      <c r="Y20" s="3185"/>
      <c r="Z20" s="1818"/>
      <c r="AA20" s="1815">
        <v>1</v>
      </c>
      <c r="AB20" s="1815">
        <v>1</v>
      </c>
      <c r="AC20" s="1815">
        <v>1</v>
      </c>
    </row>
    <row r="21" spans="1:29" ht="28.5">
      <c r="A21" s="428"/>
      <c r="B21" s="1387"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245"/>
      <c r="Q22" s="1814"/>
      <c r="R22" s="774"/>
      <c r="S22" s="775"/>
      <c r="T22" s="774"/>
      <c r="U22" s="775"/>
      <c r="V22" s="774"/>
      <c r="W22" s="775"/>
      <c r="X22" s="1817"/>
      <c r="Y22" s="3185"/>
      <c r="Z22" s="1818"/>
      <c r="AA22" s="1815">
        <v>1</v>
      </c>
      <c r="AB22" s="1815">
        <v>1</v>
      </c>
      <c r="AC22" s="1815">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4" t="str">
        <f>B23</f>
        <v>自然及人文环境</v>
      </c>
      <c r="R23" s="774" t="s">
        <v>21</v>
      </c>
      <c r="S23" s="775">
        <f>F23</f>
        <v>100</v>
      </c>
      <c r="T23" s="774" t="s">
        <v>21</v>
      </c>
      <c r="U23" s="775">
        <f>H23</f>
        <v>100</v>
      </c>
      <c r="V23" s="774" t="s">
        <v>21</v>
      </c>
      <c r="W23" s="775">
        <f>J23</f>
        <v>100</v>
      </c>
      <c r="X23" s="1817"/>
      <c r="Y23" s="3185"/>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245"/>
      <c r="Q24" s="1814"/>
      <c r="R24" s="774"/>
      <c r="S24" s="775"/>
      <c r="T24" s="774"/>
      <c r="U24" s="775"/>
      <c r="V24" s="774"/>
      <c r="W24" s="775"/>
      <c r="X24" s="1817"/>
      <c r="Y24" s="3185"/>
      <c r="Z24" s="1818"/>
      <c r="AA24" s="1815">
        <v>1</v>
      </c>
      <c r="AB24" s="1815">
        <v>1</v>
      </c>
      <c r="AC24" s="1815">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85"/>
      <c r="Z25" s="1818" t="str">
        <f>Q25</f>
        <v>楼层-1</v>
      </c>
      <c r="AA25" s="1815">
        <f t="shared" ref="AA25:AA46" si="15">D25/F25</f>
        <v>1</v>
      </c>
      <c r="AB25" s="1815">
        <f t="shared" ref="AB25:AB46" si="16">D25/H25</f>
        <v>1</v>
      </c>
      <c r="AC25" s="1815">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5"/>
      <c r="Q26" s="1814" t="str">
        <f t="shared" si="11"/>
        <v>朝向</v>
      </c>
      <c r="R26" s="774" t="s">
        <v>21</v>
      </c>
      <c r="S26" s="775">
        <f t="shared" si="12"/>
        <v>100</v>
      </c>
      <c r="T26" s="774" t="s">
        <v>21</v>
      </c>
      <c r="U26" s="775">
        <f t="shared" si="13"/>
        <v>100</v>
      </c>
      <c r="V26" s="774" t="s">
        <v>21</v>
      </c>
      <c r="W26" s="775">
        <f t="shared" si="14"/>
        <v>100</v>
      </c>
      <c r="X26" s="1817"/>
      <c r="Y26" s="3185"/>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5"/>
      <c r="Q27" s="1799">
        <f t="shared" si="11"/>
        <v>111</v>
      </c>
      <c r="R27" s="770" t="s">
        <v>21</v>
      </c>
      <c r="S27" s="771">
        <f t="shared" si="12"/>
        <v>100</v>
      </c>
      <c r="T27" s="770" t="s">
        <v>21</v>
      </c>
      <c r="U27" s="771">
        <f t="shared" si="13"/>
        <v>100</v>
      </c>
      <c r="V27" s="770" t="s">
        <v>21</v>
      </c>
      <c r="W27" s="771">
        <f t="shared" si="14"/>
        <v>100</v>
      </c>
      <c r="X27" s="772"/>
      <c r="Y27" s="3185"/>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5"/>
      <c r="Q28" s="1814">
        <f t="shared" si="11"/>
        <v>111</v>
      </c>
      <c r="R28" s="774" t="s">
        <v>21</v>
      </c>
      <c r="S28" s="775">
        <f t="shared" si="12"/>
        <v>100</v>
      </c>
      <c r="T28" s="774" t="s">
        <v>21</v>
      </c>
      <c r="U28" s="775">
        <f t="shared" si="13"/>
        <v>100</v>
      </c>
      <c r="V28" s="774" t="s">
        <v>21</v>
      </c>
      <c r="W28" s="775">
        <f t="shared" si="14"/>
        <v>100</v>
      </c>
      <c r="X28" s="1817"/>
      <c r="Y28" s="3185"/>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5"/>
      <c r="Q29" s="1814">
        <f t="shared" si="11"/>
        <v>111</v>
      </c>
      <c r="R29" s="774" t="s">
        <v>21</v>
      </c>
      <c r="S29" s="775">
        <f t="shared" si="12"/>
        <v>100</v>
      </c>
      <c r="T29" s="774" t="s">
        <v>21</v>
      </c>
      <c r="U29" s="775">
        <f t="shared" si="13"/>
        <v>100</v>
      </c>
      <c r="V29" s="774" t="s">
        <v>21</v>
      </c>
      <c r="W29" s="775">
        <f t="shared" si="14"/>
        <v>100</v>
      </c>
      <c r="X29" s="1817"/>
      <c r="Y29" s="3185"/>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5"/>
      <c r="Q30" s="1814">
        <f t="shared" si="11"/>
        <v>111</v>
      </c>
      <c r="R30" s="774" t="s">
        <v>21</v>
      </c>
      <c r="S30" s="775">
        <f t="shared" si="12"/>
        <v>100</v>
      </c>
      <c r="T30" s="774" t="s">
        <v>21</v>
      </c>
      <c r="U30" s="775">
        <f t="shared" si="13"/>
        <v>100</v>
      </c>
      <c r="V30" s="774" t="s">
        <v>21</v>
      </c>
      <c r="W30" s="775">
        <f t="shared" si="14"/>
        <v>100</v>
      </c>
      <c r="X30" s="1817"/>
      <c r="Y30" s="3185"/>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5"/>
      <c r="Q31" s="1814">
        <f t="shared" si="11"/>
        <v>111</v>
      </c>
      <c r="R31" s="774" t="s">
        <v>21</v>
      </c>
      <c r="S31" s="775">
        <f t="shared" si="12"/>
        <v>100</v>
      </c>
      <c r="T31" s="774" t="s">
        <v>21</v>
      </c>
      <c r="U31" s="775">
        <f t="shared" si="13"/>
        <v>100</v>
      </c>
      <c r="V31" s="774" t="s">
        <v>21</v>
      </c>
      <c r="W31" s="775">
        <f t="shared" si="14"/>
        <v>100</v>
      </c>
      <c r="X31" s="1817"/>
      <c r="Y31" s="3185"/>
      <c r="Z31" s="1818">
        <f t="shared" si="18"/>
        <v>111</v>
      </c>
      <c r="AA31" s="1815">
        <f t="shared" si="15"/>
        <v>1</v>
      </c>
      <c r="AB31" s="1815">
        <f t="shared" si="16"/>
        <v>1</v>
      </c>
      <c r="AC31" s="1815">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1" t="s">
        <v>2564</v>
      </c>
      <c r="Q32" s="1814" t="str">
        <f t="shared" si="11"/>
        <v>建筑类型</v>
      </c>
      <c r="R32" s="774" t="s">
        <v>21</v>
      </c>
      <c r="S32" s="775">
        <f t="shared" si="12"/>
        <v>100</v>
      </c>
      <c r="T32" s="774" t="s">
        <v>21</v>
      </c>
      <c r="U32" s="775">
        <f t="shared" si="13"/>
        <v>100</v>
      </c>
      <c r="V32" s="774" t="s">
        <v>21</v>
      </c>
      <c r="W32" s="775">
        <f t="shared" si="14"/>
        <v>100</v>
      </c>
      <c r="X32" s="1817"/>
      <c r="Y32" s="3187" t="s">
        <v>2564</v>
      </c>
      <c r="Z32" s="1818" t="str">
        <f t="shared" si="18"/>
        <v>建筑类型</v>
      </c>
      <c r="AA32" s="1815">
        <f t="shared" si="15"/>
        <v>1</v>
      </c>
      <c r="AB32" s="1815">
        <f t="shared" si="16"/>
        <v>1</v>
      </c>
      <c r="AC32" s="1815">
        <f t="shared" si="17"/>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5"/>
      <c r="L33" s="1141"/>
      <c r="M33" s="1144"/>
      <c r="N33" s="1144"/>
      <c r="O33" s="1144"/>
      <c r="P33" s="3242"/>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5" t="e">
        <f t="shared" si="15"/>
        <v>#N/A</v>
      </c>
      <c r="AB33" s="1815" t="e">
        <f t="shared" si="16"/>
        <v>#N/A</v>
      </c>
      <c r="AC33" s="1815"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2"/>
      <c r="Q34" s="1814" t="str">
        <f t="shared" si="11"/>
        <v>建筑结构</v>
      </c>
      <c r="R34" s="774" t="s">
        <v>21</v>
      </c>
      <c r="S34" s="775">
        <f t="shared" si="12"/>
        <v>100</v>
      </c>
      <c r="T34" s="774" t="s">
        <v>21</v>
      </c>
      <c r="U34" s="775">
        <f t="shared" si="13"/>
        <v>100</v>
      </c>
      <c r="V34" s="774" t="s">
        <v>21</v>
      </c>
      <c r="W34" s="775">
        <f t="shared" si="14"/>
        <v>100</v>
      </c>
      <c r="X34" s="1817"/>
      <c r="Y34" s="3187"/>
      <c r="Z34" s="1818" t="str">
        <f t="shared" si="18"/>
        <v>建筑结构</v>
      </c>
      <c r="AA34" s="1815">
        <f t="shared" si="15"/>
        <v>1</v>
      </c>
      <c r="AB34" s="1815">
        <f t="shared" si="16"/>
        <v>1</v>
      </c>
      <c r="AC34" s="1815">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2"/>
      <c r="Q35" s="1814" t="str">
        <f t="shared" si="11"/>
        <v>建筑品质</v>
      </c>
      <c r="R35" s="774" t="s">
        <v>21</v>
      </c>
      <c r="S35" s="775">
        <f t="shared" si="12"/>
        <v>100</v>
      </c>
      <c r="T35" s="774" t="s">
        <v>21</v>
      </c>
      <c r="U35" s="775">
        <f t="shared" si="13"/>
        <v>100</v>
      </c>
      <c r="V35" s="774" t="s">
        <v>21</v>
      </c>
      <c r="W35" s="775">
        <f t="shared" si="14"/>
        <v>100</v>
      </c>
      <c r="X35" s="1817"/>
      <c r="Y35" s="3187"/>
      <c r="Z35" s="1818" t="str">
        <f t="shared" si="18"/>
        <v>建筑品质</v>
      </c>
      <c r="AA35" s="1815">
        <f t="shared" si="15"/>
        <v>1</v>
      </c>
      <c r="AB35" s="1815">
        <f t="shared" si="16"/>
        <v>1</v>
      </c>
      <c r="AC35" s="1815">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2"/>
      <c r="Q36" s="1814" t="str">
        <f t="shared" si="11"/>
        <v>公共部分装修</v>
      </c>
      <c r="R36" s="774" t="s">
        <v>21</v>
      </c>
      <c r="S36" s="775">
        <f t="shared" si="12"/>
        <v>100</v>
      </c>
      <c r="T36" s="774" t="s">
        <v>21</v>
      </c>
      <c r="U36" s="775">
        <f t="shared" si="13"/>
        <v>100</v>
      </c>
      <c r="V36" s="774" t="s">
        <v>21</v>
      </c>
      <c r="W36" s="775">
        <f t="shared" si="14"/>
        <v>100</v>
      </c>
      <c r="X36" s="1817"/>
      <c r="Y36" s="3187"/>
      <c r="Z36" s="1818" t="str">
        <f t="shared" si="18"/>
        <v>公共部分装修</v>
      </c>
      <c r="AA36" s="1815">
        <f t="shared" si="15"/>
        <v>1</v>
      </c>
      <c r="AB36" s="1815">
        <f t="shared" si="16"/>
        <v>1</v>
      </c>
      <c r="AC36" s="1815">
        <f t="shared" si="17"/>
        <v>1</v>
      </c>
    </row>
    <row r="37" spans="1:29" s="116" customFormat="1" ht="15">
      <c r="A37" s="473"/>
      <c r="B37" s="422" t="s">
        <v>2569</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42"/>
      <c r="Q37" s="1799"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2" t="s">
        <v>2564</v>
      </c>
      <c r="Q38" s="1814" t="str">
        <f t="shared" si="11"/>
        <v>物业管理</v>
      </c>
      <c r="R38" s="774" t="s">
        <v>21</v>
      </c>
      <c r="S38" s="775">
        <f t="shared" si="12"/>
        <v>100</v>
      </c>
      <c r="T38" s="774" t="s">
        <v>21</v>
      </c>
      <c r="U38" s="775">
        <f t="shared" si="13"/>
        <v>100</v>
      </c>
      <c r="V38" s="774" t="s">
        <v>21</v>
      </c>
      <c r="W38" s="775">
        <f t="shared" si="14"/>
        <v>100</v>
      </c>
      <c r="X38" s="1817"/>
      <c r="Y38" s="3187" t="s">
        <v>2564</v>
      </c>
      <c r="Z38" s="1818" t="str">
        <f t="shared" si="18"/>
        <v>物业管理</v>
      </c>
      <c r="AA38" s="1815">
        <f t="shared" si="15"/>
        <v>1</v>
      </c>
      <c r="AB38" s="1815">
        <f t="shared" si="16"/>
        <v>1</v>
      </c>
      <c r="AC38" s="1815">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2"/>
      <c r="Q39" s="1814" t="str">
        <f t="shared" si="11"/>
        <v>市政基础设施</v>
      </c>
      <c r="R39" s="774" t="s">
        <v>21</v>
      </c>
      <c r="S39" s="775">
        <f t="shared" si="12"/>
        <v>100</v>
      </c>
      <c r="T39" s="774" t="s">
        <v>21</v>
      </c>
      <c r="U39" s="775">
        <f t="shared" si="13"/>
        <v>100</v>
      </c>
      <c r="V39" s="774" t="s">
        <v>21</v>
      </c>
      <c r="W39" s="775">
        <f t="shared" si="14"/>
        <v>100</v>
      </c>
      <c r="X39" s="1817"/>
      <c r="Y39" s="3187"/>
      <c r="Z39" s="1818" t="str">
        <f t="shared" si="18"/>
        <v>市政基础设施</v>
      </c>
      <c r="AA39" s="1815">
        <f t="shared" si="15"/>
        <v>1</v>
      </c>
      <c r="AB39" s="1815">
        <f t="shared" si="16"/>
        <v>1</v>
      </c>
      <c r="AC39" s="1815">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2"/>
      <c r="Q40" s="1814" t="str">
        <f t="shared" si="11"/>
        <v>房型</v>
      </c>
      <c r="R40" s="774" t="s">
        <v>21</v>
      </c>
      <c r="S40" s="775">
        <f t="shared" si="12"/>
        <v>100</v>
      </c>
      <c r="T40" s="774" t="s">
        <v>21</v>
      </c>
      <c r="U40" s="775">
        <f t="shared" si="13"/>
        <v>100</v>
      </c>
      <c r="V40" s="774" t="s">
        <v>21</v>
      </c>
      <c r="W40" s="775">
        <f t="shared" si="14"/>
        <v>100</v>
      </c>
      <c r="X40" s="1817"/>
      <c r="Y40" s="3187"/>
      <c r="Z40" s="1818" t="str">
        <f t="shared" si="18"/>
        <v>房型</v>
      </c>
      <c r="AA40" s="1815">
        <f t="shared" si="15"/>
        <v>1</v>
      </c>
      <c r="AB40" s="1815">
        <f t="shared" si="16"/>
        <v>1</v>
      </c>
      <c r="AC40" s="1815">
        <f t="shared" si="17"/>
        <v>1</v>
      </c>
    </row>
    <row r="41" spans="1:29" s="471" customFormat="1" ht="28.5">
      <c r="A41" s="468"/>
      <c r="B41" s="422" t="s">
        <v>2573</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5"/>
      <c r="L41" s="1141"/>
      <c r="M41" s="1144"/>
      <c r="N41" s="1144"/>
      <c r="O41" s="1144"/>
      <c r="P41" s="3242"/>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5">
        <f t="shared" si="15"/>
        <v>1</v>
      </c>
      <c r="AB41" s="1815">
        <f t="shared" si="16"/>
        <v>1</v>
      </c>
      <c r="AC41" s="1815">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2"/>
      <c r="Q42" s="1814" t="str">
        <f t="shared" si="11"/>
        <v>内部装修</v>
      </c>
      <c r="R42" s="774" t="s">
        <v>21</v>
      </c>
      <c r="S42" s="775">
        <f t="shared" si="12"/>
        <v>100</v>
      </c>
      <c r="T42" s="774" t="s">
        <v>21</v>
      </c>
      <c r="U42" s="775">
        <f t="shared" si="13"/>
        <v>100</v>
      </c>
      <c r="V42" s="774" t="s">
        <v>21</v>
      </c>
      <c r="W42" s="775">
        <f t="shared" si="14"/>
        <v>100</v>
      </c>
      <c r="X42" s="1817"/>
      <c r="Y42" s="3187"/>
      <c r="Z42" s="1818" t="str">
        <f t="shared" si="18"/>
        <v>内部装修</v>
      </c>
      <c r="AA42" s="1815">
        <f t="shared" si="15"/>
        <v>1</v>
      </c>
      <c r="AB42" s="1815">
        <f t="shared" si="16"/>
        <v>1</v>
      </c>
      <c r="AC42" s="1815">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2"/>
      <c r="Q43" s="1814" t="str">
        <f t="shared" si="11"/>
        <v>内部装修维护情况</v>
      </c>
      <c r="R43" s="774" t="s">
        <v>21</v>
      </c>
      <c r="S43" s="775">
        <f t="shared" si="12"/>
        <v>100</v>
      </c>
      <c r="T43" s="774" t="s">
        <v>21</v>
      </c>
      <c r="U43" s="775">
        <f t="shared" si="13"/>
        <v>100</v>
      </c>
      <c r="V43" s="774" t="s">
        <v>21</v>
      </c>
      <c r="W43" s="775">
        <f t="shared" si="14"/>
        <v>100</v>
      </c>
      <c r="X43" s="1817"/>
      <c r="Y43" s="3187"/>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5"/>
      <c r="L44" s="1135"/>
      <c r="M44" s="1136"/>
      <c r="N44" s="1136"/>
      <c r="O44" s="1136"/>
      <c r="P44" s="3242"/>
      <c r="Q44" s="1799">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2"/>
      <c r="Q45" s="1814">
        <f t="shared" si="11"/>
        <v>111</v>
      </c>
      <c r="R45" s="774" t="s">
        <v>21</v>
      </c>
      <c r="S45" s="775">
        <f t="shared" si="12"/>
        <v>100</v>
      </c>
      <c r="T45" s="774" t="s">
        <v>21</v>
      </c>
      <c r="U45" s="775">
        <f t="shared" si="13"/>
        <v>100</v>
      </c>
      <c r="V45" s="774" t="s">
        <v>21</v>
      </c>
      <c r="W45" s="775">
        <f t="shared" si="14"/>
        <v>100</v>
      </c>
      <c r="X45" s="1817"/>
      <c r="Y45" s="3187"/>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3"/>
      <c r="Q46" s="1814">
        <f t="shared" si="11"/>
        <v>111</v>
      </c>
      <c r="R46" s="774" t="s">
        <v>20</v>
      </c>
      <c r="S46" s="775">
        <f t="shared" si="12"/>
        <v>100</v>
      </c>
      <c r="T46" s="774" t="s">
        <v>20</v>
      </c>
      <c r="U46" s="775">
        <f t="shared" si="13"/>
        <v>100</v>
      </c>
      <c r="V46" s="774" t="s">
        <v>20</v>
      </c>
      <c r="W46" s="775">
        <f t="shared" si="14"/>
        <v>100</v>
      </c>
      <c r="X46" s="1817"/>
      <c r="Y46" s="3188"/>
      <c r="Z46" s="1818">
        <f t="shared" si="18"/>
        <v>111</v>
      </c>
      <c r="AA46" s="1815">
        <f t="shared" si="15"/>
        <v>1</v>
      </c>
      <c r="AB46" s="1815">
        <f t="shared" si="16"/>
        <v>1</v>
      </c>
      <c r="AC46" s="1815">
        <f t="shared" si="17"/>
        <v>1</v>
      </c>
    </row>
    <row r="47" spans="1:29" ht="15">
      <c r="A47" s="479" t="s">
        <v>2576</v>
      </c>
      <c r="B47" s="480"/>
      <c r="C47" s="1410" t="s">
        <v>19</v>
      </c>
      <c r="D47" s="1411"/>
      <c r="E47" s="1412"/>
      <c r="F47" s="1413"/>
      <c r="G47" s="1414"/>
      <c r="H47" s="1415"/>
      <c r="I47" s="1412"/>
      <c r="J47" s="1415"/>
      <c r="K47" s="2625"/>
      <c r="L47" s="1146"/>
      <c r="M47" s="1147"/>
      <c r="N47" s="1134"/>
      <c r="O47" s="1147"/>
      <c r="P47" s="3179" t="str">
        <f>A47</f>
        <v>成交单价（元/平方米）</v>
      </c>
      <c r="Q47" s="3179"/>
      <c r="R47" s="3180">
        <f>E47</f>
        <v>0</v>
      </c>
      <c r="S47" s="3180"/>
      <c r="T47" s="3180">
        <f>G47</f>
        <v>0</v>
      </c>
      <c r="U47" s="3180"/>
      <c r="V47" s="3180">
        <f>I47</f>
        <v>0</v>
      </c>
      <c r="W47" s="3180"/>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31"/>
      <c r="C59" s="1577">
        <v>100</v>
      </c>
      <c r="D59" s="511"/>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2585</v>
      </c>
      <c r="B61" s="510"/>
      <c r="C61" s="522" t="s">
        <v>2586</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2609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6" customFormat="1" ht="15.75" thickTop="1">
      <c r="A88" s="579"/>
      <c r="B88" s="538" t="s">
        <v>2610</v>
      </c>
      <c r="C88" s="554"/>
      <c r="D88" s="554"/>
      <c r="E88" s="554"/>
      <c r="F88" s="2639"/>
      <c r="G88" s="554"/>
      <c r="H88" s="554"/>
      <c r="I88" s="554"/>
      <c r="J88" s="554"/>
      <c r="K88" s="554"/>
      <c r="L88" s="554"/>
      <c r="M88" s="581"/>
      <c r="N88" s="1154"/>
      <c r="O88" s="1154"/>
      <c r="P88" s="2634"/>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v>
      </c>
    </row>
    <row r="4" spans="1:1" ht="36">
      <c r="A4" s="1952" t="str">
        <f>"受贵公司委托，我公司对"&amp;项目基本情况!S1&amp;"进行了预评估。"</f>
        <v>受贵公司委托，我公司对北京市北京经济技术开发区景园街12号房地产市场价值进行了预评估。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2641</v>
      </c>
      <c r="C1" s="1638" t="s">
        <v>2529</v>
      </c>
      <c r="D1" s="1625"/>
      <c r="E1" s="2661"/>
      <c r="F1" s="2588"/>
      <c r="G1" s="1635" t="s">
        <v>2642</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2326</v>
      </c>
      <c r="B2" s="1421" t="e">
        <f ca="1">IF(C2="——",ROUND(C49*D3/10000,0),ROUND(C49*D3/10000,0)-D2)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t="e">
        <f ca="1">IF(C2="——",C49,ROUND(B2*10000/D3,0))</f>
        <v>#DIV/0!</v>
      </c>
      <c r="C3" s="400" t="s">
        <v>2643</v>
      </c>
      <c r="D3" s="399">
        <f>IF(D1="",'数据-汇总表'!E3,SUMIF('数据-汇总表'!$C19:$C33,D1,'数据-汇总表'!$E19:$E33))</f>
        <v>28894.02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208" t="s">
        <v>2647</v>
      </c>
      <c r="AC4" s="3189" t="s">
        <v>2648</v>
      </c>
    </row>
    <row r="5" spans="1:29"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208"/>
      <c r="AC5" s="3190"/>
    </row>
    <row r="6" spans="1:29" ht="15.7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7"/>
      <c r="Y6" s="3206"/>
      <c r="Z6" s="3207"/>
      <c r="AA6" s="3191"/>
      <c r="AB6" s="3208"/>
      <c r="AC6" s="3191"/>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6"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6" si="3">D8/F8</f>
        <v>#DIV/0!</v>
      </c>
      <c r="AB8" s="773" t="e">
        <f t="shared" ref="AB8:AB46" si="4">D8/H8</f>
        <v>#DIV/0!</v>
      </c>
      <c r="AC8" s="773" t="e">
        <f t="shared" ref="AC8:AC46" si="5">D8/J8</f>
        <v>#DIV/0!</v>
      </c>
    </row>
    <row r="9" spans="1:29" s="116" customFormat="1">
      <c r="A9" s="415" t="s">
        <v>2552</v>
      </c>
      <c r="B9" s="71" t="s">
        <v>2553</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46" t="s">
        <v>2554</v>
      </c>
      <c r="Q9" s="1799"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46"/>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46"/>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6" customFormat="1" ht="15">
      <c r="A12" s="431"/>
      <c r="B12" s="2604">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46"/>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6"/>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6"/>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2559</v>
      </c>
      <c r="Q15" s="1814" t="str">
        <f t="shared" si="6"/>
        <v>商业繁华度</v>
      </c>
      <c r="R15" s="774" t="s">
        <v>17</v>
      </c>
      <c r="S15" s="775">
        <f t="shared" si="0"/>
        <v>100</v>
      </c>
      <c r="T15" s="774" t="s">
        <v>17</v>
      </c>
      <c r="U15" s="775">
        <f t="shared" si="1"/>
        <v>100</v>
      </c>
      <c r="V15" s="774" t="s">
        <v>17</v>
      </c>
      <c r="W15" s="775">
        <f t="shared" si="2"/>
        <v>100</v>
      </c>
      <c r="X15" s="1817"/>
      <c r="Y15" s="3184" t="s">
        <v>2559</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5"/>
      <c r="Q16" s="1814"/>
      <c r="R16" s="774"/>
      <c r="S16" s="775"/>
      <c r="T16" s="774"/>
      <c r="U16" s="775"/>
      <c r="V16" s="774"/>
      <c r="W16" s="775"/>
      <c r="X16" s="1817"/>
      <c r="Y16" s="3185"/>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245"/>
      <c r="Q18" s="1814"/>
      <c r="R18" s="774"/>
      <c r="S18" s="775"/>
      <c r="T18" s="774"/>
      <c r="U18" s="775"/>
      <c r="V18" s="774"/>
      <c r="W18" s="775"/>
      <c r="X18" s="1817"/>
      <c r="Y18" s="3185"/>
      <c r="Z18" s="1818"/>
      <c r="AA18" s="1815">
        <v>1</v>
      </c>
      <c r="AB18" s="1815">
        <v>1</v>
      </c>
      <c r="AC18" s="1815">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245"/>
      <c r="Q20" s="1814"/>
      <c r="R20" s="774"/>
      <c r="S20" s="775"/>
      <c r="T20" s="774"/>
      <c r="U20" s="775"/>
      <c r="V20" s="774"/>
      <c r="W20" s="775"/>
      <c r="X20" s="1817"/>
      <c r="Y20" s="3185"/>
      <c r="Z20" s="1818"/>
      <c r="AA20" s="1815">
        <v>1</v>
      </c>
      <c r="AB20" s="1815">
        <v>1</v>
      </c>
      <c r="AC20" s="1815">
        <v>1</v>
      </c>
    </row>
    <row r="21" spans="1:29" ht="28.5">
      <c r="A21" s="428"/>
      <c r="B21" s="1387"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245"/>
      <c r="Q22" s="1814"/>
      <c r="R22" s="774"/>
      <c r="S22" s="775"/>
      <c r="T22" s="774"/>
      <c r="U22" s="775"/>
      <c r="V22" s="774"/>
      <c r="W22" s="775"/>
      <c r="X22" s="1817"/>
      <c r="Y22" s="3185"/>
      <c r="Z22" s="1818"/>
      <c r="AA22" s="1815">
        <v>1</v>
      </c>
      <c r="AB22" s="1815">
        <v>1</v>
      </c>
      <c r="AC22" s="1815">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4" t="str">
        <f>B23</f>
        <v>自然及人文环境</v>
      </c>
      <c r="R23" s="774" t="s">
        <v>17</v>
      </c>
      <c r="S23" s="775">
        <f>F23</f>
        <v>100</v>
      </c>
      <c r="T23" s="774" t="s">
        <v>17</v>
      </c>
      <c r="U23" s="775">
        <f>H23</f>
        <v>100</v>
      </c>
      <c r="V23" s="774" t="s">
        <v>17</v>
      </c>
      <c r="W23" s="775">
        <f>J23</f>
        <v>100</v>
      </c>
      <c r="X23" s="1817"/>
      <c r="Y23" s="3185"/>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245"/>
      <c r="Q24" s="1814"/>
      <c r="R24" s="774"/>
      <c r="S24" s="775"/>
      <c r="T24" s="774"/>
      <c r="U24" s="775"/>
      <c r="V24" s="774"/>
      <c r="W24" s="775"/>
      <c r="X24" s="1817"/>
      <c r="Y24" s="3185"/>
      <c r="Z24" s="1818"/>
      <c r="AA24" s="1815">
        <v>1</v>
      </c>
      <c r="AB24" s="1815">
        <v>1</v>
      </c>
      <c r="AC24" s="1815">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4" t="str">
        <f t="shared" ref="Q25:Q46" si="11">B25</f>
        <v>临街状况</v>
      </c>
      <c r="R25" s="774" t="s">
        <v>17</v>
      </c>
      <c r="S25" s="775">
        <f>F25</f>
        <v>100</v>
      </c>
      <c r="T25" s="774" t="s">
        <v>17</v>
      </c>
      <c r="U25" s="775">
        <f>H25</f>
        <v>100</v>
      </c>
      <c r="V25" s="774" t="s">
        <v>17</v>
      </c>
      <c r="W25" s="775">
        <f>J25</f>
        <v>100</v>
      </c>
      <c r="X25" s="1817"/>
      <c r="Y25" s="3185"/>
      <c r="Z25" s="1818" t="str">
        <f>Q25</f>
        <v>临街状况</v>
      </c>
      <c r="AA25" s="1815">
        <f t="shared" si="3"/>
        <v>1</v>
      </c>
      <c r="AB25" s="1815">
        <f t="shared" si="4"/>
        <v>1</v>
      </c>
      <c r="AC25" s="1815">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4" t="str">
        <f t="shared" si="11"/>
        <v>平面位置/可视性</v>
      </c>
      <c r="R26" s="774" t="s">
        <v>17</v>
      </c>
      <c r="S26" s="775">
        <f>F26</f>
        <v>100</v>
      </c>
      <c r="T26" s="774" t="s">
        <v>17</v>
      </c>
      <c r="U26" s="775">
        <f>H26</f>
        <v>100</v>
      </c>
      <c r="V26" s="774" t="s">
        <v>17</v>
      </c>
      <c r="W26" s="775">
        <f>J26</f>
        <v>100</v>
      </c>
      <c r="X26" s="1817"/>
      <c r="Y26" s="3185"/>
      <c r="Z26" s="1818" t="str">
        <f>Q26</f>
        <v>平面位置/可视性</v>
      </c>
      <c r="AA26" s="1815">
        <f t="shared" si="3"/>
        <v>1</v>
      </c>
      <c r="AB26" s="1815">
        <f t="shared" si="4"/>
        <v>1</v>
      </c>
      <c r="AC26" s="1815">
        <f t="shared" si="5"/>
        <v>1</v>
      </c>
    </row>
    <row r="27" spans="1:29" s="116"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5"/>
      <c r="Q27" s="1799" t="str">
        <f t="shared" si="11"/>
        <v>人流量</v>
      </c>
      <c r="R27" s="770" t="s">
        <v>17</v>
      </c>
      <c r="S27" s="771">
        <f>F27</f>
        <v>100</v>
      </c>
      <c r="T27" s="770" t="s">
        <v>17</v>
      </c>
      <c r="U27" s="771">
        <f>H27</f>
        <v>100</v>
      </c>
      <c r="V27" s="770" t="s">
        <v>17</v>
      </c>
      <c r="W27" s="771">
        <f>J27</f>
        <v>100</v>
      </c>
      <c r="X27" s="772"/>
      <c r="Y27" s="3185"/>
      <c r="Z27" s="55" t="str">
        <f>Q27</f>
        <v>人流量</v>
      </c>
      <c r="AA27" s="1815">
        <f>D27/F27</f>
        <v>1</v>
      </c>
      <c r="AB27" s="1815">
        <f>D27/H27</f>
        <v>1</v>
      </c>
      <c r="AC27" s="1815">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85"/>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4">
        <f t="shared" si="11"/>
        <v>111</v>
      </c>
      <c r="R29" s="774" t="s">
        <v>17</v>
      </c>
      <c r="S29" s="775">
        <f t="shared" si="12"/>
        <v>100</v>
      </c>
      <c r="T29" s="774" t="s">
        <v>17</v>
      </c>
      <c r="U29" s="775">
        <f t="shared" si="13"/>
        <v>100</v>
      </c>
      <c r="V29" s="774" t="s">
        <v>17</v>
      </c>
      <c r="W29" s="775">
        <f t="shared" si="14"/>
        <v>100</v>
      </c>
      <c r="X29" s="1817"/>
      <c r="Y29" s="3185"/>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185"/>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185"/>
      <c r="Z31" s="1818">
        <f t="shared" si="15"/>
        <v>111</v>
      </c>
      <c r="AA31" s="1815">
        <f t="shared" si="3"/>
        <v>1</v>
      </c>
      <c r="AB31" s="1815">
        <f t="shared" si="4"/>
        <v>1</v>
      </c>
      <c r="AC31" s="1815">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1" t="s">
        <v>2564</v>
      </c>
      <c r="Q32" s="1814" t="str">
        <f t="shared" si="11"/>
        <v>商业类型</v>
      </c>
      <c r="R32" s="774" t="s">
        <v>17</v>
      </c>
      <c r="S32" s="775">
        <f t="shared" si="12"/>
        <v>100</v>
      </c>
      <c r="T32" s="774" t="s">
        <v>17</v>
      </c>
      <c r="U32" s="775">
        <f t="shared" si="13"/>
        <v>100</v>
      </c>
      <c r="V32" s="774" t="s">
        <v>17</v>
      </c>
      <c r="W32" s="775">
        <f t="shared" si="14"/>
        <v>100</v>
      </c>
      <c r="X32" s="1817"/>
      <c r="Y32" s="3187" t="s">
        <v>2564</v>
      </c>
      <c r="Z32" s="1818" t="str">
        <f t="shared" si="15"/>
        <v>商业类型</v>
      </c>
      <c r="AA32" s="1815">
        <f t="shared" si="3"/>
        <v>1</v>
      </c>
      <c r="AB32" s="1815">
        <f t="shared" si="4"/>
        <v>1</v>
      </c>
      <c r="AC32" s="1815">
        <f t="shared" si="5"/>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2"/>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5" t="e">
        <f t="shared" si="3"/>
        <v>#N/A</v>
      </c>
      <c r="AB33" s="1815" t="e">
        <f t="shared" si="4"/>
        <v>#N/A</v>
      </c>
      <c r="AC33" s="1815"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2"/>
      <c r="Q34" s="1814" t="str">
        <f t="shared" si="11"/>
        <v>建筑结构</v>
      </c>
      <c r="R34" s="774" t="s">
        <v>17</v>
      </c>
      <c r="S34" s="775">
        <f t="shared" si="12"/>
        <v>100</v>
      </c>
      <c r="T34" s="774" t="s">
        <v>17</v>
      </c>
      <c r="U34" s="775">
        <f t="shared" si="13"/>
        <v>100</v>
      </c>
      <c r="V34" s="774" t="s">
        <v>17</v>
      </c>
      <c r="W34" s="775">
        <f t="shared" si="14"/>
        <v>100</v>
      </c>
      <c r="X34" s="1817"/>
      <c r="Y34" s="3187"/>
      <c r="Z34" s="1818" t="str">
        <f t="shared" si="15"/>
        <v>建筑结构</v>
      </c>
      <c r="AA34" s="1815">
        <f t="shared" si="3"/>
        <v>1</v>
      </c>
      <c r="AB34" s="1815">
        <f t="shared" si="4"/>
        <v>1</v>
      </c>
      <c r="AC34" s="1815">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2"/>
      <c r="Q35" s="1814" t="str">
        <f t="shared" si="11"/>
        <v>公共部分装修</v>
      </c>
      <c r="R35" s="774" t="s">
        <v>17</v>
      </c>
      <c r="S35" s="775">
        <f t="shared" si="12"/>
        <v>100</v>
      </c>
      <c r="T35" s="774" t="s">
        <v>17</v>
      </c>
      <c r="U35" s="775">
        <f t="shared" si="13"/>
        <v>100</v>
      </c>
      <c r="V35" s="774" t="s">
        <v>17</v>
      </c>
      <c r="W35" s="775">
        <f t="shared" si="14"/>
        <v>100</v>
      </c>
      <c r="X35" s="1817"/>
      <c r="Y35" s="3187"/>
      <c r="Z35" s="1818" t="str">
        <f t="shared" si="15"/>
        <v>公共部分装修</v>
      </c>
      <c r="AA35" s="1815">
        <f t="shared" si="3"/>
        <v>1</v>
      </c>
      <c r="AB35" s="1815">
        <f t="shared" si="4"/>
        <v>1</v>
      </c>
      <c r="AC35" s="1815">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2"/>
      <c r="Q36" s="1814" t="str">
        <f t="shared" si="11"/>
        <v>成新度</v>
      </c>
      <c r="R36" s="774" t="s">
        <v>17</v>
      </c>
      <c r="S36" s="775" t="e">
        <f t="shared" si="12"/>
        <v>#N/A</v>
      </c>
      <c r="T36" s="774" t="s">
        <v>17</v>
      </c>
      <c r="U36" s="775" t="e">
        <f t="shared" si="13"/>
        <v>#N/A</v>
      </c>
      <c r="V36" s="774" t="s">
        <v>17</v>
      </c>
      <c r="W36" s="775" t="e">
        <f t="shared" si="14"/>
        <v>#N/A</v>
      </c>
      <c r="X36" s="1817"/>
      <c r="Y36" s="3187"/>
      <c r="Z36" s="1818" t="str">
        <f t="shared" si="15"/>
        <v>成新度</v>
      </c>
      <c r="AA36" s="1815" t="e">
        <f t="shared" si="3"/>
        <v>#N/A</v>
      </c>
      <c r="AB36" s="1815" t="e">
        <f t="shared" si="4"/>
        <v>#N/A</v>
      </c>
      <c r="AC36" s="1815" t="e">
        <f t="shared" si="5"/>
        <v>#N/A</v>
      </c>
    </row>
    <row r="37" spans="1:29" s="116" customFormat="1" ht="15">
      <c r="A37" s="473"/>
      <c r="B37" s="422" t="s">
        <v>2662</v>
      </c>
      <c r="C37" s="2617"/>
      <c r="D37" s="135">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2"/>
      <c r="Q37" s="1799"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2" t="s">
        <v>2564</v>
      </c>
      <c r="Q38" s="1814" t="str">
        <f t="shared" si="11"/>
        <v>业态</v>
      </c>
      <c r="R38" s="774" t="s">
        <v>17</v>
      </c>
      <c r="S38" s="775">
        <f t="shared" si="12"/>
        <v>100</v>
      </c>
      <c r="T38" s="774" t="s">
        <v>17</v>
      </c>
      <c r="U38" s="775">
        <f t="shared" si="13"/>
        <v>100</v>
      </c>
      <c r="V38" s="774" t="s">
        <v>17</v>
      </c>
      <c r="W38" s="775">
        <f t="shared" si="14"/>
        <v>100</v>
      </c>
      <c r="X38" s="1817"/>
      <c r="Y38" s="3187" t="s">
        <v>2564</v>
      </c>
      <c r="Z38" s="1818" t="str">
        <f t="shared" si="15"/>
        <v>业态</v>
      </c>
      <c r="AA38" s="1815">
        <f t="shared" si="3"/>
        <v>1</v>
      </c>
      <c r="AB38" s="1815">
        <f t="shared" si="4"/>
        <v>1</v>
      </c>
      <c r="AC38" s="1815">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2"/>
      <c r="Q39" s="1814" t="str">
        <f t="shared" si="11"/>
        <v>层高</v>
      </c>
      <c r="R39" s="774" t="s">
        <v>17</v>
      </c>
      <c r="S39" s="775">
        <f t="shared" si="12"/>
        <v>100</v>
      </c>
      <c r="T39" s="774" t="s">
        <v>17</v>
      </c>
      <c r="U39" s="775">
        <f t="shared" si="13"/>
        <v>100</v>
      </c>
      <c r="V39" s="774" t="s">
        <v>17</v>
      </c>
      <c r="W39" s="775">
        <f t="shared" si="14"/>
        <v>100</v>
      </c>
      <c r="X39" s="1817"/>
      <c r="Y39" s="3187"/>
      <c r="Z39" s="1818" t="str">
        <f t="shared" si="15"/>
        <v>层高</v>
      </c>
      <c r="AA39" s="1815">
        <f t="shared" si="3"/>
        <v>1</v>
      </c>
      <c r="AB39" s="1815">
        <f t="shared" si="4"/>
        <v>1</v>
      </c>
      <c r="AC39" s="1815">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2"/>
      <c r="Q40" s="1814" t="str">
        <f t="shared" si="11"/>
        <v>单套建筑面积</v>
      </c>
      <c r="R40" s="774" t="s">
        <v>17</v>
      </c>
      <c r="S40" s="775">
        <f t="shared" si="12"/>
        <v>100</v>
      </c>
      <c r="T40" s="774" t="s">
        <v>17</v>
      </c>
      <c r="U40" s="775">
        <f t="shared" si="13"/>
        <v>100</v>
      </c>
      <c r="V40" s="774" t="s">
        <v>17</v>
      </c>
      <c r="W40" s="775">
        <f t="shared" si="14"/>
        <v>100</v>
      </c>
      <c r="X40" s="1817"/>
      <c r="Y40" s="3187"/>
      <c r="Z40" s="1818" t="str">
        <f t="shared" si="15"/>
        <v>单套建筑面积</v>
      </c>
      <c r="AA40" s="1815">
        <f t="shared" si="3"/>
        <v>1</v>
      </c>
      <c r="AB40" s="1815">
        <f t="shared" si="4"/>
        <v>1</v>
      </c>
      <c r="AC40" s="1815">
        <f t="shared" si="5"/>
        <v>1</v>
      </c>
    </row>
    <row r="41" spans="1:29" s="471" customFormat="1" ht="15">
      <c r="A41" s="468"/>
      <c r="B41" s="1816"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2"/>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5">
        <f t="shared" si="3"/>
        <v>1</v>
      </c>
      <c r="AB41" s="1815">
        <f t="shared" si="4"/>
        <v>1</v>
      </c>
      <c r="AC41" s="1815">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2"/>
      <c r="Q42" s="1814" t="str">
        <f t="shared" si="11"/>
        <v>内部装修</v>
      </c>
      <c r="R42" s="774" t="s">
        <v>17</v>
      </c>
      <c r="S42" s="775">
        <f t="shared" si="12"/>
        <v>100</v>
      </c>
      <c r="T42" s="774" t="s">
        <v>17</v>
      </c>
      <c r="U42" s="775">
        <f t="shared" si="13"/>
        <v>100</v>
      </c>
      <c r="V42" s="774" t="s">
        <v>17</v>
      </c>
      <c r="W42" s="775">
        <f t="shared" si="14"/>
        <v>100</v>
      </c>
      <c r="X42" s="1817"/>
      <c r="Y42" s="3187"/>
      <c r="Z42" s="1818" t="str">
        <f t="shared" si="15"/>
        <v>内部装修</v>
      </c>
      <c r="AA42" s="1815">
        <f t="shared" si="3"/>
        <v>1</v>
      </c>
      <c r="AB42" s="1815">
        <f t="shared" si="4"/>
        <v>1</v>
      </c>
      <c r="AC42" s="1815">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2"/>
      <c r="Q43" s="1814" t="str">
        <f t="shared" si="11"/>
        <v>内部装修维护情况</v>
      </c>
      <c r="R43" s="774" t="s">
        <v>17</v>
      </c>
      <c r="S43" s="775">
        <f t="shared" si="12"/>
        <v>100</v>
      </c>
      <c r="T43" s="774" t="s">
        <v>17</v>
      </c>
      <c r="U43" s="775">
        <f t="shared" si="13"/>
        <v>100</v>
      </c>
      <c r="V43" s="774" t="s">
        <v>17</v>
      </c>
      <c r="W43" s="775">
        <f t="shared" si="14"/>
        <v>100</v>
      </c>
      <c r="X43" s="1817"/>
      <c r="Y43" s="3187"/>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2"/>
      <c r="Q44" s="1799">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2"/>
      <c r="Q45" s="1814">
        <f t="shared" si="11"/>
        <v>111</v>
      </c>
      <c r="R45" s="774" t="s">
        <v>17</v>
      </c>
      <c r="S45" s="775">
        <f t="shared" si="12"/>
        <v>100</v>
      </c>
      <c r="T45" s="774" t="s">
        <v>17</v>
      </c>
      <c r="U45" s="775">
        <f t="shared" si="13"/>
        <v>100</v>
      </c>
      <c r="V45" s="774" t="s">
        <v>17</v>
      </c>
      <c r="W45" s="775">
        <f t="shared" si="14"/>
        <v>100</v>
      </c>
      <c r="X45" s="1817"/>
      <c r="Y45" s="3187"/>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3"/>
      <c r="Q46" s="1814">
        <f t="shared" si="11"/>
        <v>111</v>
      </c>
      <c r="R46" s="774" t="s">
        <v>17</v>
      </c>
      <c r="S46" s="775">
        <f t="shared" si="12"/>
        <v>100</v>
      </c>
      <c r="T46" s="774" t="s">
        <v>17</v>
      </c>
      <c r="U46" s="775">
        <f t="shared" si="13"/>
        <v>100</v>
      </c>
      <c r="V46" s="774" t="s">
        <v>17</v>
      </c>
      <c r="W46" s="775">
        <f t="shared" si="14"/>
        <v>100</v>
      </c>
      <c r="X46" s="1817"/>
      <c r="Y46" s="3188"/>
      <c r="Z46" s="1818">
        <f t="shared" si="15"/>
        <v>111</v>
      </c>
      <c r="AA46" s="1815">
        <f t="shared" si="3"/>
        <v>1</v>
      </c>
      <c r="AB46" s="1815">
        <f t="shared" si="4"/>
        <v>1</v>
      </c>
      <c r="AC46" s="1815">
        <f t="shared" si="5"/>
        <v>1</v>
      </c>
    </row>
    <row r="47" spans="1:29" ht="15">
      <c r="A47" s="479" t="s">
        <v>2576</v>
      </c>
      <c r="B47" s="480"/>
      <c r="C47" s="1410" t="s">
        <v>1</v>
      </c>
      <c r="D47" s="1411"/>
      <c r="E47" s="1412"/>
      <c r="F47" s="1413"/>
      <c r="G47" s="1414"/>
      <c r="H47" s="1415"/>
      <c r="I47" s="1412"/>
      <c r="J47" s="1415"/>
      <c r="K47" s="783"/>
      <c r="L47" s="1146"/>
      <c r="M47" s="1147"/>
      <c r="N47" s="1134"/>
      <c r="O47" s="1147"/>
      <c r="P47" s="3179" t="str">
        <f>A47</f>
        <v>成交单价（元/平方米）</v>
      </c>
      <c r="Q47" s="3179"/>
      <c r="R47" s="3208">
        <f>E47</f>
        <v>0</v>
      </c>
      <c r="S47" s="3208"/>
      <c r="T47" s="3208">
        <f>G47</f>
        <v>0</v>
      </c>
      <c r="U47" s="3208"/>
      <c r="V47" s="3208">
        <f>I47</f>
        <v>0</v>
      </c>
      <c r="W47" s="3208"/>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2549</v>
      </c>
      <c r="B61" s="510"/>
      <c r="C61" s="522" t="s">
        <v>2651</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2679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6"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6"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topLeftCell="A33" zoomScale="90" zoomScaleNormal="90" workbookViewId="0">
      <selection activeCell="G48" sqref="G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2685</v>
      </c>
      <c r="C1" s="1624" t="s">
        <v>2529</v>
      </c>
      <c r="D1" s="1625" t="s">
        <v>3053</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IF(C2="——",ROUND(C50*D3/10000,0),ROUND(C50*D3/10000,0)-D2)</f>
        <v>0</v>
      </c>
      <c r="C2" s="2590" t="s">
        <v>70</v>
      </c>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2.6</v>
      </c>
      <c r="C3" s="400" t="s">
        <v>2643</v>
      </c>
      <c r="D3" s="399">
        <f>IF(D1="",'数据-汇总表'!E3,SUMIF('数据-汇总表'!$C19:$C33,D1,'数据-汇总表'!$E19:$E33))</f>
        <v>0</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253" t="s">
        <v>2650</v>
      </c>
      <c r="Q4" s="3254"/>
      <c r="R4" s="3257" t="s">
        <v>2646</v>
      </c>
      <c r="S4" s="3258"/>
      <c r="T4" s="3257" t="s">
        <v>2647</v>
      </c>
      <c r="U4" s="3258"/>
      <c r="V4" s="3259" t="s">
        <v>2648</v>
      </c>
      <c r="W4" s="3259"/>
      <c r="X4" s="2674"/>
      <c r="Y4" s="3257" t="s">
        <v>2650</v>
      </c>
      <c r="Z4" s="3258"/>
      <c r="AA4" s="3261" t="s">
        <v>2646</v>
      </c>
      <c r="AB4" s="3261" t="s">
        <v>2647</v>
      </c>
      <c r="AC4" s="3250" t="s">
        <v>2648</v>
      </c>
    </row>
    <row r="5" spans="1:29" ht="15">
      <c r="A5" s="404"/>
      <c r="B5" s="405"/>
      <c r="C5" s="3211" t="s">
        <v>2541</v>
      </c>
      <c r="D5" s="3212"/>
      <c r="E5" s="3218" t="s">
        <v>2542</v>
      </c>
      <c r="F5" s="3219"/>
      <c r="G5" s="3211" t="s">
        <v>2543</v>
      </c>
      <c r="H5" s="3212"/>
      <c r="I5" s="3211" t="s">
        <v>2544</v>
      </c>
      <c r="J5" s="3212"/>
      <c r="K5" s="610"/>
      <c r="L5" s="1133"/>
      <c r="M5" s="1134"/>
      <c r="N5" s="1134"/>
      <c r="O5" s="1134"/>
      <c r="P5" s="3255"/>
      <c r="Q5" s="3199"/>
      <c r="R5" s="3204"/>
      <c r="S5" s="3205"/>
      <c r="T5" s="3204"/>
      <c r="U5" s="3205"/>
      <c r="V5" s="3208"/>
      <c r="W5" s="3208"/>
      <c r="X5" s="1817"/>
      <c r="Y5" s="3204"/>
      <c r="Z5" s="3205"/>
      <c r="AA5" s="3190"/>
      <c r="AB5" s="3190"/>
      <c r="AC5" s="3251"/>
    </row>
    <row r="6" spans="1:29" ht="15.75" thickBot="1">
      <c r="A6" s="406"/>
      <c r="B6" s="407"/>
      <c r="C6" s="3209" t="s">
        <v>2545</v>
      </c>
      <c r="D6" s="3210"/>
      <c r="E6" s="3216" t="s">
        <v>2545</v>
      </c>
      <c r="F6" s="3217"/>
      <c r="G6" s="3209" t="s">
        <v>2545</v>
      </c>
      <c r="H6" s="3210"/>
      <c r="I6" s="3209" t="s">
        <v>2545</v>
      </c>
      <c r="J6" s="3210"/>
      <c r="K6" s="610" t="s">
        <v>2546</v>
      </c>
      <c r="L6" s="1133"/>
      <c r="M6" s="1134"/>
      <c r="N6" s="1134"/>
      <c r="O6" s="1134"/>
      <c r="P6" s="3256"/>
      <c r="Q6" s="3201"/>
      <c r="R6" s="3204"/>
      <c r="S6" s="3205"/>
      <c r="T6" s="3206"/>
      <c r="U6" s="3207"/>
      <c r="V6" s="3208"/>
      <c r="W6" s="3208"/>
      <c r="X6" s="1817"/>
      <c r="Y6" s="3206"/>
      <c r="Z6" s="3207"/>
      <c r="AA6" s="3191"/>
      <c r="AB6" s="3191"/>
      <c r="AC6" s="3252"/>
    </row>
    <row r="7" spans="1:29" s="116" customFormat="1" ht="15.75" thickBot="1">
      <c r="A7" s="408" t="s">
        <v>2547</v>
      </c>
      <c r="B7" s="409"/>
      <c r="C7" s="410">
        <f>'数据-取费表'!B2</f>
        <v>43047</v>
      </c>
      <c r="D7" s="411">
        <v>100</v>
      </c>
      <c r="E7" s="412">
        <v>43040</v>
      </c>
      <c r="F7" s="413">
        <f>SUMIF(59:59,YEAR(E7)&amp;"-"&amp;MONTH(E7),60:60)</f>
        <v>100</v>
      </c>
      <c r="G7" s="412">
        <v>43040</v>
      </c>
      <c r="H7" s="411">
        <f>SUMIF(59:59,YEAR(G7)&amp;"-"&amp;MONTH(G7),60:60)</f>
        <v>100</v>
      </c>
      <c r="I7" s="412">
        <v>43040</v>
      </c>
      <c r="J7" s="411">
        <f>SUMIF(59:59,YEAR(I7)&amp;"-"&amp;MONTH(I7),60:60)</f>
        <v>100</v>
      </c>
      <c r="K7" s="611"/>
      <c r="L7" s="1135"/>
      <c r="M7" s="1136"/>
      <c r="N7" s="1136"/>
      <c r="O7" s="1136"/>
      <c r="P7" s="3260" t="s">
        <v>2548</v>
      </c>
      <c r="Q7" s="3215"/>
      <c r="R7" s="770" t="s">
        <v>17</v>
      </c>
      <c r="S7" s="771">
        <f t="shared" ref="S7:S15" si="0">F7</f>
        <v>100</v>
      </c>
      <c r="T7" s="770" t="s">
        <v>17</v>
      </c>
      <c r="U7" s="771">
        <f t="shared" ref="U7:U15" si="1">H7</f>
        <v>100</v>
      </c>
      <c r="V7" s="770" t="s">
        <v>17</v>
      </c>
      <c r="W7" s="771">
        <f t="shared" ref="W7:W15" si="2">J7</f>
        <v>100</v>
      </c>
      <c r="X7" s="772"/>
      <c r="Y7" s="3213" t="s">
        <v>2548</v>
      </c>
      <c r="Z7" s="3214"/>
      <c r="AA7" s="773">
        <f>D7/F7</f>
        <v>1</v>
      </c>
      <c r="AB7" s="773">
        <f>D7/H7</f>
        <v>1</v>
      </c>
      <c r="AC7" s="2675">
        <f>D7/J7</f>
        <v>1</v>
      </c>
    </row>
    <row r="8" spans="1:29" s="116"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5"/>
      <c r="M8" s="1136"/>
      <c r="N8" s="1136"/>
      <c r="O8" s="1136"/>
      <c r="P8" s="3260" t="s">
        <v>2551</v>
      </c>
      <c r="Q8" s="3214"/>
      <c r="R8" s="770" t="s">
        <v>17</v>
      </c>
      <c r="S8" s="771">
        <f t="shared" si="0"/>
        <v>100</v>
      </c>
      <c r="T8" s="770" t="s">
        <v>17</v>
      </c>
      <c r="U8" s="771">
        <f t="shared" si="1"/>
        <v>100</v>
      </c>
      <c r="V8" s="770" t="s">
        <v>17</v>
      </c>
      <c r="W8" s="771">
        <f t="shared" si="2"/>
        <v>100</v>
      </c>
      <c r="X8" s="772"/>
      <c r="Y8" s="3213" t="s">
        <v>2551</v>
      </c>
      <c r="Z8" s="3214"/>
      <c r="AA8" s="773">
        <f t="shared" ref="AA8:AA47" si="3">D8/F8</f>
        <v>1</v>
      </c>
      <c r="AB8" s="773">
        <f t="shared" ref="AB8:AB47" si="4">D8/H8</f>
        <v>1</v>
      </c>
      <c r="AC8" s="2675">
        <f t="shared" ref="AC8:AC47" si="5">D8/J8</f>
        <v>1</v>
      </c>
    </row>
    <row r="9" spans="1:29" s="116" customFormat="1">
      <c r="A9" s="415" t="s">
        <v>2552</v>
      </c>
      <c r="B9" s="71" t="s">
        <v>2553</v>
      </c>
      <c r="C9" s="2947" t="s">
        <v>3096</v>
      </c>
      <c r="D9" s="134">
        <v>100</v>
      </c>
      <c r="E9" s="419" t="s">
        <v>27</v>
      </c>
      <c r="F9" s="134">
        <f>SUMIF(64:64,E9,65:65)-SUMIF(64:64,C9,65:65)+100</f>
        <v>105</v>
      </c>
      <c r="G9" s="419" t="s">
        <v>27</v>
      </c>
      <c r="H9" s="134">
        <f>SUMIF(64:64,G9,65:65)-SUMIF(64:64,C9,65:65)+100</f>
        <v>105</v>
      </c>
      <c r="I9" s="419" t="s">
        <v>27</v>
      </c>
      <c r="J9" s="134">
        <f>SUMIF(64:64,I9,65:65)-SUMIF(64:64,C9,65:65)+100</f>
        <v>105</v>
      </c>
      <c r="K9" s="611"/>
      <c r="L9" s="1135"/>
      <c r="M9" s="1136"/>
      <c r="N9" s="1136"/>
      <c r="O9" s="1136"/>
      <c r="P9" s="3246" t="s">
        <v>2554</v>
      </c>
      <c r="Q9" s="1799" t="str">
        <f t="shared" ref="Q9:Q15" si="6">B9</f>
        <v>用途</v>
      </c>
      <c r="R9" s="770" t="s">
        <v>17</v>
      </c>
      <c r="S9" s="771">
        <f t="shared" si="0"/>
        <v>105</v>
      </c>
      <c r="T9" s="770" t="s">
        <v>17</v>
      </c>
      <c r="U9" s="771">
        <f t="shared" si="1"/>
        <v>105</v>
      </c>
      <c r="V9" s="770" t="s">
        <v>17</v>
      </c>
      <c r="W9" s="771">
        <f t="shared" si="2"/>
        <v>105</v>
      </c>
      <c r="X9" s="772"/>
      <c r="Y9" s="3008" t="s">
        <v>2555</v>
      </c>
      <c r="Z9" s="55" t="str">
        <f t="shared" ref="Z9:Z15" si="7">Q9</f>
        <v>用途</v>
      </c>
      <c r="AA9" s="773">
        <f t="shared" si="3"/>
        <v>0.95238095238095233</v>
      </c>
      <c r="AB9" s="773">
        <f t="shared" si="4"/>
        <v>0.95238095238095233</v>
      </c>
      <c r="AC9" s="2675">
        <f t="shared" si="5"/>
        <v>0.95238095238095233</v>
      </c>
    </row>
    <row r="10" spans="1:29" s="427" customFormat="1" ht="27">
      <c r="A10" s="421"/>
      <c r="B10" s="422" t="s">
        <v>2556</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46"/>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5">
        <f t="shared" si="5"/>
        <v>1</v>
      </c>
    </row>
    <row r="11" spans="1:29" ht="15.75" thickBot="1">
      <c r="A11" s="428"/>
      <c r="B11" s="422" t="s">
        <v>2557</v>
      </c>
      <c r="C11" s="429"/>
      <c r="D11" s="135">
        <v>100</v>
      </c>
      <c r="E11" s="429"/>
      <c r="F11" s="135">
        <f>LOOKUP(E11,69:69,70:70)-LOOKUP(C11,69:69,70:70)+100</f>
        <v>100</v>
      </c>
      <c r="G11" s="430"/>
      <c r="H11" s="135">
        <f>LOOKUP(G11,69:69,70:70)-LOOKUP(C11,69:69,70:70)+100</f>
        <v>100</v>
      </c>
      <c r="I11" s="429"/>
      <c r="J11" s="135">
        <f>LOOKUP(I11,69:69,70:70)-LOOKUP(C11,69:69,70:70)+100</f>
        <v>100</v>
      </c>
      <c r="K11" s="612"/>
      <c r="L11" s="1141"/>
      <c r="M11" s="1134"/>
      <c r="N11" s="1134"/>
      <c r="O11" s="1134"/>
      <c r="P11" s="3246"/>
      <c r="Q11" s="1799"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2675">
        <f t="shared" si="5"/>
        <v>1</v>
      </c>
    </row>
    <row r="12" spans="1:29" s="116" customFormat="1" ht="15" hidden="1">
      <c r="A12" s="431"/>
      <c r="B12" s="2604">
        <v>111</v>
      </c>
      <c r="C12" s="432"/>
      <c r="D12" s="433">
        <v>100</v>
      </c>
      <c r="E12" s="432"/>
      <c r="F12" s="135">
        <f>SUMIF(71:71,E12,72:72)-SUMIF(71:71,C12,72:72)+100</f>
        <v>100</v>
      </c>
      <c r="G12" s="2676"/>
      <c r="H12" s="135">
        <f>SUMIF(71:71,G12,72:72)-SUMIF(71:71,C12,72:72)+100</f>
        <v>100</v>
      </c>
      <c r="I12" s="432"/>
      <c r="J12" s="135">
        <f>SUMIF(71:71,I12,72:72)-SUMIF(71:71,C12,72:72)+100</f>
        <v>100</v>
      </c>
      <c r="K12" s="613"/>
      <c r="L12" s="1135"/>
      <c r="M12" s="1136"/>
      <c r="N12" s="1136"/>
      <c r="O12" s="1136"/>
      <c r="P12" s="3246"/>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5">
        <f>D12/J12</f>
        <v>1</v>
      </c>
    </row>
    <row r="13" spans="1:29" ht="15" hidden="1">
      <c r="A13" s="428"/>
      <c r="B13" s="2604">
        <v>111</v>
      </c>
      <c r="C13" s="434"/>
      <c r="D13" s="435">
        <v>100</v>
      </c>
      <c r="E13" s="432"/>
      <c r="F13" s="135">
        <f>SUMIF(73:73,E13,74:74)-SUMIF(73:73,C13,74:74)+100</f>
        <v>100</v>
      </c>
      <c r="G13" s="2676"/>
      <c r="H13" s="435">
        <f>SUMIF(73:73,G13,74:74)-SUMIF(73:73,C13,74:74)+100</f>
        <v>100</v>
      </c>
      <c r="I13" s="432"/>
      <c r="J13" s="435">
        <f>SUMIF(73:73,I13,74:74)-SUMIF(73:73,C13,74:74)+100</f>
        <v>100</v>
      </c>
      <c r="K13" s="613"/>
      <c r="L13" s="1143"/>
      <c r="M13" s="1134"/>
      <c r="N13" s="1134"/>
      <c r="O13" s="1134"/>
      <c r="P13" s="3246"/>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5">
        <f t="shared" si="5"/>
        <v>1</v>
      </c>
    </row>
    <row r="14" spans="1:29" ht="15.75" hidden="1"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46"/>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2559</v>
      </c>
      <c r="Q15" s="1814" t="str">
        <f t="shared" si="6"/>
        <v>办公集聚程度</v>
      </c>
      <c r="R15" s="774" t="s">
        <v>17</v>
      </c>
      <c r="S15" s="775">
        <f t="shared" si="0"/>
        <v>100</v>
      </c>
      <c r="T15" s="774" t="s">
        <v>17</v>
      </c>
      <c r="U15" s="775">
        <f t="shared" si="1"/>
        <v>100</v>
      </c>
      <c r="V15" s="774" t="s">
        <v>17</v>
      </c>
      <c r="W15" s="775">
        <f t="shared" si="2"/>
        <v>100</v>
      </c>
      <c r="X15" s="1817"/>
      <c r="Y15" s="3184" t="s">
        <v>2559</v>
      </c>
      <c r="Z15" s="1818" t="str">
        <f t="shared" si="7"/>
        <v>办公集聚程度</v>
      </c>
      <c r="AA15" s="1815">
        <f t="shared" si="3"/>
        <v>1</v>
      </c>
      <c r="AB15" s="1815">
        <f t="shared" si="4"/>
        <v>1</v>
      </c>
      <c r="AC15" s="2678">
        <f t="shared" si="5"/>
        <v>1</v>
      </c>
    </row>
    <row r="16" spans="1:29" ht="15">
      <c r="A16" s="428"/>
      <c r="B16" s="630"/>
      <c r="C16" s="2615" t="s">
        <v>3071</v>
      </c>
      <c r="D16" s="448"/>
      <c r="E16" s="2615" t="s">
        <v>3071</v>
      </c>
      <c r="F16" s="448"/>
      <c r="G16" s="2615" t="s">
        <v>3071</v>
      </c>
      <c r="H16" s="450"/>
      <c r="I16" s="2615" t="s">
        <v>3071</v>
      </c>
      <c r="J16" s="448"/>
      <c r="K16" s="615"/>
      <c r="L16" s="1143"/>
      <c r="M16" s="1134"/>
      <c r="N16" s="1134"/>
      <c r="O16" s="1134"/>
      <c r="P16" s="3245"/>
      <c r="Q16" s="1814"/>
      <c r="R16" s="774"/>
      <c r="S16" s="775"/>
      <c r="T16" s="774"/>
      <c r="U16" s="775"/>
      <c r="V16" s="774"/>
      <c r="W16" s="775"/>
      <c r="X16" s="1817"/>
      <c r="Y16" s="3185"/>
      <c r="Z16" s="1818"/>
      <c r="AA16" s="1815">
        <v>1</v>
      </c>
      <c r="AB16" s="1815">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2678">
        <f t="shared" si="5"/>
        <v>1</v>
      </c>
    </row>
    <row r="18" spans="1:29" ht="15">
      <c r="A18" s="428"/>
      <c r="B18" s="632"/>
      <c r="C18" s="2680" t="s">
        <v>3071</v>
      </c>
      <c r="D18" s="450"/>
      <c r="E18" s="2680" t="s">
        <v>3071</v>
      </c>
      <c r="F18" s="450"/>
      <c r="G18" s="2680" t="s">
        <v>3071</v>
      </c>
      <c r="H18" s="448"/>
      <c r="I18" s="2680" t="s">
        <v>3071</v>
      </c>
      <c r="J18" s="448"/>
      <c r="K18" s="615"/>
      <c r="L18" s="1143"/>
      <c r="M18" s="1134"/>
      <c r="N18" s="1134"/>
      <c r="O18" s="1134"/>
      <c r="P18" s="3245"/>
      <c r="Q18" s="1814"/>
      <c r="R18" s="774"/>
      <c r="S18" s="775"/>
      <c r="T18" s="774"/>
      <c r="U18" s="775"/>
      <c r="V18" s="774"/>
      <c r="W18" s="775"/>
      <c r="X18" s="1817"/>
      <c r="Y18" s="3185"/>
      <c r="Z18" s="1818"/>
      <c r="AA18" s="1815">
        <v>1</v>
      </c>
      <c r="AB18" s="1815">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2678">
        <f t="shared" si="5"/>
        <v>1</v>
      </c>
    </row>
    <row r="20" spans="1:29" ht="15">
      <c r="A20" s="428"/>
      <c r="B20" s="632"/>
      <c r="C20" s="2615" t="s">
        <v>3071</v>
      </c>
      <c r="D20" s="448"/>
      <c r="E20" s="2615" t="s">
        <v>3071</v>
      </c>
      <c r="F20" s="448"/>
      <c r="G20" s="2615" t="s">
        <v>3071</v>
      </c>
      <c r="H20" s="448"/>
      <c r="I20" s="2615" t="s">
        <v>3071</v>
      </c>
      <c r="J20" s="448"/>
      <c r="K20" s="615"/>
      <c r="L20" s="1143"/>
      <c r="M20" s="1134"/>
      <c r="N20" s="1134"/>
      <c r="O20" s="1134"/>
      <c r="P20" s="3245"/>
      <c r="Q20" s="1814"/>
      <c r="R20" s="774"/>
      <c r="S20" s="775"/>
      <c r="T20" s="774"/>
      <c r="U20" s="775"/>
      <c r="V20" s="774"/>
      <c r="W20" s="775"/>
      <c r="X20" s="1817"/>
      <c r="Y20" s="3185"/>
      <c r="Z20" s="1818"/>
      <c r="AA20" s="1815">
        <v>1</v>
      </c>
      <c r="AB20" s="1815">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2678">
        <f t="shared" ref="AC21" si="10">D21/J21</f>
        <v>1</v>
      </c>
    </row>
    <row r="22" spans="1:29" ht="15">
      <c r="A22" s="428"/>
      <c r="B22" s="633"/>
      <c r="C22" s="2680" t="s">
        <v>3089</v>
      </c>
      <c r="D22" s="448"/>
      <c r="E22" s="2680" t="s">
        <v>3089</v>
      </c>
      <c r="F22" s="448"/>
      <c r="G22" s="2680" t="s">
        <v>3089</v>
      </c>
      <c r="H22" s="448"/>
      <c r="I22" s="2680" t="s">
        <v>3089</v>
      </c>
      <c r="J22" s="448"/>
      <c r="K22" s="1386"/>
      <c r="L22" s="1143"/>
      <c r="M22" s="1134"/>
      <c r="N22" s="1134"/>
      <c r="O22" s="1134"/>
      <c r="P22" s="3245"/>
      <c r="Q22" s="1814"/>
      <c r="R22" s="774"/>
      <c r="S22" s="775"/>
      <c r="T22" s="774"/>
      <c r="U22" s="775"/>
      <c r="V22" s="774"/>
      <c r="W22" s="775"/>
      <c r="X22" s="1817"/>
      <c r="Y22" s="3185"/>
      <c r="Z22" s="1818"/>
      <c r="AA22" s="1815">
        <v>1</v>
      </c>
      <c r="AB22" s="1815">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4" t="str">
        <f>B23</f>
        <v>环境质量</v>
      </c>
      <c r="R23" s="774" t="s">
        <v>17</v>
      </c>
      <c r="S23" s="775">
        <f>F23</f>
        <v>100</v>
      </c>
      <c r="T23" s="774" t="s">
        <v>17</v>
      </c>
      <c r="U23" s="775">
        <f>H23</f>
        <v>100</v>
      </c>
      <c r="V23" s="774" t="s">
        <v>17</v>
      </c>
      <c r="W23" s="775">
        <f>J23</f>
        <v>100</v>
      </c>
      <c r="X23" s="1817"/>
      <c r="Y23" s="3185"/>
      <c r="Z23" s="1818" t="str">
        <f>Q23</f>
        <v>环境质量</v>
      </c>
      <c r="AA23" s="1815">
        <f t="shared" si="3"/>
        <v>1</v>
      </c>
      <c r="AB23" s="1815">
        <f t="shared" si="4"/>
        <v>1</v>
      </c>
      <c r="AC23" s="2678">
        <f t="shared" si="5"/>
        <v>1</v>
      </c>
    </row>
    <row r="24" spans="1:29" ht="15">
      <c r="A24" s="428"/>
      <c r="B24" s="633"/>
      <c r="C24" s="2615" t="s">
        <v>3071</v>
      </c>
      <c r="D24" s="448"/>
      <c r="E24" s="2615" t="s">
        <v>3071</v>
      </c>
      <c r="F24" s="448"/>
      <c r="G24" s="2615" t="s">
        <v>3071</v>
      </c>
      <c r="H24" s="448"/>
      <c r="I24" s="2615" t="s">
        <v>3071</v>
      </c>
      <c r="J24" s="448"/>
      <c r="K24" s="615"/>
      <c r="L24" s="1143"/>
      <c r="M24" s="1134"/>
      <c r="N24" s="1134"/>
      <c r="O24" s="1134"/>
      <c r="P24" s="3245"/>
      <c r="Q24" s="1814"/>
      <c r="R24" s="774"/>
      <c r="S24" s="775"/>
      <c r="T24" s="774"/>
      <c r="U24" s="775"/>
      <c r="V24" s="774"/>
      <c r="W24" s="775"/>
      <c r="X24" s="1817"/>
      <c r="Y24" s="3185"/>
      <c r="Z24" s="1818"/>
      <c r="AA24" s="1815">
        <v>1</v>
      </c>
      <c r="AB24" s="1815">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5"/>
      <c r="Q25" s="1814" t="str">
        <f>B25</f>
        <v>毗邻道路的类型与等级</v>
      </c>
      <c r="R25" s="774" t="s">
        <v>17</v>
      </c>
      <c r="S25" s="775">
        <f>F25</f>
        <v>100</v>
      </c>
      <c r="T25" s="774" t="s">
        <v>17</v>
      </c>
      <c r="U25" s="775">
        <f>H25</f>
        <v>100</v>
      </c>
      <c r="V25" s="774" t="s">
        <v>17</v>
      </c>
      <c r="W25" s="775">
        <f>J25</f>
        <v>100</v>
      </c>
      <c r="X25" s="1817"/>
      <c r="Y25" s="3185"/>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245"/>
      <c r="Q26" s="1814"/>
      <c r="R26" s="774"/>
      <c r="S26" s="775"/>
      <c r="T26" s="774"/>
      <c r="U26" s="775"/>
      <c r="V26" s="774"/>
      <c r="W26" s="775"/>
      <c r="X26" s="1817"/>
      <c r="Y26" s="3185"/>
      <c r="Z26" s="1818"/>
      <c r="AA26" s="1815">
        <v>1</v>
      </c>
      <c r="AB26" s="1815">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4" t="str">
        <f t="shared" ref="Q27:Q47" si="11">B27</f>
        <v>楼层</v>
      </c>
      <c r="R27" s="774" t="s">
        <v>17</v>
      </c>
      <c r="S27" s="775">
        <f>F27</f>
        <v>100</v>
      </c>
      <c r="T27" s="774" t="s">
        <v>17</v>
      </c>
      <c r="U27" s="775">
        <f>H27</f>
        <v>100</v>
      </c>
      <c r="V27" s="774" t="s">
        <v>17</v>
      </c>
      <c r="W27" s="775">
        <f>J27</f>
        <v>100</v>
      </c>
      <c r="X27" s="1817"/>
      <c r="Y27" s="3185"/>
      <c r="Z27" s="1818" t="str">
        <f>Q27</f>
        <v>楼层</v>
      </c>
      <c r="AA27" s="1815">
        <f t="shared" si="3"/>
        <v>1</v>
      </c>
      <c r="AB27" s="1815">
        <f t="shared" si="4"/>
        <v>1</v>
      </c>
      <c r="AC27" s="2678">
        <f t="shared" si="5"/>
        <v>1</v>
      </c>
    </row>
    <row r="28" spans="1:29" s="116" customFormat="1" ht="15.75" thickBot="1">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5"/>
      <c r="Q28" s="1799" t="str">
        <f t="shared" si="11"/>
        <v>朝向</v>
      </c>
      <c r="R28" s="770" t="s">
        <v>17</v>
      </c>
      <c r="S28" s="771">
        <f>F28</f>
        <v>100</v>
      </c>
      <c r="T28" s="770" t="s">
        <v>17</v>
      </c>
      <c r="U28" s="771">
        <f>H28</f>
        <v>100</v>
      </c>
      <c r="V28" s="770" t="s">
        <v>17</v>
      </c>
      <c r="W28" s="771">
        <f>J28</f>
        <v>100</v>
      </c>
      <c r="X28" s="772"/>
      <c r="Y28" s="3185"/>
      <c r="Z28" s="55" t="str">
        <f>Q28</f>
        <v>朝向</v>
      </c>
      <c r="AA28" s="1815">
        <f>D28/F28</f>
        <v>1</v>
      </c>
      <c r="AB28" s="1815">
        <f>D28/H28</f>
        <v>1</v>
      </c>
      <c r="AC28" s="2678">
        <f>D28/J28</f>
        <v>1</v>
      </c>
    </row>
    <row r="29" spans="1:29" ht="15" hidden="1">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5"/>
      <c r="Q29" s="1814">
        <f t="shared" si="11"/>
        <v>111</v>
      </c>
      <c r="R29" s="774" t="s">
        <v>17</v>
      </c>
      <c r="S29" s="775">
        <f t="shared" ref="S29:S47" si="12">F29</f>
        <v>100</v>
      </c>
      <c r="T29" s="774" t="s">
        <v>17</v>
      </c>
      <c r="U29" s="775">
        <f t="shared" ref="U29:U47" si="13">H29</f>
        <v>100</v>
      </c>
      <c r="V29" s="774" t="s">
        <v>17</v>
      </c>
      <c r="W29" s="775">
        <f t="shared" ref="W29:W47" si="14">J29</f>
        <v>100</v>
      </c>
      <c r="X29" s="1817"/>
      <c r="Y29" s="3185"/>
      <c r="Z29" s="1818">
        <f t="shared" ref="Z29:Z47" si="15">Q29</f>
        <v>111</v>
      </c>
      <c r="AA29" s="1815">
        <f t="shared" si="3"/>
        <v>1</v>
      </c>
      <c r="AB29" s="1815">
        <f t="shared" si="4"/>
        <v>1</v>
      </c>
      <c r="AC29" s="2678">
        <f t="shared" si="5"/>
        <v>1</v>
      </c>
    </row>
    <row r="30" spans="1:29" ht="15" hidden="1">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185"/>
      <c r="Z30" s="1818">
        <f t="shared" si="15"/>
        <v>111</v>
      </c>
      <c r="AA30" s="1815">
        <f t="shared" si="3"/>
        <v>1</v>
      </c>
      <c r="AB30" s="1815">
        <f t="shared" si="4"/>
        <v>1</v>
      </c>
      <c r="AC30" s="2678">
        <f t="shared" si="5"/>
        <v>1</v>
      </c>
    </row>
    <row r="31" spans="1:29" ht="15" hidden="1">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185"/>
      <c r="Z31" s="1818">
        <f t="shared" si="15"/>
        <v>111</v>
      </c>
      <c r="AA31" s="1815">
        <f t="shared" si="3"/>
        <v>1</v>
      </c>
      <c r="AB31" s="1815">
        <f t="shared" si="4"/>
        <v>1</v>
      </c>
      <c r="AC31" s="2678">
        <f t="shared" si="5"/>
        <v>1</v>
      </c>
    </row>
    <row r="32" spans="1:29" ht="15.75" hidden="1"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5"/>
      <c r="Q32" s="1814">
        <f t="shared" si="11"/>
        <v>111</v>
      </c>
      <c r="R32" s="774" t="s">
        <v>17</v>
      </c>
      <c r="S32" s="775">
        <f t="shared" si="12"/>
        <v>100</v>
      </c>
      <c r="T32" s="774" t="s">
        <v>17</v>
      </c>
      <c r="U32" s="775">
        <f t="shared" si="13"/>
        <v>100</v>
      </c>
      <c r="V32" s="774" t="s">
        <v>17</v>
      </c>
      <c r="W32" s="775">
        <f t="shared" si="14"/>
        <v>100</v>
      </c>
      <c r="X32" s="1817"/>
      <c r="Y32" s="3185"/>
      <c r="Z32" s="1818">
        <f t="shared" si="15"/>
        <v>111</v>
      </c>
      <c r="AA32" s="1815">
        <f t="shared" si="3"/>
        <v>1</v>
      </c>
      <c r="AB32" s="1815">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1" t="s">
        <v>2564</v>
      </c>
      <c r="Q33" s="1814" t="str">
        <f t="shared" si="11"/>
        <v>建筑类型</v>
      </c>
      <c r="R33" s="774" t="s">
        <v>17</v>
      </c>
      <c r="S33" s="775">
        <f t="shared" si="12"/>
        <v>100</v>
      </c>
      <c r="T33" s="774" t="s">
        <v>17</v>
      </c>
      <c r="U33" s="775">
        <f t="shared" si="13"/>
        <v>100</v>
      </c>
      <c r="V33" s="774" t="s">
        <v>17</v>
      </c>
      <c r="W33" s="775">
        <f t="shared" si="14"/>
        <v>100</v>
      </c>
      <c r="X33" s="1817"/>
      <c r="Y33" s="3187" t="s">
        <v>2564</v>
      </c>
      <c r="Z33" s="1818" t="str">
        <f t="shared" si="15"/>
        <v>建筑类型</v>
      </c>
      <c r="AA33" s="1815">
        <f t="shared" si="3"/>
        <v>1</v>
      </c>
      <c r="AB33" s="1815">
        <f t="shared" si="4"/>
        <v>1</v>
      </c>
      <c r="AC33" s="2678">
        <f t="shared" si="5"/>
        <v>1</v>
      </c>
    </row>
    <row r="34" spans="1:29" s="471" customFormat="1" ht="15">
      <c r="A34" s="468"/>
      <c r="B34" s="422" t="s">
        <v>2565</v>
      </c>
      <c r="C34" s="469">
        <f>'数据-汇总表'!F20</f>
        <v>0</v>
      </c>
      <c r="D34" s="135">
        <v>100</v>
      </c>
      <c r="E34" s="430">
        <v>1533</v>
      </c>
      <c r="F34" s="425">
        <f>LOOKUP(E34,104:104,105:105)-LOOKUP(C34,104:104,105:105)+100</f>
        <v>98</v>
      </c>
      <c r="G34" s="429">
        <v>800</v>
      </c>
      <c r="H34" s="135">
        <f>LOOKUP(G34,104:104,105:105)-LOOKUP(C34,104:104,105:105)+100</f>
        <v>100</v>
      </c>
      <c r="I34" s="429">
        <v>489</v>
      </c>
      <c r="J34" s="135">
        <f>LOOKUP(I34,104:104,105:105)-LOOKUP(C34,104:104,105:105)+100</f>
        <v>101</v>
      </c>
      <c r="K34" s="613"/>
      <c r="L34" s="1141"/>
      <c r="M34" s="1144"/>
      <c r="N34" s="1144"/>
      <c r="O34" s="1144"/>
      <c r="P34" s="3242"/>
      <c r="Q34" s="776" t="str">
        <f t="shared" si="11"/>
        <v>项目建筑规模</v>
      </c>
      <c r="R34" s="777" t="s">
        <v>17</v>
      </c>
      <c r="S34" s="778">
        <f t="shared" si="12"/>
        <v>98</v>
      </c>
      <c r="T34" s="777" t="s">
        <v>17</v>
      </c>
      <c r="U34" s="778">
        <f t="shared" si="13"/>
        <v>100</v>
      </c>
      <c r="V34" s="777" t="s">
        <v>17</v>
      </c>
      <c r="W34" s="778">
        <f t="shared" si="14"/>
        <v>101</v>
      </c>
      <c r="X34" s="779"/>
      <c r="Y34" s="3187"/>
      <c r="Z34" s="780" t="str">
        <f t="shared" si="15"/>
        <v>项目建筑规模</v>
      </c>
      <c r="AA34" s="1815">
        <f t="shared" si="3"/>
        <v>1.0204081632653061</v>
      </c>
      <c r="AB34" s="1815">
        <f t="shared" si="4"/>
        <v>1</v>
      </c>
      <c r="AC34" s="2678">
        <f t="shared" si="5"/>
        <v>0.99009900990099009</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2"/>
      <c r="Q35" s="1814" t="str">
        <f t="shared" si="11"/>
        <v>建筑结构</v>
      </c>
      <c r="R35" s="774" t="s">
        <v>17</v>
      </c>
      <c r="S35" s="775">
        <f t="shared" si="12"/>
        <v>100</v>
      </c>
      <c r="T35" s="774" t="s">
        <v>17</v>
      </c>
      <c r="U35" s="775">
        <f t="shared" si="13"/>
        <v>100</v>
      </c>
      <c r="V35" s="774" t="s">
        <v>17</v>
      </c>
      <c r="W35" s="775">
        <f t="shared" si="14"/>
        <v>100</v>
      </c>
      <c r="X35" s="1817"/>
      <c r="Y35" s="3187"/>
      <c r="Z35" s="1818" t="str">
        <f t="shared" si="15"/>
        <v>建筑结构</v>
      </c>
      <c r="AA35" s="1815">
        <f t="shared" si="3"/>
        <v>1</v>
      </c>
      <c r="AB35" s="1815">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2"/>
      <c r="Q36" s="1814" t="str">
        <f t="shared" si="11"/>
        <v>公共部分装修</v>
      </c>
      <c r="R36" s="774" t="s">
        <v>17</v>
      </c>
      <c r="S36" s="775">
        <f t="shared" si="12"/>
        <v>100</v>
      </c>
      <c r="T36" s="774" t="s">
        <v>17</v>
      </c>
      <c r="U36" s="775">
        <f t="shared" si="13"/>
        <v>100</v>
      </c>
      <c r="V36" s="774" t="s">
        <v>17</v>
      </c>
      <c r="W36" s="775">
        <f t="shared" si="14"/>
        <v>100</v>
      </c>
      <c r="X36" s="1817"/>
      <c r="Y36" s="3187"/>
      <c r="Z36" s="1818" t="str">
        <f t="shared" si="15"/>
        <v>公共部分装修</v>
      </c>
      <c r="AA36" s="1815">
        <f t="shared" si="3"/>
        <v>1</v>
      </c>
      <c r="AB36" s="1815">
        <f t="shared" si="4"/>
        <v>1</v>
      </c>
      <c r="AC36" s="2678">
        <f t="shared" si="5"/>
        <v>1</v>
      </c>
    </row>
    <row r="37" spans="1:29" ht="15">
      <c r="A37" s="472"/>
      <c r="B37" s="422" t="s">
        <v>2661</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42"/>
      <c r="Q37" s="1814" t="str">
        <f t="shared" si="11"/>
        <v>成新度</v>
      </c>
      <c r="R37" s="774" t="s">
        <v>17</v>
      </c>
      <c r="S37" s="775">
        <f t="shared" si="12"/>
        <v>100</v>
      </c>
      <c r="T37" s="774" t="s">
        <v>17</v>
      </c>
      <c r="U37" s="775">
        <f t="shared" si="13"/>
        <v>100</v>
      </c>
      <c r="V37" s="774" t="s">
        <v>17</v>
      </c>
      <c r="W37" s="775">
        <f t="shared" si="14"/>
        <v>100</v>
      </c>
      <c r="X37" s="1817"/>
      <c r="Y37" s="3187"/>
      <c r="Z37" s="1818" t="str">
        <f t="shared" si="15"/>
        <v>成新度</v>
      </c>
      <c r="AA37" s="1815">
        <f t="shared" si="3"/>
        <v>1</v>
      </c>
      <c r="AB37" s="1815">
        <f t="shared" si="4"/>
        <v>1</v>
      </c>
      <c r="AC37" s="2678">
        <f t="shared" si="5"/>
        <v>1</v>
      </c>
    </row>
    <row r="38" spans="1:29" s="116" customFormat="1" ht="15">
      <c r="A38" s="473"/>
      <c r="B38" s="422" t="s">
        <v>2693</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2"/>
      <c r="Q38" s="1799"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2" t="s">
        <v>2564</v>
      </c>
      <c r="Q39" s="1814" t="str">
        <f t="shared" si="11"/>
        <v>物业管理</v>
      </c>
      <c r="R39" s="774" t="s">
        <v>17</v>
      </c>
      <c r="S39" s="775">
        <f t="shared" si="12"/>
        <v>100</v>
      </c>
      <c r="T39" s="774" t="s">
        <v>17</v>
      </c>
      <c r="U39" s="775">
        <f t="shared" si="13"/>
        <v>100</v>
      </c>
      <c r="V39" s="774" t="s">
        <v>17</v>
      </c>
      <c r="W39" s="775">
        <f t="shared" si="14"/>
        <v>100</v>
      </c>
      <c r="X39" s="1817"/>
      <c r="Y39" s="3187" t="s">
        <v>2564</v>
      </c>
      <c r="Z39" s="1818" t="str">
        <f t="shared" si="15"/>
        <v>物业管理</v>
      </c>
      <c r="AA39" s="1815">
        <f t="shared" si="3"/>
        <v>1</v>
      </c>
      <c r="AB39" s="1815">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2"/>
      <c r="Q40" s="1814" t="str">
        <f t="shared" si="11"/>
        <v>市政基础设施</v>
      </c>
      <c r="R40" s="774" t="s">
        <v>17</v>
      </c>
      <c r="S40" s="775">
        <f t="shared" si="12"/>
        <v>100</v>
      </c>
      <c r="T40" s="774" t="s">
        <v>17</v>
      </c>
      <c r="U40" s="775">
        <f t="shared" si="13"/>
        <v>100</v>
      </c>
      <c r="V40" s="774" t="s">
        <v>17</v>
      </c>
      <c r="W40" s="775">
        <f t="shared" si="14"/>
        <v>100</v>
      </c>
      <c r="X40" s="1817"/>
      <c r="Y40" s="3187"/>
      <c r="Z40" s="1818" t="str">
        <f t="shared" si="15"/>
        <v>市政基础设施</v>
      </c>
      <c r="AA40" s="1815">
        <f t="shared" si="3"/>
        <v>1</v>
      </c>
      <c r="AB40" s="1815">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2"/>
      <c r="Q41" s="1814" t="str">
        <f t="shared" si="11"/>
        <v>层高</v>
      </c>
      <c r="R41" s="774" t="s">
        <v>17</v>
      </c>
      <c r="S41" s="775">
        <f t="shared" si="12"/>
        <v>100</v>
      </c>
      <c r="T41" s="774" t="s">
        <v>17</v>
      </c>
      <c r="U41" s="775">
        <f t="shared" si="13"/>
        <v>100</v>
      </c>
      <c r="V41" s="774" t="s">
        <v>17</v>
      </c>
      <c r="W41" s="775">
        <f t="shared" si="14"/>
        <v>100</v>
      </c>
      <c r="X41" s="1817"/>
      <c r="Y41" s="3187"/>
      <c r="Z41" s="1818" t="str">
        <f t="shared" si="15"/>
        <v>层高</v>
      </c>
      <c r="AA41" s="1815">
        <f t="shared" si="3"/>
        <v>1</v>
      </c>
      <c r="AB41" s="1815">
        <f t="shared" si="4"/>
        <v>1</v>
      </c>
      <c r="AC41" s="2678">
        <f t="shared" si="5"/>
        <v>1</v>
      </c>
    </row>
    <row r="42" spans="1:29" s="471" customFormat="1" ht="15">
      <c r="A42" s="468"/>
      <c r="B42" s="1816"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2"/>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5">
        <f t="shared" si="3"/>
        <v>1</v>
      </c>
      <c r="AB42" s="1815">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2"/>
      <c r="Q43" s="1814" t="str">
        <f t="shared" si="11"/>
        <v>内部装修</v>
      </c>
      <c r="R43" s="774" t="s">
        <v>17</v>
      </c>
      <c r="S43" s="775">
        <f t="shared" si="12"/>
        <v>100</v>
      </c>
      <c r="T43" s="774" t="s">
        <v>17</v>
      </c>
      <c r="U43" s="775">
        <f t="shared" si="13"/>
        <v>100</v>
      </c>
      <c r="V43" s="774" t="s">
        <v>17</v>
      </c>
      <c r="W43" s="775">
        <f t="shared" si="14"/>
        <v>100</v>
      </c>
      <c r="X43" s="1817"/>
      <c r="Y43" s="3187"/>
      <c r="Z43" s="1818" t="str">
        <f t="shared" si="15"/>
        <v>内部装修</v>
      </c>
      <c r="AA43" s="1815">
        <f t="shared" si="3"/>
        <v>1</v>
      </c>
      <c r="AB43" s="1815">
        <f t="shared" si="4"/>
        <v>1</v>
      </c>
      <c r="AC43" s="2678">
        <f t="shared" si="5"/>
        <v>1</v>
      </c>
    </row>
    <row r="44" spans="1:29" ht="15.75" thickBot="1">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2"/>
      <c r="Q44" s="1814" t="str">
        <f t="shared" si="11"/>
        <v>内部装修维护情况</v>
      </c>
      <c r="R44" s="774" t="s">
        <v>17</v>
      </c>
      <c r="S44" s="775">
        <f t="shared" si="12"/>
        <v>100</v>
      </c>
      <c r="T44" s="774" t="s">
        <v>17</v>
      </c>
      <c r="U44" s="775">
        <f t="shared" si="13"/>
        <v>100</v>
      </c>
      <c r="V44" s="774" t="s">
        <v>17</v>
      </c>
      <c r="W44" s="775">
        <f t="shared" si="14"/>
        <v>100</v>
      </c>
      <c r="X44" s="1817"/>
      <c r="Y44" s="3187"/>
      <c r="Z44" s="1818" t="str">
        <f t="shared" si="15"/>
        <v>内部装修维护情况</v>
      </c>
      <c r="AA44" s="1815">
        <f t="shared" si="3"/>
        <v>1</v>
      </c>
      <c r="AB44" s="1815">
        <f t="shared" si="4"/>
        <v>1</v>
      </c>
      <c r="AC44" s="2678">
        <f t="shared" si="5"/>
        <v>1</v>
      </c>
    </row>
    <row r="45" spans="1:29" s="116" customFormat="1" ht="15" hidden="1">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2"/>
      <c r="Q45" s="1799">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5">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2"/>
      <c r="Q46" s="1814">
        <f t="shared" si="11"/>
        <v>111</v>
      </c>
      <c r="R46" s="774" t="s">
        <v>17</v>
      </c>
      <c r="S46" s="775">
        <f t="shared" si="12"/>
        <v>100</v>
      </c>
      <c r="T46" s="774" t="s">
        <v>17</v>
      </c>
      <c r="U46" s="775">
        <f t="shared" si="13"/>
        <v>100</v>
      </c>
      <c r="V46" s="774" t="s">
        <v>17</v>
      </c>
      <c r="W46" s="775">
        <f t="shared" si="14"/>
        <v>100</v>
      </c>
      <c r="X46" s="1817"/>
      <c r="Y46" s="3187"/>
      <c r="Z46" s="1818">
        <f t="shared" si="15"/>
        <v>111</v>
      </c>
      <c r="AA46" s="1815">
        <f t="shared" si="3"/>
        <v>1</v>
      </c>
      <c r="AB46" s="1815">
        <f t="shared" si="4"/>
        <v>1</v>
      </c>
      <c r="AC46" s="2678">
        <f t="shared" si="5"/>
        <v>1</v>
      </c>
    </row>
    <row r="47" spans="1:29" ht="15.75" hidden="1"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3"/>
      <c r="Q47" s="1814">
        <f t="shared" si="11"/>
        <v>111</v>
      </c>
      <c r="R47" s="774" t="s">
        <v>17</v>
      </c>
      <c r="S47" s="775">
        <f t="shared" si="12"/>
        <v>100</v>
      </c>
      <c r="T47" s="774" t="s">
        <v>17</v>
      </c>
      <c r="U47" s="775">
        <f t="shared" si="13"/>
        <v>100</v>
      </c>
      <c r="V47" s="774" t="s">
        <v>17</v>
      </c>
      <c r="W47" s="775">
        <f t="shared" si="14"/>
        <v>100</v>
      </c>
      <c r="X47" s="1817"/>
      <c r="Y47" s="3188"/>
      <c r="Z47" s="1818">
        <f t="shared" si="15"/>
        <v>111</v>
      </c>
      <c r="AA47" s="1815">
        <f t="shared" si="3"/>
        <v>1</v>
      </c>
      <c r="AB47" s="1815">
        <f t="shared" si="4"/>
        <v>1</v>
      </c>
      <c r="AC47" s="2678">
        <f t="shared" si="5"/>
        <v>1</v>
      </c>
    </row>
    <row r="48" spans="1:29" ht="15">
      <c r="A48" s="479" t="s">
        <v>2576</v>
      </c>
      <c r="B48" s="480"/>
      <c r="C48" s="1410" t="s">
        <v>1</v>
      </c>
      <c r="D48" s="1411"/>
      <c r="E48" s="1412">
        <v>2.5</v>
      </c>
      <c r="F48" s="1413"/>
      <c r="G48" s="1414">
        <v>2.6</v>
      </c>
      <c r="H48" s="1415"/>
      <c r="I48" s="1412">
        <v>3</v>
      </c>
      <c r="J48" s="485"/>
      <c r="K48" s="783"/>
      <c r="L48" s="1146"/>
      <c r="M48" s="1134"/>
      <c r="N48" s="1134"/>
      <c r="O48" s="1134"/>
      <c r="P48" s="3246" t="str">
        <f>A48</f>
        <v>成交单价（元/平方米）</v>
      </c>
      <c r="Q48" s="3179"/>
      <c r="R48" s="3180">
        <f>E48</f>
        <v>2.5</v>
      </c>
      <c r="S48" s="3180"/>
      <c r="T48" s="3180">
        <f>G48</f>
        <v>2.6</v>
      </c>
      <c r="U48" s="3180"/>
      <c r="V48" s="3180">
        <f>I48</f>
        <v>3</v>
      </c>
      <c r="W48" s="3180"/>
      <c r="X48" s="446"/>
      <c r="Y48" s="781"/>
      <c r="Z48" s="446"/>
      <c r="AA48" s="446"/>
      <c r="AB48" s="446"/>
      <c r="AC48" s="630"/>
    </row>
    <row r="49" spans="1:29" ht="15.75" thickBot="1">
      <c r="A49" s="486" t="s">
        <v>2668</v>
      </c>
      <c r="B49" s="487"/>
      <c r="C49" s="1416">
        <f>R50</f>
        <v>2.6</v>
      </c>
      <c r="D49" s="1417"/>
      <c r="E49" s="1418">
        <f>R49</f>
        <v>2.4</v>
      </c>
      <c r="F49" s="1418"/>
      <c r="G49" s="1416">
        <f>T49</f>
        <v>2.5</v>
      </c>
      <c r="H49" s="1417"/>
      <c r="I49" s="1418">
        <f>V49</f>
        <v>2.8</v>
      </c>
      <c r="J49" s="489"/>
      <c r="K49" s="784"/>
      <c r="L49" s="1146"/>
      <c r="M49" s="1134"/>
      <c r="N49" s="1134"/>
      <c r="O49" s="1134"/>
      <c r="P49" s="3246" t="str">
        <f>A49</f>
        <v>比较价值（元/平方米）</v>
      </c>
      <c r="Q49" s="3179"/>
      <c r="R49" s="3180">
        <f>IF(F1="售价",ROUND(PRODUCT(R48,AA7:AA47),0),ROUND(PRODUCT(R48,AA7:AA47),1))</f>
        <v>2.4</v>
      </c>
      <c r="S49" s="3180"/>
      <c r="T49" s="3180">
        <f>IF(F1="售价",ROUND(PRODUCT(T48,AB7:AB47),0),ROUND(PRODUCT(T48,AB7:AB47),1))</f>
        <v>2.5</v>
      </c>
      <c r="U49" s="3180"/>
      <c r="V49" s="3180">
        <f>IF(F1="售价",ROUND(PRODUCT(V48,AC7:AC47),0),ROUND(PRODUCT(V48,AC7:AC47),1))</f>
        <v>2.8</v>
      </c>
      <c r="W49" s="3180"/>
      <c r="X49" s="446"/>
      <c r="Y49" s="446"/>
      <c r="Z49" s="446"/>
      <c r="AA49" s="446"/>
      <c r="AB49" s="446"/>
      <c r="AC49" s="630"/>
    </row>
    <row r="50" spans="1:29" ht="15.75" thickBot="1">
      <c r="A50" s="492" t="s">
        <v>2669</v>
      </c>
      <c r="B50" s="493"/>
      <c r="C50" s="1420">
        <f>R50</f>
        <v>2.6</v>
      </c>
      <c r="D50" s="1420"/>
      <c r="E50" s="1420"/>
      <c r="F50" s="1420"/>
      <c r="G50" s="1420"/>
      <c r="H50" s="1420"/>
      <c r="I50" s="1420"/>
      <c r="J50" s="494"/>
      <c r="K50" s="785"/>
      <c r="L50" s="1146"/>
      <c r="M50" s="1134"/>
      <c r="N50" s="1134"/>
      <c r="O50" s="1134"/>
      <c r="P50" s="3247" t="str">
        <f>A50</f>
        <v>估价对象XX用房的比较价值（楼面单价，元/平方米）</v>
      </c>
      <c r="Q50" s="3248"/>
      <c r="R50" s="3249">
        <f>IF(F1="售价",ROUND(AVERAGE(R49:V49),0),ROUND(AVERAGE(R49:V49),1))</f>
        <v>2.6</v>
      </c>
      <c r="S50" s="3249"/>
      <c r="T50" s="3249"/>
      <c r="U50" s="3249"/>
      <c r="V50" s="3249"/>
      <c r="W50" s="324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f>IF(E48&lt;E49,E49/E48-1,E48/E49-1)</f>
        <v>4.1666666666666741E-2</v>
      </c>
      <c r="F53" s="500" t="str">
        <f>IF(OR(E53&gt;=0.3,E53&lt;=-0.3),"超过30%","")</f>
        <v/>
      </c>
      <c r="G53" s="499">
        <f>IF(G48&lt;G49,G49/G48-1,G48/G49-1)</f>
        <v>4.0000000000000036E-2</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2671</v>
      </c>
      <c r="D54" s="501"/>
      <c r="E54" s="499">
        <f>IF(E49&lt;G49,G49/E49-1,E49/G49-1)</f>
        <v>4.1666666666666741E-2</v>
      </c>
      <c r="F54" s="500" t="str">
        <f>IF(OR(E54&gt;=0.2,E54&lt;=-0.2),"超过20%","")</f>
        <v/>
      </c>
      <c r="G54" s="499">
        <f>IF(G49&lt;I49,I49/G49-1,G49/I49-1)</f>
        <v>0.11999999999999988</v>
      </c>
      <c r="H54" s="500" t="str">
        <f>IF(OR(G54&gt;=0.2,G54&lt;=-0.2),"超过20%","")</f>
        <v/>
      </c>
      <c r="I54" s="499">
        <f>IF(I49&lt;E49,E49/I49-1,I49/E49-1)</f>
        <v>0.16666666666666674</v>
      </c>
      <c r="J54" s="500" t="str">
        <f>IF(OR(I54&gt;=0.2,I54&lt;=-0.2),"超过20%","")</f>
        <v/>
      </c>
      <c r="K54" s="1108"/>
      <c r="L54" s="1109"/>
      <c r="M54" s="1147"/>
      <c r="N54" s="1147"/>
      <c r="O54" s="1147"/>
    </row>
    <row r="55" spans="1:29" s="502" customFormat="1" ht="13.5" customHeight="1">
      <c r="A55" s="1148"/>
      <c r="B55" s="1148"/>
      <c r="C55" s="497" t="s">
        <v>2672</v>
      </c>
      <c r="D55" s="501"/>
      <c r="E55" s="499">
        <f>IF(E48&lt;G48,G48/E48-1,E48/G48-1)</f>
        <v>4.0000000000000036E-2</v>
      </c>
      <c r="F55" s="500" t="str">
        <f>IF(OR(E55&gt;=0.3,E55&lt;=-0.3),"超过30%","")</f>
        <v/>
      </c>
      <c r="G55" s="499">
        <f>IF(G48&lt;I48,I48/G48-1,G48/I48-1)</f>
        <v>0.15384615384615374</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c r="E60" s="512"/>
      <c r="F60" s="512"/>
      <c r="G60" s="512"/>
      <c r="H60" s="512"/>
      <c r="I60" s="512"/>
      <c r="J60" s="512"/>
      <c r="K60" s="512"/>
      <c r="L60" s="512"/>
      <c r="M60" s="513"/>
      <c r="N60" s="512"/>
      <c r="O60" s="513"/>
      <c r="P60" s="2686"/>
    </row>
    <row r="61" spans="1:29" s="116" customFormat="1" ht="15.75" thickBot="1">
      <c r="A61" s="515" t="s">
        <v>2584</v>
      </c>
      <c r="B61" s="516"/>
      <c r="C61" s="517"/>
      <c r="D61" s="518"/>
      <c r="E61" s="518"/>
      <c r="F61" s="518"/>
      <c r="G61" s="518"/>
      <c r="H61" s="518"/>
      <c r="I61" s="518"/>
      <c r="J61" s="518"/>
      <c r="K61" s="518"/>
      <c r="L61" s="518"/>
      <c r="M61" s="519"/>
      <c r="N61" s="518"/>
      <c r="O61" s="519"/>
      <c r="P61" s="2686"/>
      <c r="Q61" s="504"/>
    </row>
    <row r="62" spans="1:29" s="116" customFormat="1" ht="15">
      <c r="A62" s="521" t="s">
        <v>2549</v>
      </c>
      <c r="B62" s="510"/>
      <c r="C62" s="522" t="s">
        <v>2651</v>
      </c>
      <c r="D62" s="523"/>
      <c r="E62" s="523"/>
      <c r="F62" s="523"/>
      <c r="G62" s="523"/>
      <c r="H62" s="523"/>
      <c r="I62" s="523"/>
      <c r="J62" s="523"/>
      <c r="K62" s="523"/>
      <c r="L62" s="524"/>
      <c r="M62" s="525"/>
      <c r="N62" s="1154"/>
      <c r="O62" s="1154"/>
      <c r="P62" s="2687"/>
      <c r="Q62" s="504"/>
    </row>
    <row r="63" spans="1:29" s="116"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t="str">
        <f>C9</f>
        <v>配套办公</v>
      </c>
      <c r="D64" s="2951" t="s">
        <v>3097</v>
      </c>
      <c r="E64" s="530"/>
      <c r="F64" s="530"/>
      <c r="G64" s="530"/>
      <c r="H64" s="530"/>
      <c r="I64" s="530"/>
      <c r="J64" s="530"/>
      <c r="K64" s="531"/>
      <c r="L64" s="532"/>
      <c r="M64" s="533"/>
      <c r="N64" s="1155"/>
      <c r="O64" s="1155"/>
      <c r="P64" s="2688"/>
      <c r="Q64" s="504"/>
    </row>
    <row r="65" spans="1:17" ht="15.75" thickBot="1">
      <c r="A65" s="534"/>
      <c r="B65" s="535"/>
      <c r="C65" s="536">
        <v>100</v>
      </c>
      <c r="D65" s="536">
        <v>105</v>
      </c>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8"/>
      <c r="Q68" s="504"/>
    </row>
    <row r="69" spans="1:17" ht="15">
      <c r="A69" s="534"/>
      <c r="B69" s="548"/>
      <c r="C69" s="549">
        <v>0</v>
      </c>
      <c r="D69" s="549">
        <v>1</v>
      </c>
      <c r="E69" s="549">
        <v>2</v>
      </c>
      <c r="F69" s="549">
        <v>3</v>
      </c>
      <c r="G69" s="549">
        <v>4</v>
      </c>
      <c r="H69" s="549">
        <v>5</v>
      </c>
      <c r="I69" s="549">
        <v>6</v>
      </c>
      <c r="J69" s="549">
        <v>7</v>
      </c>
      <c r="K69" s="550">
        <v>8</v>
      </c>
      <c r="L69" s="550">
        <v>9</v>
      </c>
      <c r="M69" s="552">
        <v>10</v>
      </c>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6" customFormat="1" ht="27.75" thickTop="1">
      <c r="A87" s="579"/>
      <c r="B87" s="538" t="s">
        <v>2698</v>
      </c>
      <c r="C87" s="554"/>
      <c r="D87" s="554"/>
      <c r="E87" s="554"/>
      <c r="F87" s="554"/>
      <c r="G87" s="554"/>
      <c r="H87" s="554"/>
      <c r="I87" s="554"/>
      <c r="J87" s="554"/>
      <c r="K87" s="554"/>
      <c r="L87" s="580"/>
      <c r="M87" s="581"/>
      <c r="N87" s="1154"/>
      <c r="O87" s="1154"/>
      <c r="P87" s="2688"/>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6"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0(含)-300</v>
      </c>
      <c r="D103" s="578" t="str">
        <f t="shared" ref="D103:L103" si="23">D104&amp;"(含)"&amp;"-"&amp;E104</f>
        <v>300(含)-600</v>
      </c>
      <c r="E103" s="578" t="str">
        <f t="shared" si="23"/>
        <v>600(含)-900</v>
      </c>
      <c r="F103" s="578" t="str">
        <f t="shared" si="23"/>
        <v>900(含)-1200</v>
      </c>
      <c r="G103" s="578" t="str">
        <f t="shared" si="23"/>
        <v>1200(含)-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c r="I104" s="595"/>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26"/>
      <c r="F1" s="2588"/>
      <c r="G1" s="1627" t="s">
        <v>2642</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190" t="s">
        <v>2647</v>
      </c>
      <c r="AC4" s="3189" t="s">
        <v>2648</v>
      </c>
    </row>
    <row r="5" spans="1:29"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190"/>
      <c r="AC5" s="3190"/>
    </row>
    <row r="6" spans="1:29" ht="15.7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7"/>
      <c r="Y6" s="3206"/>
      <c r="Z6" s="3207"/>
      <c r="AA6" s="3191"/>
      <c r="AB6" s="3191"/>
      <c r="AC6" s="3191"/>
    </row>
    <row r="7" spans="1:29" s="116" customFormat="1" ht="15.75" thickBot="1">
      <c r="A7" s="408" t="s">
        <v>2547</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3" t="s">
        <v>2548</v>
      </c>
      <c r="Q7" s="3215"/>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6"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6" si="3">D8/F8</f>
        <v>#DIV/0!</v>
      </c>
      <c r="AB8" s="773" t="e">
        <f t="shared" ref="AB8:AB36" si="4">D8/H8</f>
        <v>#DIV/0!</v>
      </c>
      <c r="AC8" s="773" t="e">
        <f t="shared" ref="AC8:AC36" si="5">D8/J8</f>
        <v>#DIV/0!</v>
      </c>
    </row>
    <row r="9" spans="1:29" s="116" customFormat="1">
      <c r="A9" s="68" t="s">
        <v>2552</v>
      </c>
      <c r="B9" s="640" t="s">
        <v>2553</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179" t="s">
        <v>2554</v>
      </c>
      <c r="Q9" s="1799" t="str">
        <f t="shared" ref="Q9:Q14" si="6">B9</f>
        <v>用途</v>
      </c>
      <c r="R9" s="770" t="s">
        <v>17</v>
      </c>
      <c r="S9" s="771">
        <f t="shared" si="0"/>
        <v>100</v>
      </c>
      <c r="T9" s="770" t="s">
        <v>17</v>
      </c>
      <c r="U9" s="771">
        <f t="shared" si="1"/>
        <v>100</v>
      </c>
      <c r="V9" s="770" t="s">
        <v>17</v>
      </c>
      <c r="W9" s="771">
        <f t="shared" si="2"/>
        <v>100</v>
      </c>
      <c r="X9" s="772"/>
      <c r="Y9" s="3008" t="s">
        <v>2555</v>
      </c>
      <c r="Z9" s="55" t="str">
        <f t="shared" ref="Z9:Z14" si="7">Q9</f>
        <v>用途</v>
      </c>
      <c r="AA9" s="773">
        <f t="shared" si="3"/>
        <v>1</v>
      </c>
      <c r="AB9" s="773">
        <f t="shared" si="4"/>
        <v>1</v>
      </c>
      <c r="AC9" s="773">
        <f t="shared" si="5"/>
        <v>1</v>
      </c>
    </row>
    <row r="10" spans="1:29" s="427" customFormat="1" ht="27">
      <c r="A10" s="641"/>
      <c r="B10" s="642" t="s">
        <v>2556</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179"/>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179"/>
      <c r="Q11" s="1799">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179"/>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179"/>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4" t="s">
        <v>2559</v>
      </c>
      <c r="Q14" s="1814" t="str">
        <f t="shared" si="6"/>
        <v>交通便捷度</v>
      </c>
      <c r="R14" s="774" t="s">
        <v>17</v>
      </c>
      <c r="S14" s="775">
        <f t="shared" si="0"/>
        <v>100</v>
      </c>
      <c r="T14" s="774" t="s">
        <v>17</v>
      </c>
      <c r="U14" s="775">
        <f t="shared" si="1"/>
        <v>100</v>
      </c>
      <c r="V14" s="774" t="s">
        <v>17</v>
      </c>
      <c r="W14" s="775">
        <f t="shared" si="2"/>
        <v>100</v>
      </c>
      <c r="X14" s="1817"/>
      <c r="Y14" s="3184" t="s">
        <v>2559</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85"/>
      <c r="Q15" s="1814"/>
      <c r="R15" s="774"/>
      <c r="S15" s="775"/>
      <c r="T15" s="774"/>
      <c r="U15" s="775"/>
      <c r="V15" s="774"/>
      <c r="W15" s="775"/>
      <c r="X15" s="1817"/>
      <c r="Y15" s="3185"/>
      <c r="Z15" s="1818"/>
      <c r="AA15" s="1815">
        <v>1</v>
      </c>
      <c r="AB15" s="1815">
        <v>1</v>
      </c>
      <c r="AC15" s="1815">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5"/>
      <c r="Q16" s="1814" t="str">
        <f>B16</f>
        <v>公共配套设施</v>
      </c>
      <c r="R16" s="774" t="s">
        <v>17</v>
      </c>
      <c r="S16" s="775">
        <f>F16</f>
        <v>100</v>
      </c>
      <c r="T16" s="774" t="s">
        <v>17</v>
      </c>
      <c r="U16" s="775">
        <f>H16</f>
        <v>100</v>
      </c>
      <c r="V16" s="774" t="s">
        <v>17</v>
      </c>
      <c r="W16" s="775">
        <f>J16</f>
        <v>100</v>
      </c>
      <c r="X16" s="1817"/>
      <c r="Y16" s="3185"/>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85"/>
      <c r="Q17" s="1814"/>
      <c r="R17" s="774"/>
      <c r="S17" s="775"/>
      <c r="T17" s="774"/>
      <c r="U17" s="775"/>
      <c r="V17" s="774"/>
      <c r="W17" s="775"/>
      <c r="X17" s="1817"/>
      <c r="Y17" s="3185"/>
      <c r="Z17" s="1818"/>
      <c r="AA17" s="1815">
        <v>1</v>
      </c>
      <c r="AB17" s="1815">
        <v>1</v>
      </c>
      <c r="AC17" s="1815">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5"/>
      <c r="Q18" s="1814" t="str">
        <f>B18</f>
        <v>基础设施水平</v>
      </c>
      <c r="R18" s="774" t="s">
        <v>17</v>
      </c>
      <c r="S18" s="775">
        <f>F18</f>
        <v>100</v>
      </c>
      <c r="T18" s="774" t="s">
        <v>17</v>
      </c>
      <c r="U18" s="775">
        <f>H18</f>
        <v>100</v>
      </c>
      <c r="V18" s="774" t="s">
        <v>17</v>
      </c>
      <c r="W18" s="775">
        <f>J18</f>
        <v>100</v>
      </c>
      <c r="X18" s="1817"/>
      <c r="Y18" s="3185"/>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85"/>
      <c r="Q19" s="1814"/>
      <c r="R19" s="774"/>
      <c r="S19" s="775"/>
      <c r="T19" s="774"/>
      <c r="U19" s="775"/>
      <c r="V19" s="774"/>
      <c r="W19" s="775"/>
      <c r="X19" s="1817"/>
      <c r="Y19" s="3185"/>
      <c r="Z19" s="1818"/>
      <c r="AA19" s="1815">
        <v>1</v>
      </c>
      <c r="AB19" s="1815">
        <v>1</v>
      </c>
      <c r="AC19" s="1815">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5"/>
      <c r="Q20" s="1814" t="str">
        <f>B20</f>
        <v>自然及人文环境</v>
      </c>
      <c r="R20" s="774" t="s">
        <v>17</v>
      </c>
      <c r="S20" s="775">
        <f>F20</f>
        <v>100</v>
      </c>
      <c r="T20" s="774" t="s">
        <v>17</v>
      </c>
      <c r="U20" s="775">
        <f>H20</f>
        <v>100</v>
      </c>
      <c r="V20" s="774" t="s">
        <v>17</v>
      </c>
      <c r="W20" s="775">
        <f>J20</f>
        <v>100</v>
      </c>
      <c r="X20" s="1817"/>
      <c r="Y20" s="3185"/>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85"/>
      <c r="Q21" s="1814"/>
      <c r="R21" s="774"/>
      <c r="S21" s="775"/>
      <c r="T21" s="774"/>
      <c r="U21" s="775"/>
      <c r="V21" s="774"/>
      <c r="W21" s="775"/>
      <c r="X21" s="1817"/>
      <c r="Y21" s="3185"/>
      <c r="Z21" s="1818"/>
      <c r="AA21" s="1815">
        <v>1</v>
      </c>
      <c r="AB21" s="1815">
        <v>1</v>
      </c>
      <c r="AC21" s="1815">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5"/>
      <c r="Q22" s="1814" t="str">
        <f>B22</f>
        <v>楼层</v>
      </c>
      <c r="R22" s="774" t="s">
        <v>17</v>
      </c>
      <c r="S22" s="775">
        <f>F22</f>
        <v>100</v>
      </c>
      <c r="T22" s="774" t="s">
        <v>17</v>
      </c>
      <c r="U22" s="775">
        <f>H22</f>
        <v>100</v>
      </c>
      <c r="V22" s="774" t="s">
        <v>17</v>
      </c>
      <c r="W22" s="775">
        <f>J22</f>
        <v>100</v>
      </c>
      <c r="X22" s="1817"/>
      <c r="Y22" s="3185"/>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5"/>
      <c r="Q23" s="1814">
        <f>B23</f>
        <v>111</v>
      </c>
      <c r="R23" s="774" t="s">
        <v>17</v>
      </c>
      <c r="S23" s="775">
        <f>F23</f>
        <v>100</v>
      </c>
      <c r="T23" s="774" t="s">
        <v>17</v>
      </c>
      <c r="U23" s="775">
        <f>H23</f>
        <v>100</v>
      </c>
      <c r="V23" s="774" t="s">
        <v>17</v>
      </c>
      <c r="W23" s="775">
        <f>J23</f>
        <v>100</v>
      </c>
      <c r="X23" s="1817"/>
      <c r="Y23" s="3185"/>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5"/>
      <c r="Q24" s="1814">
        <f t="shared" ref="Q24:Q36" si="11">B24</f>
        <v>111</v>
      </c>
      <c r="R24" s="774" t="s">
        <v>17</v>
      </c>
      <c r="S24" s="775">
        <f>F24</f>
        <v>100</v>
      </c>
      <c r="T24" s="774" t="s">
        <v>17</v>
      </c>
      <c r="U24" s="775">
        <f>H24</f>
        <v>100</v>
      </c>
      <c r="V24" s="774" t="s">
        <v>17</v>
      </c>
      <c r="W24" s="775">
        <f>J24</f>
        <v>100</v>
      </c>
      <c r="X24" s="1817"/>
      <c r="Y24" s="3185"/>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5"/>
      <c r="Q25" s="1799">
        <f t="shared" si="11"/>
        <v>111</v>
      </c>
      <c r="R25" s="770" t="s">
        <v>17</v>
      </c>
      <c r="S25" s="771">
        <f>F25</f>
        <v>100</v>
      </c>
      <c r="T25" s="770" t="s">
        <v>17</v>
      </c>
      <c r="U25" s="771">
        <f>H25</f>
        <v>100</v>
      </c>
      <c r="V25" s="770" t="s">
        <v>17</v>
      </c>
      <c r="W25" s="771">
        <f>J25</f>
        <v>100</v>
      </c>
      <c r="X25" s="772"/>
      <c r="Y25" s="3185"/>
      <c r="Z25" s="55">
        <f>Q25</f>
        <v>111</v>
      </c>
      <c r="AA25" s="1815">
        <f>D25/F25</f>
        <v>1</v>
      </c>
      <c r="AB25" s="1815">
        <f>D25/H25</f>
        <v>1</v>
      </c>
      <c r="AC25" s="1815">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6" t="s">
        <v>2564</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87" t="s">
        <v>2564</v>
      </c>
      <c r="Z26" s="1818" t="str">
        <f t="shared" ref="Z26:Z36" si="15">Q26</f>
        <v>配套类型</v>
      </c>
      <c r="AA26" s="1815">
        <f t="shared" si="3"/>
        <v>1</v>
      </c>
      <c r="AB26" s="1815">
        <f t="shared" si="4"/>
        <v>1</v>
      </c>
      <c r="AC26" s="1815">
        <f t="shared" si="5"/>
        <v>1</v>
      </c>
    </row>
    <row r="27" spans="1:29" s="471" customFormat="1" ht="15">
      <c r="A27" s="653"/>
      <c r="B27" s="654" t="s">
        <v>2712</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5">
        <f t="shared" si="3"/>
        <v>1</v>
      </c>
      <c r="AB27" s="1815">
        <f t="shared" si="4"/>
        <v>1</v>
      </c>
      <c r="AC27" s="1815">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7"/>
      <c r="Q28" s="1814" t="str">
        <f t="shared" si="11"/>
        <v>公共部分装修</v>
      </c>
      <c r="R28" s="774" t="s">
        <v>17</v>
      </c>
      <c r="S28" s="775">
        <f t="shared" si="12"/>
        <v>100</v>
      </c>
      <c r="T28" s="774" t="s">
        <v>17</v>
      </c>
      <c r="U28" s="775">
        <f t="shared" si="13"/>
        <v>100</v>
      </c>
      <c r="V28" s="774" t="s">
        <v>17</v>
      </c>
      <c r="W28" s="775">
        <f t="shared" si="14"/>
        <v>100</v>
      </c>
      <c r="X28" s="1817"/>
      <c r="Y28" s="3187"/>
      <c r="Z28" s="1818" t="str">
        <f t="shared" si="15"/>
        <v>公共部分装修</v>
      </c>
      <c r="AA28" s="1815">
        <f t="shared" si="3"/>
        <v>1</v>
      </c>
      <c r="AB28" s="1815">
        <f t="shared" si="4"/>
        <v>1</v>
      </c>
      <c r="AC28" s="1815">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7"/>
      <c r="Q29" s="1814" t="str">
        <f t="shared" si="11"/>
        <v>成新率</v>
      </c>
      <c r="R29" s="774" t="s">
        <v>17</v>
      </c>
      <c r="S29" s="775" t="e">
        <f t="shared" si="12"/>
        <v>#N/A</v>
      </c>
      <c r="T29" s="774" t="s">
        <v>17</v>
      </c>
      <c r="U29" s="775" t="e">
        <f t="shared" si="13"/>
        <v>#N/A</v>
      </c>
      <c r="V29" s="774" t="s">
        <v>17</v>
      </c>
      <c r="W29" s="775" t="e">
        <f t="shared" si="14"/>
        <v>#N/A</v>
      </c>
      <c r="X29" s="1817"/>
      <c r="Y29" s="3187"/>
      <c r="Z29" s="1818" t="str">
        <f t="shared" si="15"/>
        <v>成新率</v>
      </c>
      <c r="AA29" s="1815" t="e">
        <f t="shared" si="3"/>
        <v>#N/A</v>
      </c>
      <c r="AB29" s="1815" t="e">
        <f t="shared" si="4"/>
        <v>#N/A</v>
      </c>
      <c r="AC29" s="1815"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7"/>
      <c r="Q30" s="1814" t="str">
        <f t="shared" si="11"/>
        <v>物业等级</v>
      </c>
      <c r="R30" s="774" t="s">
        <v>17</v>
      </c>
      <c r="S30" s="775">
        <f t="shared" si="12"/>
        <v>100</v>
      </c>
      <c r="T30" s="774" t="s">
        <v>17</v>
      </c>
      <c r="U30" s="775">
        <f t="shared" si="13"/>
        <v>100</v>
      </c>
      <c r="V30" s="774" t="s">
        <v>17</v>
      </c>
      <c r="W30" s="775">
        <f t="shared" si="14"/>
        <v>100</v>
      </c>
      <c r="X30" s="1817"/>
      <c r="Y30" s="3187"/>
      <c r="Z30" s="1818" t="str">
        <f t="shared" si="15"/>
        <v>物业等级</v>
      </c>
      <c r="AA30" s="1815">
        <f t="shared" si="3"/>
        <v>1</v>
      </c>
      <c r="AB30" s="1815">
        <f t="shared" si="4"/>
        <v>1</v>
      </c>
      <c r="AC30" s="1815">
        <f t="shared" si="5"/>
        <v>1</v>
      </c>
    </row>
    <row r="31" spans="1:29" s="116" customFormat="1" ht="15">
      <c r="A31" s="658"/>
      <c r="B31" s="654" t="s">
        <v>2716</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7"/>
      <c r="Q31" s="1799"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7" t="s">
        <v>2564</v>
      </c>
      <c r="Q32" s="1814" t="str">
        <f t="shared" si="11"/>
        <v>车位类型</v>
      </c>
      <c r="R32" s="774" t="s">
        <v>17</v>
      </c>
      <c r="S32" s="775">
        <f t="shared" si="12"/>
        <v>100</v>
      </c>
      <c r="T32" s="774" t="s">
        <v>17</v>
      </c>
      <c r="U32" s="775">
        <f t="shared" si="13"/>
        <v>100</v>
      </c>
      <c r="V32" s="774" t="s">
        <v>17</v>
      </c>
      <c r="W32" s="775">
        <f t="shared" si="14"/>
        <v>100</v>
      </c>
      <c r="X32" s="1817"/>
      <c r="Y32" s="3187" t="s">
        <v>2564</v>
      </c>
      <c r="Z32" s="1818" t="str">
        <f t="shared" si="15"/>
        <v>车位类型</v>
      </c>
      <c r="AA32" s="1815">
        <f t="shared" si="3"/>
        <v>1</v>
      </c>
      <c r="AB32" s="1815">
        <f t="shared" si="4"/>
        <v>1</v>
      </c>
      <c r="AC32" s="1815">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7"/>
      <c r="Q33" s="1814" t="str">
        <f t="shared" si="11"/>
        <v>是否直接入户</v>
      </c>
      <c r="R33" s="774" t="s">
        <v>17</v>
      </c>
      <c r="S33" s="775">
        <f t="shared" si="12"/>
        <v>100</v>
      </c>
      <c r="T33" s="774" t="s">
        <v>17</v>
      </c>
      <c r="U33" s="775">
        <f t="shared" si="13"/>
        <v>100</v>
      </c>
      <c r="V33" s="774" t="s">
        <v>17</v>
      </c>
      <c r="W33" s="775">
        <f t="shared" si="14"/>
        <v>100</v>
      </c>
      <c r="X33" s="1817"/>
      <c r="Y33" s="3187"/>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7"/>
      <c r="Q34" s="1814">
        <f t="shared" si="11"/>
        <v>111</v>
      </c>
      <c r="R34" s="774" t="s">
        <v>17</v>
      </c>
      <c r="S34" s="775">
        <f t="shared" si="12"/>
        <v>100</v>
      </c>
      <c r="T34" s="774" t="s">
        <v>17</v>
      </c>
      <c r="U34" s="775">
        <f t="shared" si="13"/>
        <v>100</v>
      </c>
      <c r="V34" s="774" t="s">
        <v>17</v>
      </c>
      <c r="W34" s="775">
        <f t="shared" si="14"/>
        <v>100</v>
      </c>
      <c r="X34" s="1817"/>
      <c r="Y34" s="3187"/>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7"/>
      <c r="Q36" s="1814">
        <f t="shared" si="11"/>
        <v>111</v>
      </c>
      <c r="R36" s="774" t="s">
        <v>17</v>
      </c>
      <c r="S36" s="775">
        <f t="shared" si="12"/>
        <v>100</v>
      </c>
      <c r="T36" s="774" t="s">
        <v>17</v>
      </c>
      <c r="U36" s="775">
        <f t="shared" si="13"/>
        <v>100</v>
      </c>
      <c r="V36" s="774" t="s">
        <v>17</v>
      </c>
      <c r="W36" s="775">
        <f t="shared" si="14"/>
        <v>100</v>
      </c>
      <c r="X36" s="1817"/>
      <c r="Y36" s="3187"/>
      <c r="Z36" s="1818">
        <f t="shared" si="15"/>
        <v>111</v>
      </c>
      <c r="AA36" s="1815">
        <f t="shared" si="3"/>
        <v>1</v>
      </c>
      <c r="AB36" s="1815">
        <f t="shared" si="4"/>
        <v>1</v>
      </c>
      <c r="AC36" s="1815">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179" t="str">
        <f>A37</f>
        <v>成交单价</v>
      </c>
      <c r="Q37" s="3179"/>
      <c r="R37" s="3180">
        <f>E37</f>
        <v>0</v>
      </c>
      <c r="S37" s="3180"/>
      <c r="T37" s="3180">
        <f>G37</f>
        <v>0</v>
      </c>
      <c r="U37" s="3180"/>
      <c r="V37" s="3180">
        <f>I37</f>
        <v>0</v>
      </c>
      <c r="W37" s="3180"/>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34"/>
      <c r="F1" s="2588"/>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190" t="s">
        <v>2647</v>
      </c>
      <c r="AC4" s="3189" t="s">
        <v>2648</v>
      </c>
    </row>
    <row r="5" spans="1:29"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190"/>
      <c r="AC5" s="3190"/>
    </row>
    <row r="6" spans="1:29" ht="15.7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7"/>
      <c r="Y6" s="3206"/>
      <c r="Z6" s="3207"/>
      <c r="AA6" s="3191"/>
      <c r="AB6" s="3191"/>
      <c r="AC6" s="3191"/>
    </row>
    <row r="7" spans="1:29" s="116" customFormat="1" ht="15.75" thickBot="1">
      <c r="A7" s="408" t="s">
        <v>2547</v>
      </c>
      <c r="B7" s="409"/>
      <c r="C7" s="410">
        <f>'数据-取费表'!B2</f>
        <v>43047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3" t="s">
        <v>2548</v>
      </c>
      <c r="Q7" s="3215"/>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6"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4" si="3">D8/F8</f>
        <v>#DIV/0!</v>
      </c>
      <c r="AB8" s="773" t="e">
        <f t="shared" ref="AB8:AB34" si="4">D8/H8</f>
        <v>#DIV/0!</v>
      </c>
      <c r="AC8" s="773" t="e">
        <f t="shared" ref="AC8:AC34" si="5">D8/J8</f>
        <v>#DIV/0!</v>
      </c>
    </row>
    <row r="9" spans="1:29" s="116" customFormat="1">
      <c r="A9" s="415" t="s">
        <v>2552</v>
      </c>
      <c r="B9" s="71" t="s">
        <v>2553</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179" t="s">
        <v>2554</v>
      </c>
      <c r="Q9" s="1799" t="str">
        <f t="shared" ref="Q9:Q14" si="6">B9</f>
        <v>用途</v>
      </c>
      <c r="R9" s="770" t="s">
        <v>17</v>
      </c>
      <c r="S9" s="771">
        <f t="shared" si="0"/>
        <v>100</v>
      </c>
      <c r="T9" s="770" t="s">
        <v>17</v>
      </c>
      <c r="U9" s="771">
        <f t="shared" si="1"/>
        <v>100</v>
      </c>
      <c r="V9" s="770" t="s">
        <v>17</v>
      </c>
      <c r="W9" s="771">
        <f t="shared" si="2"/>
        <v>100</v>
      </c>
      <c r="X9" s="772"/>
      <c r="Y9" s="3008" t="s">
        <v>2555</v>
      </c>
      <c r="Z9" s="55" t="str">
        <f t="shared" ref="Z9:Z14" si="7">Q9</f>
        <v>用途</v>
      </c>
      <c r="AA9" s="773">
        <f t="shared" si="3"/>
        <v>1</v>
      </c>
      <c r="AB9" s="773">
        <f t="shared" si="4"/>
        <v>1</v>
      </c>
      <c r="AC9" s="773">
        <f t="shared" si="5"/>
        <v>1</v>
      </c>
    </row>
    <row r="10" spans="1:29" s="427" customFormat="1" ht="27">
      <c r="A10" s="421"/>
      <c r="B10" s="422" t="s">
        <v>2556</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179"/>
      <c r="Q10" s="1799"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4">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179"/>
      <c r="Q11" s="1799">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6" customFormat="1" ht="15">
      <c r="A12" s="431"/>
      <c r="B12" s="2604">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179"/>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9"/>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4" t="s">
        <v>2559</v>
      </c>
      <c r="Q14" s="1814" t="str">
        <f t="shared" si="6"/>
        <v>交通便捷度</v>
      </c>
      <c r="R14" s="774" t="s">
        <v>17</v>
      </c>
      <c r="S14" s="775">
        <f t="shared" si="0"/>
        <v>100</v>
      </c>
      <c r="T14" s="774" t="s">
        <v>17</v>
      </c>
      <c r="U14" s="775">
        <f t="shared" si="1"/>
        <v>100</v>
      </c>
      <c r="V14" s="774" t="s">
        <v>17</v>
      </c>
      <c r="W14" s="775">
        <f t="shared" si="2"/>
        <v>100</v>
      </c>
      <c r="X14" s="1817"/>
      <c r="Y14" s="3184" t="s">
        <v>2559</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85"/>
      <c r="Q15" s="1814"/>
      <c r="R15" s="774"/>
      <c r="S15" s="775"/>
      <c r="T15" s="774"/>
      <c r="U15" s="775"/>
      <c r="V15" s="774"/>
      <c r="W15" s="775"/>
      <c r="X15" s="1817"/>
      <c r="Y15" s="3185"/>
      <c r="Z15" s="1818"/>
      <c r="AA15" s="1815">
        <v>1</v>
      </c>
      <c r="AB15" s="1815">
        <v>1</v>
      </c>
      <c r="AC15" s="1815">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5"/>
      <c r="Q16" s="1814" t="str">
        <f>B16</f>
        <v>公共配套设施</v>
      </c>
      <c r="R16" s="774" t="s">
        <v>17</v>
      </c>
      <c r="S16" s="775">
        <f>F16</f>
        <v>100</v>
      </c>
      <c r="T16" s="774" t="s">
        <v>17</v>
      </c>
      <c r="U16" s="775">
        <f>H16</f>
        <v>100</v>
      </c>
      <c r="V16" s="774" t="s">
        <v>17</v>
      </c>
      <c r="W16" s="775">
        <f>J16</f>
        <v>100</v>
      </c>
      <c r="X16" s="1817"/>
      <c r="Y16" s="3185"/>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85"/>
      <c r="Q17" s="1814"/>
      <c r="R17" s="774"/>
      <c r="S17" s="775"/>
      <c r="T17" s="774"/>
      <c r="U17" s="775"/>
      <c r="V17" s="774"/>
      <c r="W17" s="775"/>
      <c r="X17" s="1817"/>
      <c r="Y17" s="3185"/>
      <c r="Z17" s="1818"/>
      <c r="AA17" s="1815">
        <v>1</v>
      </c>
      <c r="AB17" s="1815">
        <v>1</v>
      </c>
      <c r="AC17" s="1815">
        <v>1</v>
      </c>
    </row>
    <row r="18" spans="1:29" ht="28.5">
      <c r="A18" s="428"/>
      <c r="B18" s="1387"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5"/>
      <c r="Q18" s="1814" t="str">
        <f>B18</f>
        <v>基础设施水平</v>
      </c>
      <c r="R18" s="774" t="s">
        <v>17</v>
      </c>
      <c r="S18" s="775">
        <f>F18</f>
        <v>100</v>
      </c>
      <c r="T18" s="774" t="s">
        <v>17</v>
      </c>
      <c r="U18" s="775">
        <f>H18</f>
        <v>100</v>
      </c>
      <c r="V18" s="774" t="s">
        <v>17</v>
      </c>
      <c r="W18" s="775">
        <f>J18</f>
        <v>100</v>
      </c>
      <c r="X18" s="1817"/>
      <c r="Y18" s="3185"/>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85"/>
      <c r="Q19" s="1814"/>
      <c r="R19" s="774"/>
      <c r="S19" s="775"/>
      <c r="T19" s="774"/>
      <c r="U19" s="775"/>
      <c r="V19" s="774"/>
      <c r="W19" s="775"/>
      <c r="X19" s="1817"/>
      <c r="Y19" s="3185"/>
      <c r="Z19" s="1818"/>
      <c r="AA19" s="1815">
        <v>1</v>
      </c>
      <c r="AB19" s="1815">
        <v>1</v>
      </c>
      <c r="AC19" s="1815">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5"/>
      <c r="Q20" s="1814" t="str">
        <f>B20</f>
        <v>自然及人文环境</v>
      </c>
      <c r="R20" s="774" t="s">
        <v>17</v>
      </c>
      <c r="S20" s="775">
        <f>F20</f>
        <v>100</v>
      </c>
      <c r="T20" s="774" t="s">
        <v>17</v>
      </c>
      <c r="U20" s="775">
        <f>H20</f>
        <v>100</v>
      </c>
      <c r="V20" s="774" t="s">
        <v>17</v>
      </c>
      <c r="W20" s="775">
        <f>J20</f>
        <v>100</v>
      </c>
      <c r="X20" s="1817"/>
      <c r="Y20" s="3185"/>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85"/>
      <c r="Q21" s="1814"/>
      <c r="R21" s="774"/>
      <c r="S21" s="775"/>
      <c r="T21" s="774"/>
      <c r="U21" s="775"/>
      <c r="V21" s="774"/>
      <c r="W21" s="775"/>
      <c r="X21" s="1817"/>
      <c r="Y21" s="3185"/>
      <c r="Z21" s="1818"/>
      <c r="AA21" s="1815">
        <v>1</v>
      </c>
      <c r="AB21" s="1815">
        <v>1</v>
      </c>
      <c r="AC21" s="1815">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5"/>
      <c r="Q22" s="1814" t="str">
        <f>B22</f>
        <v>楼层</v>
      </c>
      <c r="R22" s="774" t="s">
        <v>17</v>
      </c>
      <c r="S22" s="775">
        <f>F22</f>
        <v>100</v>
      </c>
      <c r="T22" s="774" t="s">
        <v>17</v>
      </c>
      <c r="U22" s="775">
        <f>H22</f>
        <v>100</v>
      </c>
      <c r="V22" s="774" t="s">
        <v>17</v>
      </c>
      <c r="W22" s="775">
        <f>J22</f>
        <v>100</v>
      </c>
      <c r="X22" s="1817"/>
      <c r="Y22" s="3185"/>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5"/>
      <c r="Q23" s="1814">
        <f>B23</f>
        <v>111</v>
      </c>
      <c r="R23" s="774" t="s">
        <v>17</v>
      </c>
      <c r="S23" s="775">
        <f>F23</f>
        <v>100</v>
      </c>
      <c r="T23" s="774" t="s">
        <v>17</v>
      </c>
      <c r="U23" s="775">
        <f>H23</f>
        <v>100</v>
      </c>
      <c r="V23" s="774" t="s">
        <v>17</v>
      </c>
      <c r="W23" s="775">
        <f>J23</f>
        <v>100</v>
      </c>
      <c r="X23" s="1817"/>
      <c r="Y23" s="3185"/>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5"/>
      <c r="Q24" s="1814">
        <f t="shared" ref="Q24:Q34" si="11">B24</f>
        <v>111</v>
      </c>
      <c r="R24" s="774" t="s">
        <v>17</v>
      </c>
      <c r="S24" s="775">
        <f>F24</f>
        <v>100</v>
      </c>
      <c r="T24" s="774" t="s">
        <v>17</v>
      </c>
      <c r="U24" s="775">
        <f>H24</f>
        <v>100</v>
      </c>
      <c r="V24" s="774" t="s">
        <v>17</v>
      </c>
      <c r="W24" s="775">
        <f>J24</f>
        <v>100</v>
      </c>
      <c r="X24" s="1817"/>
      <c r="Y24" s="3185"/>
      <c r="Z24" s="1818">
        <f>Q24</f>
        <v>111</v>
      </c>
      <c r="AA24" s="1815">
        <f t="shared" si="3"/>
        <v>1</v>
      </c>
      <c r="AB24" s="1815">
        <f t="shared" si="4"/>
        <v>1</v>
      </c>
      <c r="AC24" s="1815">
        <f t="shared" si="5"/>
        <v>1</v>
      </c>
    </row>
    <row r="25" spans="1:29" s="116"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5"/>
      <c r="Q25" s="1799">
        <f t="shared" si="11"/>
        <v>111</v>
      </c>
      <c r="R25" s="770" t="s">
        <v>17</v>
      </c>
      <c r="S25" s="771">
        <f>F25</f>
        <v>100</v>
      </c>
      <c r="T25" s="770" t="s">
        <v>17</v>
      </c>
      <c r="U25" s="771">
        <f>H25</f>
        <v>100</v>
      </c>
      <c r="V25" s="770" t="s">
        <v>17</v>
      </c>
      <c r="W25" s="771">
        <f>J25</f>
        <v>100</v>
      </c>
      <c r="X25" s="772"/>
      <c r="Y25" s="3185"/>
      <c r="Z25" s="55">
        <f>Q25</f>
        <v>111</v>
      </c>
      <c r="AA25" s="1815">
        <f>D25/F25</f>
        <v>1</v>
      </c>
      <c r="AB25" s="1815">
        <f>D25/H25</f>
        <v>1</v>
      </c>
      <c r="AC25" s="1815">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186" t="s">
        <v>2564</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87" t="s">
        <v>2564</v>
      </c>
      <c r="Z26" s="1818" t="str">
        <f t="shared" ref="Z26:Z34" si="15">Q26</f>
        <v>公共部分装修</v>
      </c>
      <c r="AA26" s="1815">
        <f t="shared" si="3"/>
        <v>1</v>
      </c>
      <c r="AB26" s="1815">
        <f t="shared" si="4"/>
        <v>1</v>
      </c>
      <c r="AC26" s="1815">
        <f t="shared" si="5"/>
        <v>1</v>
      </c>
    </row>
    <row r="27" spans="1:29" s="471" customFormat="1" ht="15">
      <c r="A27" s="468"/>
      <c r="B27" s="422" t="s">
        <v>2714</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5" t="e">
        <f t="shared" si="3"/>
        <v>#N/A</v>
      </c>
      <c r="AB27" s="1815" t="e">
        <f t="shared" si="4"/>
        <v>#N/A</v>
      </c>
      <c r="AC27" s="1815"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7"/>
      <c r="Q28" s="1814" t="str">
        <f t="shared" si="11"/>
        <v>物业等级</v>
      </c>
      <c r="R28" s="774" t="s">
        <v>17</v>
      </c>
      <c r="S28" s="775">
        <f t="shared" si="12"/>
        <v>100</v>
      </c>
      <c r="T28" s="774" t="s">
        <v>17</v>
      </c>
      <c r="U28" s="775">
        <f t="shared" si="13"/>
        <v>100</v>
      </c>
      <c r="V28" s="774" t="s">
        <v>17</v>
      </c>
      <c r="W28" s="775">
        <f t="shared" si="14"/>
        <v>100</v>
      </c>
      <c r="X28" s="1817"/>
      <c r="Y28" s="3187"/>
      <c r="Z28" s="1818" t="str">
        <f t="shared" si="15"/>
        <v>物业等级</v>
      </c>
      <c r="AA28" s="1815">
        <f t="shared" si="3"/>
        <v>1</v>
      </c>
      <c r="AB28" s="1815">
        <f t="shared" si="4"/>
        <v>1</v>
      </c>
      <c r="AC28" s="1815">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7"/>
      <c r="Q29" s="1814" t="str">
        <f t="shared" si="11"/>
        <v>有无电梯</v>
      </c>
      <c r="R29" s="774" t="s">
        <v>17</v>
      </c>
      <c r="S29" s="775">
        <f t="shared" si="12"/>
        <v>100</v>
      </c>
      <c r="T29" s="774" t="s">
        <v>17</v>
      </c>
      <c r="U29" s="775">
        <f t="shared" si="13"/>
        <v>100</v>
      </c>
      <c r="V29" s="774" t="s">
        <v>17</v>
      </c>
      <c r="W29" s="775">
        <f t="shared" si="14"/>
        <v>100</v>
      </c>
      <c r="X29" s="1817"/>
      <c r="Y29" s="3187"/>
      <c r="Z29" s="1818" t="str">
        <f t="shared" si="15"/>
        <v>有无电梯</v>
      </c>
      <c r="AA29" s="1815">
        <f t="shared" si="3"/>
        <v>1</v>
      </c>
      <c r="AB29" s="1815">
        <f t="shared" si="4"/>
        <v>1</v>
      </c>
      <c r="AC29" s="1815">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7"/>
      <c r="Q30" s="1814" t="str">
        <f t="shared" si="11"/>
        <v>建筑面积</v>
      </c>
      <c r="R30" s="774" t="s">
        <v>17</v>
      </c>
      <c r="S30" s="775" t="e">
        <f t="shared" si="12"/>
        <v>#N/A</v>
      </c>
      <c r="T30" s="774" t="s">
        <v>17</v>
      </c>
      <c r="U30" s="775" t="e">
        <f t="shared" si="13"/>
        <v>#N/A</v>
      </c>
      <c r="V30" s="774" t="s">
        <v>17</v>
      </c>
      <c r="W30" s="775" t="e">
        <f t="shared" si="14"/>
        <v>#N/A</v>
      </c>
      <c r="X30" s="1817"/>
      <c r="Y30" s="3187"/>
      <c r="Z30" s="1818" t="str">
        <f t="shared" si="15"/>
        <v>建筑面积</v>
      </c>
      <c r="AA30" s="1815" t="e">
        <f t="shared" si="3"/>
        <v>#N/A</v>
      </c>
      <c r="AB30" s="1815" t="e">
        <f t="shared" si="4"/>
        <v>#N/A</v>
      </c>
      <c r="AC30" s="1815" t="e">
        <f t="shared" si="5"/>
        <v>#N/A</v>
      </c>
    </row>
    <row r="31" spans="1:29" s="116" customFormat="1" ht="15">
      <c r="A31" s="473"/>
      <c r="B31" s="422" t="s">
        <v>2738</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7"/>
      <c r="Q31" s="1799"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7" t="s">
        <v>2564</v>
      </c>
      <c r="Q32" s="1814">
        <f t="shared" si="11"/>
        <v>111</v>
      </c>
      <c r="R32" s="774" t="s">
        <v>17</v>
      </c>
      <c r="S32" s="775">
        <f t="shared" si="12"/>
        <v>100</v>
      </c>
      <c r="T32" s="774" t="s">
        <v>17</v>
      </c>
      <c r="U32" s="775">
        <f t="shared" si="13"/>
        <v>100</v>
      </c>
      <c r="V32" s="774" t="s">
        <v>17</v>
      </c>
      <c r="W32" s="775">
        <f t="shared" si="14"/>
        <v>100</v>
      </c>
      <c r="X32" s="1817"/>
      <c r="Y32" s="3187" t="s">
        <v>2564</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7"/>
      <c r="Q33" s="1814">
        <f t="shared" si="11"/>
        <v>111</v>
      </c>
      <c r="R33" s="774" t="s">
        <v>17</v>
      </c>
      <c r="S33" s="775">
        <f t="shared" si="12"/>
        <v>100</v>
      </c>
      <c r="T33" s="774" t="s">
        <v>17</v>
      </c>
      <c r="U33" s="775">
        <f t="shared" si="13"/>
        <v>100</v>
      </c>
      <c r="V33" s="774" t="s">
        <v>17</v>
      </c>
      <c r="W33" s="775">
        <f t="shared" si="14"/>
        <v>100</v>
      </c>
      <c r="X33" s="1817"/>
      <c r="Y33" s="3187"/>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7"/>
      <c r="Q34" s="1814">
        <f t="shared" si="11"/>
        <v>111</v>
      </c>
      <c r="R34" s="774" t="s">
        <v>17</v>
      </c>
      <c r="S34" s="775">
        <f t="shared" si="12"/>
        <v>100</v>
      </c>
      <c r="T34" s="774" t="s">
        <v>17</v>
      </c>
      <c r="U34" s="775">
        <f t="shared" si="13"/>
        <v>100</v>
      </c>
      <c r="V34" s="774" t="s">
        <v>17</v>
      </c>
      <c r="W34" s="775">
        <f t="shared" si="14"/>
        <v>100</v>
      </c>
      <c r="X34" s="1817"/>
      <c r="Y34" s="3187"/>
      <c r="Z34" s="1818">
        <f t="shared" si="15"/>
        <v>111</v>
      </c>
      <c r="AA34" s="1815">
        <f t="shared" si="3"/>
        <v>1</v>
      </c>
      <c r="AB34" s="1815">
        <f t="shared" si="4"/>
        <v>1</v>
      </c>
      <c r="AC34" s="1815">
        <f t="shared" si="5"/>
        <v>1</v>
      </c>
    </row>
    <row r="35" spans="1:29" ht="15">
      <c r="A35" s="479" t="s">
        <v>2576</v>
      </c>
      <c r="B35" s="480"/>
      <c r="C35" s="1410" t="s">
        <v>1</v>
      </c>
      <c r="D35" s="1411"/>
      <c r="E35" s="1412"/>
      <c r="F35" s="1413"/>
      <c r="G35" s="1414"/>
      <c r="H35" s="1415"/>
      <c r="I35" s="1412"/>
      <c r="J35" s="1415"/>
      <c r="K35" s="783"/>
      <c r="L35" s="1146"/>
      <c r="M35" s="1147"/>
      <c r="N35" s="1134"/>
      <c r="O35" s="1147"/>
      <c r="P35" s="3179" t="str">
        <f>A35</f>
        <v>成交单价（元/平方米）</v>
      </c>
      <c r="Q35" s="3179"/>
      <c r="R35" s="3180">
        <f>E35</f>
        <v>0</v>
      </c>
      <c r="S35" s="3180"/>
      <c r="T35" s="3180">
        <f>G35</f>
        <v>0</v>
      </c>
      <c r="U35" s="3180"/>
      <c r="V35" s="3180">
        <f>I35</f>
        <v>0</v>
      </c>
      <c r="W35" s="3180"/>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2584</v>
      </c>
      <c r="B48" s="516"/>
      <c r="C48" s="517"/>
      <c r="D48" s="518"/>
      <c r="E48" s="518"/>
      <c r="F48" s="518"/>
      <c r="G48" s="518"/>
      <c r="H48" s="518"/>
      <c r="I48" s="518"/>
      <c r="J48" s="518"/>
      <c r="K48" s="518"/>
      <c r="L48" s="518"/>
      <c r="M48" s="519"/>
      <c r="N48" s="518"/>
      <c r="O48" s="520"/>
      <c r="P48" s="504"/>
      <c r="Q48" s="504"/>
    </row>
    <row r="49" spans="1:17" s="116" customFormat="1" ht="15">
      <c r="A49" s="521" t="s">
        <v>2549</v>
      </c>
      <c r="B49" s="510"/>
      <c r="C49" s="522" t="s">
        <v>2651</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6" customFormat="1" ht="15.75" thickTop="1">
      <c r="A71" s="579"/>
      <c r="B71" s="538">
        <f>B23</f>
        <v>111</v>
      </c>
      <c r="C71" s="549"/>
      <c r="D71" s="549"/>
      <c r="E71" s="549"/>
      <c r="F71" s="549"/>
      <c r="G71" s="554"/>
      <c r="H71" s="554"/>
      <c r="I71" s="554"/>
      <c r="J71" s="554"/>
      <c r="K71" s="554"/>
      <c r="L71" s="580"/>
      <c r="M71" s="581"/>
      <c r="N71" s="1154"/>
      <c r="O71" s="1154"/>
      <c r="P71" s="45"/>
      <c r="Q71" s="504"/>
    </row>
    <row r="72" spans="1:17" s="116" customFormat="1" ht="15.75" thickBot="1">
      <c r="A72" s="579"/>
      <c r="B72" s="543"/>
      <c r="C72" s="560"/>
      <c r="D72" s="536"/>
      <c r="E72" s="536"/>
      <c r="F72" s="536"/>
      <c r="G72" s="536"/>
      <c r="H72" s="536"/>
      <c r="I72" s="536"/>
      <c r="J72" s="536"/>
      <c r="K72" s="536"/>
      <c r="L72" s="536"/>
      <c r="M72" s="537"/>
      <c r="N72" s="1156"/>
      <c r="O72" s="1156"/>
      <c r="P72" s="45"/>
      <c r="Q72" s="504"/>
    </row>
    <row r="73" spans="1:17" s="116" customFormat="1" ht="15.75" thickTop="1">
      <c r="A73" s="579"/>
      <c r="B73" s="538">
        <f>B24</f>
        <v>111</v>
      </c>
      <c r="C73" s="549"/>
      <c r="D73" s="549"/>
      <c r="E73" s="549"/>
      <c r="F73" s="549"/>
      <c r="G73" s="554"/>
      <c r="H73" s="554"/>
      <c r="I73" s="554"/>
      <c r="J73" s="554"/>
      <c r="K73" s="554"/>
      <c r="L73" s="554"/>
      <c r="M73" s="581"/>
      <c r="N73" s="1154"/>
      <c r="O73" s="1154"/>
      <c r="P73" s="45"/>
      <c r="Q73" s="504"/>
    </row>
    <row r="74" spans="1:17" s="116"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190" t="s">
        <v>2647</v>
      </c>
      <c r="AC4" s="3189" t="s">
        <v>2648</v>
      </c>
    </row>
    <row r="5" spans="1:30"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190"/>
      <c r="AC5" s="3190"/>
    </row>
    <row r="6" spans="1:30" ht="15.7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7"/>
      <c r="Y6" s="3206"/>
      <c r="Z6" s="3207"/>
      <c r="AA6" s="3191"/>
      <c r="AB6" s="3191"/>
      <c r="AC6" s="3191"/>
    </row>
    <row r="7" spans="1:30" s="116" customFormat="1" ht="15.75" thickBot="1">
      <c r="A7" s="408" t="s">
        <v>2547</v>
      </c>
      <c r="B7" s="409"/>
      <c r="C7" s="410">
        <f>'数据-取费表'!B2</f>
        <v>43047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30" s="116"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5" si="3">D8/F8</f>
        <v>#DIV/0!</v>
      </c>
      <c r="AB8" s="773" t="e">
        <f t="shared" ref="AB8:AB45" si="4">D8/H8</f>
        <v>#DIV/0!</v>
      </c>
      <c r="AC8" s="773" t="e">
        <f t="shared" ref="AC8:AC45" si="5">D8/J8</f>
        <v>#DIV/0!</v>
      </c>
    </row>
    <row r="9" spans="1:30" s="116" customFormat="1">
      <c r="A9" s="415" t="s">
        <v>2552</v>
      </c>
      <c r="B9" s="71" t="s">
        <v>2553</v>
      </c>
      <c r="C9" s="2703"/>
      <c r="D9" s="134">
        <v>100</v>
      </c>
      <c r="E9" s="2703"/>
      <c r="F9" s="134">
        <f>SUMIF(75:75,E9,76:76)-SUMIF(75:75,C9,76:76)+100</f>
        <v>100</v>
      </c>
      <c r="G9" s="2703"/>
      <c r="H9" s="134">
        <f>SUMIF(75:75,G9,76:76)-SUMIF(75:75,C9,76:76)+100</f>
        <v>100</v>
      </c>
      <c r="I9" s="2703"/>
      <c r="J9" s="134">
        <f>SUMIF(75:75,I9,76:76)-SUMIF(75:75,C9,76:76)+100</f>
        <v>100</v>
      </c>
      <c r="K9" s="611"/>
      <c r="L9" s="1135"/>
      <c r="M9" s="1136"/>
      <c r="N9" s="1136"/>
      <c r="O9" s="1137"/>
      <c r="P9" s="3179" t="s">
        <v>2554</v>
      </c>
      <c r="Q9" s="1799"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30" s="427" customFormat="1" ht="27">
      <c r="A10" s="421"/>
      <c r="B10" s="422" t="s">
        <v>2556</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179"/>
      <c r="Q10" s="1799" t="str">
        <f t="shared" si="6"/>
        <v>土地使用年限（年）</v>
      </c>
      <c r="R10" s="770" t="s">
        <v>17</v>
      </c>
      <c r="S10" s="771">
        <f t="shared" si="0"/>
        <v>111</v>
      </c>
      <c r="T10" s="770" t="s">
        <v>17</v>
      </c>
      <c r="U10" s="771">
        <f t="shared" si="1"/>
        <v>111</v>
      </c>
      <c r="V10" s="770" t="s">
        <v>17</v>
      </c>
      <c r="W10" s="771">
        <f t="shared" si="2"/>
        <v>111</v>
      </c>
      <c r="X10" s="772"/>
      <c r="Y10" s="3008"/>
      <c r="Z10" s="55" t="str">
        <f t="shared" si="7"/>
        <v>土地使用年限（年）</v>
      </c>
      <c r="AA10" s="773">
        <f t="shared" si="3"/>
        <v>0.90090090090090091</v>
      </c>
      <c r="AB10" s="773">
        <f t="shared" si="4"/>
        <v>0.90090090090090091</v>
      </c>
      <c r="AC10" s="773">
        <f t="shared" si="5"/>
        <v>0.90090090090090091</v>
      </c>
    </row>
    <row r="11" spans="1:30" ht="15">
      <c r="A11" s="428"/>
      <c r="B11" s="422" t="s">
        <v>2557</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179"/>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6" customFormat="1" ht="15">
      <c r="A12" s="431"/>
      <c r="B12" s="2604" t="s">
        <v>2746</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179"/>
      <c r="Q12" s="1799"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4">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179"/>
      <c r="Q13" s="1799">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9">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2558</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4" t="s">
        <v>2559</v>
      </c>
      <c r="Q15" s="1814" t="str">
        <f t="shared" si="6"/>
        <v>居住社区成熟度</v>
      </c>
      <c r="R15" s="774" t="s">
        <v>17</v>
      </c>
      <c r="S15" s="775">
        <f t="shared" si="0"/>
        <v>100</v>
      </c>
      <c r="T15" s="774" t="s">
        <v>17</v>
      </c>
      <c r="U15" s="775">
        <f t="shared" si="1"/>
        <v>100</v>
      </c>
      <c r="V15" s="774" t="s">
        <v>17</v>
      </c>
      <c r="W15" s="775">
        <f t="shared" si="2"/>
        <v>100</v>
      </c>
      <c r="X15" s="1817"/>
      <c r="Y15" s="3184" t="s">
        <v>2559</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85"/>
      <c r="Q16" s="1814"/>
      <c r="R16" s="774"/>
      <c r="S16" s="775"/>
      <c r="T16" s="774"/>
      <c r="U16" s="775"/>
      <c r="V16" s="774"/>
      <c r="W16" s="775"/>
      <c r="X16" s="1817"/>
      <c r="Y16" s="3185"/>
      <c r="Z16" s="1818"/>
      <c r="AA16" s="1815">
        <v>1</v>
      </c>
      <c r="AB16" s="1815">
        <v>1</v>
      </c>
      <c r="AC16" s="1815">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5"/>
      <c r="Q17" s="1814" t="str">
        <f>B17</f>
        <v>商业繁华度</v>
      </c>
      <c r="R17" s="774" t="s">
        <v>17</v>
      </c>
      <c r="S17" s="775">
        <f>F17</f>
        <v>100</v>
      </c>
      <c r="T17" s="774" t="s">
        <v>17</v>
      </c>
      <c r="U17" s="775">
        <f>H17</f>
        <v>100</v>
      </c>
      <c r="V17" s="774" t="s">
        <v>17</v>
      </c>
      <c r="W17" s="775">
        <f>J17</f>
        <v>100</v>
      </c>
      <c r="X17" s="1817"/>
      <c r="Y17" s="3185"/>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85"/>
      <c r="Q18" s="1814"/>
      <c r="R18" s="774"/>
      <c r="S18" s="775"/>
      <c r="T18" s="774"/>
      <c r="U18" s="775"/>
      <c r="V18" s="774"/>
      <c r="W18" s="775"/>
      <c r="X18" s="1817"/>
      <c r="Y18" s="3185"/>
      <c r="Z18" s="1818"/>
      <c r="AA18" s="1815">
        <v>1</v>
      </c>
      <c r="AB18" s="1815">
        <v>1</v>
      </c>
      <c r="AC18" s="1815">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5"/>
      <c r="Q19" s="1814" t="str">
        <f>B19</f>
        <v>办公集聚程度</v>
      </c>
      <c r="R19" s="774" t="s">
        <v>17</v>
      </c>
      <c r="S19" s="775">
        <f>F19</f>
        <v>100</v>
      </c>
      <c r="T19" s="774" t="s">
        <v>17</v>
      </c>
      <c r="U19" s="775">
        <f>H19</f>
        <v>100</v>
      </c>
      <c r="V19" s="774" t="s">
        <v>17</v>
      </c>
      <c r="W19" s="775">
        <f>J19</f>
        <v>100</v>
      </c>
      <c r="X19" s="1817"/>
      <c r="Y19" s="3185"/>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85"/>
      <c r="Q20" s="1814"/>
      <c r="R20" s="774"/>
      <c r="S20" s="775"/>
      <c r="T20" s="774"/>
      <c r="U20" s="775"/>
      <c r="V20" s="774"/>
      <c r="W20" s="775"/>
      <c r="X20" s="1817"/>
      <c r="Y20" s="3185"/>
      <c r="Z20" s="1818"/>
      <c r="AA20" s="1815">
        <v>1</v>
      </c>
      <c r="AB20" s="1815">
        <v>1</v>
      </c>
      <c r="AC20" s="1815">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5"/>
      <c r="Q21" s="1814" t="str">
        <f>B21</f>
        <v>交通便捷度</v>
      </c>
      <c r="R21" s="774" t="s">
        <v>17</v>
      </c>
      <c r="S21" s="775">
        <f>F21</f>
        <v>100</v>
      </c>
      <c r="T21" s="774" t="s">
        <v>17</v>
      </c>
      <c r="U21" s="775">
        <f>H21</f>
        <v>100</v>
      </c>
      <c r="V21" s="774" t="s">
        <v>17</v>
      </c>
      <c r="W21" s="775">
        <f>J21</f>
        <v>100</v>
      </c>
      <c r="X21" s="1817"/>
      <c r="Y21" s="3185"/>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85"/>
      <c r="Q22" s="1814"/>
      <c r="R22" s="774"/>
      <c r="S22" s="775"/>
      <c r="T22" s="774"/>
      <c r="U22" s="775"/>
      <c r="V22" s="774"/>
      <c r="W22" s="775"/>
      <c r="X22" s="1817"/>
      <c r="Y22" s="3185"/>
      <c r="Z22" s="1818"/>
      <c r="AA22" s="1815">
        <v>1</v>
      </c>
      <c r="AB22" s="1815">
        <v>1</v>
      </c>
      <c r="AC22" s="1815">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5"/>
      <c r="Q23" s="1814" t="str">
        <f t="shared" ref="Q23:Q37" si="8">B23</f>
        <v>区域土地利用方向</v>
      </c>
      <c r="R23" s="774" t="s">
        <v>17</v>
      </c>
      <c r="S23" s="775">
        <f>F23</f>
        <v>100</v>
      </c>
      <c r="T23" s="774" t="s">
        <v>17</v>
      </c>
      <c r="U23" s="775">
        <f>H23</f>
        <v>100</v>
      </c>
      <c r="V23" s="774" t="s">
        <v>17</v>
      </c>
      <c r="W23" s="775">
        <f>J23</f>
        <v>100</v>
      </c>
      <c r="X23" s="1817"/>
      <c r="Y23" s="3185"/>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85"/>
      <c r="Q24" s="1814"/>
      <c r="R24" s="774"/>
      <c r="S24" s="775"/>
      <c r="T24" s="774"/>
      <c r="U24" s="775"/>
      <c r="V24" s="774"/>
      <c r="W24" s="775"/>
      <c r="X24" s="1817"/>
      <c r="Y24" s="3185"/>
      <c r="Z24" s="1818"/>
      <c r="AA24" s="1815"/>
      <c r="AB24" s="1815"/>
      <c r="AC24" s="1815"/>
    </row>
    <row r="25" spans="1:29" ht="57">
      <c r="A25" s="404"/>
      <c r="B25" s="1387"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5"/>
      <c r="Q25" s="1814" t="str">
        <f t="shared" si="8"/>
        <v>自然及人文环境状况</v>
      </c>
      <c r="R25" s="774" t="s">
        <v>17</v>
      </c>
      <c r="S25" s="775">
        <f>F25</f>
        <v>100</v>
      </c>
      <c r="T25" s="774" t="s">
        <v>17</v>
      </c>
      <c r="U25" s="775">
        <f>H25</f>
        <v>100</v>
      </c>
      <c r="V25" s="774" t="s">
        <v>17</v>
      </c>
      <c r="W25" s="775">
        <f>J25</f>
        <v>100</v>
      </c>
      <c r="X25" s="1817"/>
      <c r="Y25" s="3185"/>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85"/>
      <c r="Q26" s="1814"/>
      <c r="R26" s="774"/>
      <c r="S26" s="775"/>
      <c r="T26" s="774"/>
      <c r="U26" s="775"/>
      <c r="V26" s="774"/>
      <c r="W26" s="775"/>
      <c r="X26" s="1817"/>
      <c r="Y26" s="3185"/>
      <c r="Z26" s="1818"/>
      <c r="AA26" s="1815">
        <v>1</v>
      </c>
      <c r="AB26" s="1815">
        <v>1</v>
      </c>
      <c r="AC26" s="1815">
        <v>1</v>
      </c>
    </row>
    <row r="27" spans="1:29" s="116" customFormat="1" ht="42.75">
      <c r="A27" s="649"/>
      <c r="B27" s="1387"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5"/>
      <c r="Q27" s="1799" t="str">
        <f t="shared" si="8"/>
        <v>公共配套设施</v>
      </c>
      <c r="R27" s="770" t="s">
        <v>17</v>
      </c>
      <c r="S27" s="771">
        <f>F27</f>
        <v>100</v>
      </c>
      <c r="T27" s="770" t="s">
        <v>17</v>
      </c>
      <c r="U27" s="771">
        <f>H27</f>
        <v>100</v>
      </c>
      <c r="V27" s="770" t="s">
        <v>17</v>
      </c>
      <c r="W27" s="771">
        <f>J27</f>
        <v>100</v>
      </c>
      <c r="X27" s="772"/>
      <c r="Y27" s="3185"/>
      <c r="Z27" s="55" t="str">
        <f>Q27</f>
        <v>公共配套设施</v>
      </c>
      <c r="AA27" s="1815">
        <f>D27/F27</f>
        <v>1</v>
      </c>
      <c r="AB27" s="1815">
        <f>D27/H27</f>
        <v>1</v>
      </c>
      <c r="AC27" s="1815">
        <f>D27/J27</f>
        <v>1</v>
      </c>
    </row>
    <row r="28" spans="1:29" s="116" customFormat="1" ht="15">
      <c r="A28" s="649"/>
      <c r="B28" s="456"/>
      <c r="C28" s="2704"/>
      <c r="D28" s="448"/>
      <c r="E28" s="2615"/>
      <c r="F28" s="448"/>
      <c r="G28" s="2615"/>
      <c r="H28" s="448"/>
      <c r="I28" s="447"/>
      <c r="J28" s="448"/>
      <c r="K28" s="672"/>
      <c r="L28" s="1135"/>
      <c r="M28" s="1136"/>
      <c r="N28" s="1136"/>
      <c r="O28" s="1137"/>
      <c r="P28" s="3185"/>
      <c r="Q28" s="1799"/>
      <c r="R28" s="770"/>
      <c r="S28" s="771"/>
      <c r="T28" s="770"/>
      <c r="U28" s="771"/>
      <c r="V28" s="770"/>
      <c r="W28" s="771"/>
      <c r="X28" s="772"/>
      <c r="Y28" s="3185"/>
      <c r="Z28" s="55"/>
      <c r="AA28" s="1815">
        <v>1</v>
      </c>
      <c r="AB28" s="1815">
        <v>1</v>
      </c>
      <c r="AC28" s="1815">
        <v>1</v>
      </c>
    </row>
    <row r="29" spans="1:29" s="116" customFormat="1" ht="28.5">
      <c r="A29" s="649"/>
      <c r="B29" s="1387"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5"/>
      <c r="Q29" s="1799"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5">
        <f>D29/F29</f>
        <v>1</v>
      </c>
      <c r="AB29" s="1815">
        <f>D29/H29</f>
        <v>1</v>
      </c>
      <c r="AC29" s="1815">
        <f>D29/J29</f>
        <v>1</v>
      </c>
    </row>
    <row r="30" spans="1:29" s="116" customFormat="1" ht="15">
      <c r="A30" s="649"/>
      <c r="B30" s="456"/>
      <c r="C30" s="2704"/>
      <c r="D30" s="448"/>
      <c r="E30" s="2705"/>
      <c r="F30" s="448"/>
      <c r="G30" s="2705"/>
      <c r="H30" s="448"/>
      <c r="I30" s="2705"/>
      <c r="J30" s="448"/>
      <c r="K30" s="672"/>
      <c r="L30" s="1135"/>
      <c r="M30" s="1136"/>
      <c r="N30" s="1136"/>
      <c r="O30" s="1137"/>
      <c r="P30" s="3185"/>
      <c r="Q30" s="1799"/>
      <c r="R30" s="770"/>
      <c r="S30" s="771"/>
      <c r="T30" s="770"/>
      <c r="U30" s="771"/>
      <c r="V30" s="770"/>
      <c r="W30" s="771"/>
      <c r="X30" s="772"/>
      <c r="Y30" s="3185"/>
      <c r="Z30" s="55"/>
      <c r="AA30" s="1815">
        <v>1</v>
      </c>
      <c r="AB30" s="1815">
        <v>1</v>
      </c>
      <c r="AC30" s="1815">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5"/>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85"/>
      <c r="Z31" s="1818" t="str">
        <f t="shared" ref="Z31:Z45" si="13">Q31</f>
        <v>临街状况</v>
      </c>
      <c r="AA31" s="1815">
        <f t="shared" si="3"/>
        <v>1</v>
      </c>
      <c r="AB31" s="1815">
        <f t="shared" si="4"/>
        <v>1</v>
      </c>
      <c r="AC31" s="1815">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5"/>
      <c r="Q32" s="1814" t="str">
        <f t="shared" si="8"/>
        <v>毗邻道路的类型与等级</v>
      </c>
      <c r="R32" s="774" t="s">
        <v>17</v>
      </c>
      <c r="S32" s="775">
        <f t="shared" si="10"/>
        <v>100</v>
      </c>
      <c r="T32" s="774" t="s">
        <v>17</v>
      </c>
      <c r="U32" s="775">
        <f t="shared" si="11"/>
        <v>100</v>
      </c>
      <c r="V32" s="774" t="s">
        <v>17</v>
      </c>
      <c r="W32" s="775">
        <f t="shared" si="12"/>
        <v>100</v>
      </c>
      <c r="X32" s="1817"/>
      <c r="Y32" s="3185"/>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85"/>
      <c r="Q33" s="1814"/>
      <c r="R33" s="774"/>
      <c r="S33" s="775"/>
      <c r="T33" s="774"/>
      <c r="U33" s="775"/>
      <c r="V33" s="774"/>
      <c r="W33" s="775"/>
      <c r="X33" s="1817"/>
      <c r="Y33" s="3185"/>
      <c r="Z33" s="1818"/>
      <c r="AA33" s="1815">
        <v>1</v>
      </c>
      <c r="AB33" s="1815">
        <v>1</v>
      </c>
      <c r="AC33" s="1815">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5"/>
      <c r="Q34" s="1814" t="str">
        <f t="shared" si="8"/>
        <v>土地级别</v>
      </c>
      <c r="R34" s="774" t="s">
        <v>17</v>
      </c>
      <c r="S34" s="775">
        <f t="shared" si="10"/>
        <v>100</v>
      </c>
      <c r="T34" s="774" t="s">
        <v>17</v>
      </c>
      <c r="U34" s="775">
        <f t="shared" si="11"/>
        <v>100</v>
      </c>
      <c r="V34" s="774" t="s">
        <v>17</v>
      </c>
      <c r="W34" s="775">
        <f t="shared" si="12"/>
        <v>100</v>
      </c>
      <c r="X34" s="1817"/>
      <c r="Y34" s="3185"/>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5"/>
      <c r="Q35" s="1814">
        <f t="shared" si="8"/>
        <v>111</v>
      </c>
      <c r="R35" s="774" t="s">
        <v>17</v>
      </c>
      <c r="S35" s="775">
        <f t="shared" si="10"/>
        <v>100</v>
      </c>
      <c r="T35" s="774" t="s">
        <v>17</v>
      </c>
      <c r="U35" s="775">
        <f t="shared" si="11"/>
        <v>100</v>
      </c>
      <c r="V35" s="774" t="s">
        <v>17</v>
      </c>
      <c r="W35" s="775">
        <f t="shared" si="12"/>
        <v>100</v>
      </c>
      <c r="X35" s="1817"/>
      <c r="Y35" s="3185"/>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6" t="s">
        <v>2564</v>
      </c>
      <c r="Q36" s="1814">
        <f t="shared" si="8"/>
        <v>111</v>
      </c>
      <c r="R36" s="774" t="s">
        <v>17</v>
      </c>
      <c r="S36" s="775">
        <f t="shared" si="10"/>
        <v>100</v>
      </c>
      <c r="T36" s="774" t="s">
        <v>17</v>
      </c>
      <c r="U36" s="775">
        <f t="shared" si="11"/>
        <v>100</v>
      </c>
      <c r="V36" s="774" t="s">
        <v>17</v>
      </c>
      <c r="W36" s="775">
        <f t="shared" si="12"/>
        <v>100</v>
      </c>
      <c r="X36" s="1817"/>
      <c r="Y36" s="3187" t="s">
        <v>2564</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7"/>
      <c r="Q37" s="1814">
        <f t="shared" si="8"/>
        <v>111</v>
      </c>
      <c r="R37" s="777" t="s">
        <v>17</v>
      </c>
      <c r="S37" s="778">
        <f t="shared" si="10"/>
        <v>100</v>
      </c>
      <c r="T37" s="777" t="s">
        <v>17</v>
      </c>
      <c r="U37" s="778">
        <f t="shared" si="11"/>
        <v>100</v>
      </c>
      <c r="V37" s="777" t="s">
        <v>17</v>
      </c>
      <c r="W37" s="778">
        <f t="shared" si="12"/>
        <v>100</v>
      </c>
      <c r="X37" s="779"/>
      <c r="Y37" s="3187"/>
      <c r="Z37" s="780">
        <f t="shared" si="13"/>
        <v>111</v>
      </c>
      <c r="AA37" s="1815">
        <f t="shared" si="3"/>
        <v>1</v>
      </c>
      <c r="AB37" s="1815">
        <f t="shared" si="4"/>
        <v>1</v>
      </c>
      <c r="AC37" s="1815">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7"/>
      <c r="Q38" s="1814" t="str">
        <f>B38</f>
        <v>宗地面积</v>
      </c>
      <c r="R38" s="774" t="s">
        <v>17</v>
      </c>
      <c r="S38" s="775" t="e">
        <f t="shared" si="10"/>
        <v>#N/A</v>
      </c>
      <c r="T38" s="774" t="s">
        <v>17</v>
      </c>
      <c r="U38" s="775" t="e">
        <f t="shared" si="11"/>
        <v>#N/A</v>
      </c>
      <c r="V38" s="774" t="s">
        <v>17</v>
      </c>
      <c r="W38" s="775" t="e">
        <f t="shared" si="12"/>
        <v>#N/A</v>
      </c>
      <c r="X38" s="1817"/>
      <c r="Y38" s="3187"/>
      <c r="Z38" s="1818" t="str">
        <f t="shared" si="13"/>
        <v>宗地面积</v>
      </c>
      <c r="AA38" s="1815" t="e">
        <f t="shared" si="3"/>
        <v>#N/A</v>
      </c>
      <c r="AB38" s="1815" t="e">
        <f t="shared" si="4"/>
        <v>#N/A</v>
      </c>
      <c r="AC38" s="1815"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7"/>
      <c r="Q39" s="1814" t="str">
        <f t="shared" ref="Q39:Q45" si="14">B39</f>
        <v>宗地形状</v>
      </c>
      <c r="R39" s="774" t="s">
        <v>17</v>
      </c>
      <c r="S39" s="775">
        <f t="shared" si="10"/>
        <v>100</v>
      </c>
      <c r="T39" s="774" t="s">
        <v>17</v>
      </c>
      <c r="U39" s="775">
        <f t="shared" si="11"/>
        <v>100</v>
      </c>
      <c r="V39" s="774" t="s">
        <v>17</v>
      </c>
      <c r="W39" s="775">
        <f t="shared" si="12"/>
        <v>100</v>
      </c>
      <c r="X39" s="1817"/>
      <c r="Y39" s="3187"/>
      <c r="Z39" s="1818" t="str">
        <f t="shared" si="13"/>
        <v>宗地形状</v>
      </c>
      <c r="AA39" s="1815">
        <f t="shared" si="3"/>
        <v>1</v>
      </c>
      <c r="AB39" s="1815">
        <f t="shared" si="4"/>
        <v>1</v>
      </c>
      <c r="AC39" s="1815">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7"/>
      <c r="Q40" s="1814" t="str">
        <f t="shared" si="14"/>
        <v>临街宽度及深度</v>
      </c>
      <c r="R40" s="774" t="s">
        <v>17</v>
      </c>
      <c r="S40" s="775">
        <f t="shared" si="10"/>
        <v>100</v>
      </c>
      <c r="T40" s="774" t="s">
        <v>17</v>
      </c>
      <c r="U40" s="775">
        <f t="shared" si="11"/>
        <v>100</v>
      </c>
      <c r="V40" s="774" t="s">
        <v>17</v>
      </c>
      <c r="W40" s="775">
        <f t="shared" si="12"/>
        <v>100</v>
      </c>
      <c r="X40" s="1817"/>
      <c r="Y40" s="3187"/>
      <c r="Z40" s="1818" t="str">
        <f t="shared" si="13"/>
        <v>临街宽度及深度</v>
      </c>
      <c r="AA40" s="1815">
        <f t="shared" si="3"/>
        <v>1</v>
      </c>
      <c r="AB40" s="1815">
        <f t="shared" si="4"/>
        <v>1</v>
      </c>
      <c r="AC40" s="1815">
        <f t="shared" si="5"/>
        <v>1</v>
      </c>
    </row>
    <row r="41" spans="1:29" s="116" customFormat="1" ht="15">
      <c r="A41" s="473"/>
      <c r="B41" s="422" t="s">
        <v>2753</v>
      </c>
      <c r="C41" s="2706"/>
      <c r="D41" s="135">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87"/>
      <c r="Q41" s="1814"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7" t="s">
        <v>2564</v>
      </c>
      <c r="Q42" s="1814" t="str">
        <f t="shared" si="14"/>
        <v>工程地质条件</v>
      </c>
      <c r="R42" s="774" t="s">
        <v>17</v>
      </c>
      <c r="S42" s="775">
        <f t="shared" si="10"/>
        <v>100</v>
      </c>
      <c r="T42" s="774" t="s">
        <v>17</v>
      </c>
      <c r="U42" s="775">
        <f t="shared" si="11"/>
        <v>100</v>
      </c>
      <c r="V42" s="774" t="s">
        <v>17</v>
      </c>
      <c r="W42" s="775">
        <f t="shared" si="12"/>
        <v>100</v>
      </c>
      <c r="X42" s="1817"/>
      <c r="Y42" s="3187" t="s">
        <v>2564</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7"/>
      <c r="Q43" s="1814">
        <f t="shared" si="14"/>
        <v>111</v>
      </c>
      <c r="R43" s="774" t="s">
        <v>17</v>
      </c>
      <c r="S43" s="775">
        <f t="shared" si="10"/>
        <v>100</v>
      </c>
      <c r="T43" s="774" t="s">
        <v>17</v>
      </c>
      <c r="U43" s="775">
        <f t="shared" si="11"/>
        <v>100</v>
      </c>
      <c r="V43" s="774" t="s">
        <v>17</v>
      </c>
      <c r="W43" s="775">
        <f t="shared" si="12"/>
        <v>100</v>
      </c>
      <c r="X43" s="1817"/>
      <c r="Y43" s="3187"/>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7"/>
      <c r="Q44" s="1814">
        <f t="shared" si="14"/>
        <v>111</v>
      </c>
      <c r="R44" s="774" t="s">
        <v>17</v>
      </c>
      <c r="S44" s="775">
        <f t="shared" si="10"/>
        <v>100</v>
      </c>
      <c r="T44" s="774" t="s">
        <v>17</v>
      </c>
      <c r="U44" s="775">
        <f t="shared" si="11"/>
        <v>100</v>
      </c>
      <c r="V44" s="774" t="s">
        <v>17</v>
      </c>
      <c r="W44" s="775">
        <f t="shared" si="12"/>
        <v>100</v>
      </c>
      <c r="X44" s="1817"/>
      <c r="Y44" s="3187"/>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7"/>
      <c r="Q45" s="1814">
        <f t="shared" si="14"/>
        <v>111</v>
      </c>
      <c r="R45" s="777" t="s">
        <v>17</v>
      </c>
      <c r="S45" s="778">
        <f t="shared" si="10"/>
        <v>100</v>
      </c>
      <c r="T45" s="777" t="s">
        <v>17</v>
      </c>
      <c r="U45" s="778">
        <f t="shared" si="11"/>
        <v>100</v>
      </c>
      <c r="V45" s="777" t="s">
        <v>17</v>
      </c>
      <c r="W45" s="778">
        <f t="shared" si="12"/>
        <v>100</v>
      </c>
      <c r="X45" s="779"/>
      <c r="Y45" s="3187"/>
      <c r="Z45" s="780">
        <f t="shared" si="13"/>
        <v>111</v>
      </c>
      <c r="AA45" s="1815">
        <f t="shared" si="3"/>
        <v>1</v>
      </c>
      <c r="AB45" s="1815">
        <f t="shared" si="4"/>
        <v>1</v>
      </c>
      <c r="AC45" s="1815">
        <f t="shared" si="5"/>
        <v>1</v>
      </c>
    </row>
    <row r="46" spans="1:29" ht="15">
      <c r="A46" s="479" t="s">
        <v>2719</v>
      </c>
      <c r="B46" s="2708" t="s">
        <v>2755</v>
      </c>
      <c r="C46" s="682" t="s">
        <v>1</v>
      </c>
      <c r="D46" s="481"/>
      <c r="E46" s="482"/>
      <c r="F46" s="483"/>
      <c r="G46" s="484"/>
      <c r="H46" s="485"/>
      <c r="I46" s="482"/>
      <c r="J46" s="485"/>
      <c r="K46" s="783"/>
      <c r="L46" s="1146"/>
      <c r="M46" s="1147"/>
      <c r="N46" s="1134"/>
      <c r="O46" s="1147"/>
      <c r="P46" s="3179" t="str">
        <f>A46</f>
        <v>成交单价</v>
      </c>
      <c r="Q46" s="3179"/>
      <c r="R46" s="3208">
        <f>E46</f>
        <v>0</v>
      </c>
      <c r="S46" s="3208"/>
      <c r="T46" s="3208">
        <f>G46</f>
        <v>0</v>
      </c>
      <c r="U46" s="3208"/>
      <c r="V46" s="3208">
        <f>I46</f>
        <v>0</v>
      </c>
      <c r="W46" s="320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79" t="str">
        <f>A47</f>
        <v>比较价值（元/平方米）</v>
      </c>
      <c r="Q47" s="3179"/>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81" t="str">
        <f>A48</f>
        <v>估价对象XX用房的比较价值（楼面单价，元/平方米）</v>
      </c>
      <c r="Q48" s="3182"/>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92" t="s">
        <v>2763</v>
      </c>
      <c r="H55" s="3264"/>
      <c r="I55" s="143" t="s">
        <v>2764</v>
      </c>
      <c r="J55" s="2711" t="str">
        <f>项目基本情况!F35</f>
        <v>大兴区</v>
      </c>
      <c r="K55" s="2712" t="s">
        <v>2765</v>
      </c>
      <c r="L55" s="1109"/>
      <c r="M55" s="1147"/>
      <c r="N55" s="1147"/>
      <c r="O55" s="1147"/>
    </row>
    <row r="56" spans="1:15" s="692" customFormat="1">
      <c r="A56" s="688" t="s">
        <v>2766</v>
      </c>
      <c r="B56" s="689" t="e">
        <f>C48</f>
        <v>#DIV/0!</v>
      </c>
      <c r="C56" s="690">
        <v>1</v>
      </c>
      <c r="D56" s="1166">
        <v>1</v>
      </c>
      <c r="E56" s="690">
        <f>'数据-汇总表'!E8+'数据-汇总表'!E9</f>
        <v>28495.38</v>
      </c>
      <c r="F56" s="1106" t="e">
        <f t="shared" ref="F56:F65" si="15">ROUND(B56*E56/10000,0)</f>
        <v>#DIV/0!</v>
      </c>
      <c r="G56" s="3246"/>
      <c r="H56" s="3179"/>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65" t="s">
        <v>2768</v>
      </c>
      <c r="H57" s="1107" t="str">
        <f>项目基本情况!B37</f>
        <v>六级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65"/>
      <c r="H58" s="1107" t="str">
        <f>项目基本情况!B37</f>
        <v>六级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65"/>
      <c r="H59" s="1107" t="str">
        <f>项目基本情况!B37</f>
        <v>六级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65"/>
      <c r="H60" s="1107" t="str">
        <f>项目基本情况!B37</f>
        <v>六级</v>
      </c>
      <c r="I60" s="1111">
        <f>SUMIF(修正!A45:A56,H60,修正!E45:E56)</f>
        <v>0.25</v>
      </c>
      <c r="J60" s="1115"/>
      <c r="K60" s="1148"/>
      <c r="L60" s="944"/>
      <c r="M60" s="944"/>
      <c r="N60" s="944"/>
      <c r="O60" s="944"/>
    </row>
    <row r="61" spans="1:15" s="692" customFormat="1">
      <c r="A61" s="693" t="s">
        <v>2772</v>
      </c>
      <c r="B61" s="262" t="e">
        <f t="shared" si="17"/>
        <v>#DIV/0!</v>
      </c>
      <c r="C61" s="200">
        <f t="shared" si="16"/>
        <v>0.25</v>
      </c>
      <c r="D61" s="1167">
        <v>0.25</v>
      </c>
      <c r="E61" s="261">
        <f>'数据-汇总表'!E11</f>
        <v>0</v>
      </c>
      <c r="F61" s="1106" t="e">
        <f t="shared" si="15"/>
        <v>#DIV/0!</v>
      </c>
      <c r="G61" s="2713" t="s">
        <v>2773</v>
      </c>
      <c r="H61" s="1107" t="str">
        <f>项目基本情况!C37</f>
        <v>六级</v>
      </c>
      <c r="I61" s="1111">
        <f>SUMIF(修正!A45:A56,H61,修正!F45:F56)</f>
        <v>0.25</v>
      </c>
      <c r="J61" s="1115"/>
      <c r="K61" s="1147"/>
      <c r="L61" s="944"/>
      <c r="M61" s="944"/>
      <c r="N61" s="944"/>
      <c r="O61" s="944"/>
    </row>
    <row r="62" spans="1:15" s="692" customFormat="1">
      <c r="A62" s="693" t="s">
        <v>2774</v>
      </c>
      <c r="B62" s="262" t="e">
        <f t="shared" si="17"/>
        <v>#DIV/0!</v>
      </c>
      <c r="C62" s="200">
        <f t="shared" si="16"/>
        <v>0.25</v>
      </c>
      <c r="D62" s="1167">
        <v>0.25</v>
      </c>
      <c r="E62" s="261">
        <f>'数据-汇总表'!E12</f>
        <v>0</v>
      </c>
      <c r="F62" s="1106" t="e">
        <f t="shared" si="15"/>
        <v>#DIV/0!</v>
      </c>
      <c r="G62" s="1112" t="s">
        <v>2775</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t="e">
        <f t="shared" si="17"/>
        <v>#DIV/0!</v>
      </c>
      <c r="C63" s="200">
        <f t="shared" si="16"/>
        <v>0.2</v>
      </c>
      <c r="D63" s="1167">
        <v>0.25</v>
      </c>
      <c r="E63" s="261">
        <f>'数据-汇总表'!E13</f>
        <v>0</v>
      </c>
      <c r="F63" s="1106" t="e">
        <f t="shared" si="15"/>
        <v>#DIV/0!</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3" t="s">
        <v>2768</v>
      </c>
      <c r="H64" s="1107" t="str">
        <f>项目基本情况!B37</f>
        <v>六级</v>
      </c>
      <c r="I64" s="1111">
        <f>SUMIF(修正!A45:A56,H64,修正!H45:H56)</f>
        <v>0.2</v>
      </c>
      <c r="J64" s="1115"/>
      <c r="K64" s="1148"/>
      <c r="L64" s="944"/>
      <c r="M64" s="944"/>
      <c r="N64" s="944"/>
      <c r="O64" s="944"/>
    </row>
    <row r="65" spans="1:17" s="692" customFormat="1" ht="15" thickBot="1">
      <c r="A65" s="693" t="s">
        <v>2779</v>
      </c>
      <c r="B65" s="262" t="e">
        <f t="shared" si="17"/>
        <v>#DIV/0!</v>
      </c>
      <c r="C65" s="200">
        <f t="shared" si="16"/>
        <v>0.2</v>
      </c>
      <c r="D65" s="1167">
        <v>0.25</v>
      </c>
      <c r="E65" s="261">
        <f>'数据-汇总表'!E15</f>
        <v>0</v>
      </c>
      <c r="F65" s="1106" t="e">
        <f t="shared" si="15"/>
        <v>#DIV/0!</v>
      </c>
      <c r="G65" s="2714" t="s">
        <v>2773</v>
      </c>
      <c r="H65" s="1117" t="str">
        <f>项目基本情况!C37</f>
        <v>六级</v>
      </c>
      <c r="I65" s="1113">
        <f>SUMIF(修正!A45:A56,H65,修正!H45:H56)</f>
        <v>0.2</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28495.38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6" t="s">
        <v>2782</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2584</v>
      </c>
      <c r="B72" s="516"/>
      <c r="C72" s="517"/>
      <c r="D72" s="518"/>
      <c r="E72" s="518"/>
      <c r="F72" s="518"/>
      <c r="G72" s="518"/>
      <c r="H72" s="518"/>
      <c r="I72" s="518"/>
      <c r="J72" s="518"/>
      <c r="K72" s="518"/>
      <c r="L72" s="518"/>
      <c r="M72" s="519"/>
      <c r="N72" s="518"/>
      <c r="O72" s="1165"/>
      <c r="P72" s="504"/>
      <c r="Q72" s="504"/>
    </row>
    <row r="73" spans="1:17" s="116" customFormat="1" ht="15">
      <c r="A73" s="521" t="s">
        <v>2549</v>
      </c>
      <c r="B73" s="510"/>
      <c r="C73" s="522" t="s">
        <v>2651</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6"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6"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7"/>
      <c r="Y4" s="3202" t="s">
        <v>2650</v>
      </c>
      <c r="Z4" s="3203"/>
      <c r="AA4" s="3189" t="s">
        <v>2646</v>
      </c>
      <c r="AB4" s="3190" t="s">
        <v>2647</v>
      </c>
      <c r="AC4" s="3189" t="s">
        <v>2648</v>
      </c>
    </row>
    <row r="5" spans="1:29" ht="15">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7"/>
      <c r="Y5" s="3204"/>
      <c r="Z5" s="3205"/>
      <c r="AA5" s="3190"/>
      <c r="AB5" s="3190"/>
      <c r="AC5" s="3190"/>
    </row>
    <row r="6" spans="1:29" ht="15.75" thickBot="1">
      <c r="A6" s="406"/>
      <c r="B6" s="407"/>
      <c r="C6" s="3266" t="s">
        <v>2796</v>
      </c>
      <c r="D6" s="3267"/>
      <c r="E6" s="3268" t="s">
        <v>2796</v>
      </c>
      <c r="F6" s="3269"/>
      <c r="G6" s="3266" t="s">
        <v>2796</v>
      </c>
      <c r="H6" s="3267"/>
      <c r="I6" s="3266" t="s">
        <v>2796</v>
      </c>
      <c r="J6" s="3267"/>
      <c r="K6" s="610" t="s">
        <v>2546</v>
      </c>
      <c r="L6" s="1133"/>
      <c r="M6" s="1134"/>
      <c r="N6" s="1134"/>
      <c r="O6" s="1134"/>
      <c r="P6" s="3200"/>
      <c r="Q6" s="3201"/>
      <c r="R6" s="3204"/>
      <c r="S6" s="3205"/>
      <c r="T6" s="3206"/>
      <c r="U6" s="3207"/>
      <c r="V6" s="3208"/>
      <c r="W6" s="3208"/>
      <c r="X6" s="1817"/>
      <c r="Y6" s="3206"/>
      <c r="Z6" s="3207"/>
      <c r="AA6" s="3191"/>
      <c r="AB6" s="3191"/>
      <c r="AC6" s="3191"/>
    </row>
    <row r="7" spans="1:29" s="116" customFormat="1" ht="15.75" thickBot="1">
      <c r="A7" s="408" t="s">
        <v>2547</v>
      </c>
      <c r="B7" s="409"/>
      <c r="C7" s="410">
        <f>'数据-取费表'!B2</f>
        <v>43047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6"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6" customFormat="1">
      <c r="A9" s="415" t="s">
        <v>2552</v>
      </c>
      <c r="B9" s="71" t="s">
        <v>2553</v>
      </c>
      <c r="C9" s="2703"/>
      <c r="D9" s="134">
        <v>100</v>
      </c>
      <c r="E9" s="2703"/>
      <c r="F9" s="134">
        <f>SUMIF(70:70,E9,71:71)-SUMIF(70:70,C9,71:71)+100</f>
        <v>100</v>
      </c>
      <c r="G9" s="2703"/>
      <c r="H9" s="134">
        <f>SUMIF(70:70,G9,71:71)-SUMIF(70:70,C9,71:71)+100</f>
        <v>100</v>
      </c>
      <c r="I9" s="2703"/>
      <c r="J9" s="134">
        <f>SUMIF(70:70,I9,71:71)-SUMIF(70:70,C9,71:71)+100</f>
        <v>100</v>
      </c>
      <c r="K9" s="611"/>
      <c r="L9" s="1135"/>
      <c r="M9" s="1136"/>
      <c r="N9" s="1136"/>
      <c r="O9" s="1137"/>
      <c r="P9" s="3179" t="s">
        <v>2554</v>
      </c>
      <c r="Q9" s="1799"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179"/>
      <c r="Q10" s="1799" t="str">
        <f t="shared" si="6"/>
        <v>土地使用年限（年）</v>
      </c>
      <c r="R10" s="770" t="s">
        <v>17</v>
      </c>
      <c r="S10" s="771">
        <f t="shared" si="0"/>
        <v>111</v>
      </c>
      <c r="T10" s="770" t="s">
        <v>17</v>
      </c>
      <c r="U10" s="771">
        <f t="shared" si="1"/>
        <v>111</v>
      </c>
      <c r="V10" s="770" t="s">
        <v>17</v>
      </c>
      <c r="W10" s="771">
        <f t="shared" si="2"/>
        <v>111</v>
      </c>
      <c r="X10" s="772"/>
      <c r="Y10" s="3008"/>
      <c r="Z10" s="55" t="str">
        <f t="shared" si="7"/>
        <v>土地使用年限（年）</v>
      </c>
      <c r="AA10" s="773">
        <f t="shared" si="3"/>
        <v>0.90090090090090091</v>
      </c>
      <c r="AB10" s="773">
        <f t="shared" si="4"/>
        <v>0.90090090090090091</v>
      </c>
      <c r="AC10" s="773">
        <f t="shared" si="5"/>
        <v>0.90090090090090091</v>
      </c>
    </row>
    <row r="11" spans="1:29" ht="15">
      <c r="A11" s="428"/>
      <c r="B11" s="422" t="s">
        <v>2557</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179"/>
      <c r="Q11" s="1799"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6" customFormat="1" ht="15">
      <c r="A12" s="431"/>
      <c r="B12" s="2604">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179"/>
      <c r="Q12" s="1799">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4">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179"/>
      <c r="Q13" s="1799">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9">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2558</v>
      </c>
      <c r="B15" s="629" t="s">
        <v>2797</v>
      </c>
      <c r="C15" s="2697" t="str">
        <f>估价对象房地状况!G15</f>
        <v>估价对象位于北京经济技术开发区，园区建设成熟度较好，产业集聚程度较好。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4" t="s">
        <v>2559</v>
      </c>
      <c r="Q15" s="1814" t="str">
        <f t="shared" si="6"/>
        <v>产业集聚程度</v>
      </c>
      <c r="R15" s="774" t="s">
        <v>17</v>
      </c>
      <c r="S15" s="775">
        <f t="shared" si="0"/>
        <v>100</v>
      </c>
      <c r="T15" s="774" t="s">
        <v>17</v>
      </c>
      <c r="U15" s="775">
        <f t="shared" si="1"/>
        <v>100</v>
      </c>
      <c r="V15" s="774" t="s">
        <v>17</v>
      </c>
      <c r="W15" s="775">
        <f t="shared" si="2"/>
        <v>100</v>
      </c>
      <c r="X15" s="1817"/>
      <c r="Y15" s="3184" t="s">
        <v>2559</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85"/>
      <c r="Q16" s="1814"/>
      <c r="R16" s="774"/>
      <c r="S16" s="775"/>
      <c r="T16" s="774"/>
      <c r="U16" s="775"/>
      <c r="V16" s="774"/>
      <c r="W16" s="775"/>
      <c r="X16" s="1817"/>
      <c r="Y16" s="3185"/>
      <c r="Z16" s="1818"/>
      <c r="AA16" s="1815">
        <v>1</v>
      </c>
      <c r="AB16" s="1815">
        <v>1</v>
      </c>
      <c r="AC16" s="1815">
        <v>1</v>
      </c>
    </row>
    <row r="17" spans="1:29" ht="128.25">
      <c r="A17" s="428"/>
      <c r="B17" s="631" t="s">
        <v>2708</v>
      </c>
      <c r="C17" s="2611" t="str">
        <f>估价对象房地状况!G16</f>
        <v>估价对象紧邻城市支路——景园街，公共交通通达情况一般，周边有542、846路等公共交通，停车便捷程度较好，综合评价交通便捷度较好。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85"/>
      <c r="Q18" s="1814"/>
      <c r="R18" s="774"/>
      <c r="S18" s="775"/>
      <c r="T18" s="774"/>
      <c r="U18" s="775"/>
      <c r="V18" s="774"/>
      <c r="W18" s="775"/>
      <c r="X18" s="1817"/>
      <c r="Y18" s="3185"/>
      <c r="Z18" s="1818"/>
      <c r="AA18" s="1815">
        <v>1</v>
      </c>
      <c r="AB18" s="1815">
        <v>1</v>
      </c>
      <c r="AC18" s="1815">
        <v>1</v>
      </c>
    </row>
    <row r="19" spans="1:29" ht="42.75">
      <c r="A19" s="428"/>
      <c r="B19" s="631" t="s">
        <v>2747</v>
      </c>
      <c r="C19" s="2611" t="str">
        <f>估价对象房地状况!G17</f>
        <v>区域内多为工业用地，土地利用方向较为一致。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5"/>
      <c r="Q19" s="1814" t="str">
        <f t="shared" ref="Q19:Q33" si="8">B19</f>
        <v>区域土地利用方向</v>
      </c>
      <c r="R19" s="774" t="s">
        <v>17</v>
      </c>
      <c r="S19" s="775">
        <f>F19</f>
        <v>100</v>
      </c>
      <c r="T19" s="774" t="s">
        <v>17</v>
      </c>
      <c r="U19" s="775">
        <f>H19</f>
        <v>100</v>
      </c>
      <c r="V19" s="774" t="s">
        <v>17</v>
      </c>
      <c r="W19" s="775">
        <f>J19</f>
        <v>100</v>
      </c>
      <c r="X19" s="1817"/>
      <c r="Y19" s="3185"/>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85"/>
      <c r="Q20" s="1814"/>
      <c r="R20" s="774"/>
      <c r="S20" s="775"/>
      <c r="T20" s="774"/>
      <c r="U20" s="775"/>
      <c r="V20" s="774"/>
      <c r="W20" s="775"/>
      <c r="X20" s="1817"/>
      <c r="Y20" s="3185"/>
      <c r="Z20" s="1818"/>
      <c r="AA20" s="1815"/>
      <c r="AB20" s="1815"/>
      <c r="AC20" s="1815"/>
    </row>
    <row r="21" spans="1:29" ht="71.25">
      <c r="A21" s="404"/>
      <c r="B21" s="631" t="s">
        <v>2798</v>
      </c>
      <c r="C21" s="2611"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5"/>
      <c r="Q21" s="1814" t="str">
        <f t="shared" si="8"/>
        <v>环境状况</v>
      </c>
      <c r="R21" s="774" t="s">
        <v>17</v>
      </c>
      <c r="S21" s="775">
        <f>F21</f>
        <v>100</v>
      </c>
      <c r="T21" s="774" t="s">
        <v>17</v>
      </c>
      <c r="U21" s="775">
        <f>H21</f>
        <v>100</v>
      </c>
      <c r="V21" s="774" t="s">
        <v>17</v>
      </c>
      <c r="W21" s="775">
        <f>J21</f>
        <v>100</v>
      </c>
      <c r="X21" s="1817"/>
      <c r="Y21" s="3185"/>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85"/>
      <c r="Q22" s="1814"/>
      <c r="R22" s="774"/>
      <c r="S22" s="775"/>
      <c r="T22" s="774"/>
      <c r="U22" s="775"/>
      <c r="V22" s="774"/>
      <c r="W22" s="775"/>
      <c r="X22" s="1817"/>
      <c r="Y22" s="3185"/>
      <c r="Z22" s="1818"/>
      <c r="AA22" s="1815">
        <v>1</v>
      </c>
      <c r="AB22" s="1815">
        <v>1</v>
      </c>
      <c r="AC22" s="1815">
        <v>1</v>
      </c>
    </row>
    <row r="23" spans="1:29" s="116" customFormat="1" ht="199.5">
      <c r="A23" s="649"/>
      <c r="B23" s="633" t="s">
        <v>2653</v>
      </c>
      <c r="C23" s="2611" t="str">
        <f>估价对象房地状况!G19</f>
        <v>估价对象所在区域2公里以内有：银行（华夏银行、中国工商银行），超市（康盛宏利超市、和禾便利店），医院（北京同仁医院南区），学校（齐齐哈尔大学北京研发中心）等，公共配套设施齐备情况较好。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5"/>
      <c r="Q23" s="1799" t="str">
        <f t="shared" si="8"/>
        <v>公共配套设施</v>
      </c>
      <c r="R23" s="770" t="s">
        <v>17</v>
      </c>
      <c r="S23" s="771">
        <f>F23</f>
        <v>100</v>
      </c>
      <c r="T23" s="770" t="s">
        <v>17</v>
      </c>
      <c r="U23" s="771">
        <f>H23</f>
        <v>100</v>
      </c>
      <c r="V23" s="770" t="s">
        <v>17</v>
      </c>
      <c r="W23" s="771">
        <f>J23</f>
        <v>100</v>
      </c>
      <c r="X23" s="772"/>
      <c r="Y23" s="3185"/>
      <c r="Z23" s="55" t="str">
        <f>Q23</f>
        <v>公共配套设施</v>
      </c>
      <c r="AA23" s="1815">
        <f>D23/F23</f>
        <v>1</v>
      </c>
      <c r="AB23" s="1815">
        <f>D23/H23</f>
        <v>1</v>
      </c>
      <c r="AC23" s="1815">
        <f>D23/J23</f>
        <v>1</v>
      </c>
    </row>
    <row r="24" spans="1:29" s="116" customFormat="1" ht="15">
      <c r="A24" s="649"/>
      <c r="B24" s="632"/>
      <c r="C24" s="2704"/>
      <c r="D24" s="448"/>
      <c r="E24" s="2615"/>
      <c r="F24" s="448"/>
      <c r="G24" s="2615"/>
      <c r="H24" s="448"/>
      <c r="I24" s="447"/>
      <c r="J24" s="448"/>
      <c r="K24" s="672"/>
      <c r="L24" s="1135"/>
      <c r="M24" s="1136"/>
      <c r="N24" s="1136"/>
      <c r="O24" s="1137"/>
      <c r="P24" s="3185"/>
      <c r="Q24" s="1799"/>
      <c r="R24" s="770"/>
      <c r="S24" s="771"/>
      <c r="T24" s="770"/>
      <c r="U24" s="771"/>
      <c r="V24" s="770"/>
      <c r="W24" s="771"/>
      <c r="X24" s="772"/>
      <c r="Y24" s="3185"/>
      <c r="Z24" s="55"/>
      <c r="AA24" s="773">
        <v>1</v>
      </c>
      <c r="AB24" s="773">
        <v>1</v>
      </c>
      <c r="AC24" s="773">
        <v>1</v>
      </c>
    </row>
    <row r="25" spans="1:29" s="116" customFormat="1" ht="71.25">
      <c r="A25" s="649"/>
      <c r="B25" s="633" t="s">
        <v>2654</v>
      </c>
      <c r="C25" s="2611" t="str">
        <f>估价对象房地状况!G20</f>
        <v>估价对象所在区域基础设施水平达到“七通”；估价对象为“六通”。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5"/>
      <c r="Q25" s="1799"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5">
        <f>D25/F25</f>
        <v>1</v>
      </c>
      <c r="AB25" s="1815">
        <f>D25/H25</f>
        <v>1</v>
      </c>
      <c r="AC25" s="1815">
        <f>D25/J25</f>
        <v>1</v>
      </c>
    </row>
    <row r="26" spans="1:29" s="116" customFormat="1" ht="15">
      <c r="A26" s="649"/>
      <c r="B26" s="632"/>
      <c r="C26" s="2704"/>
      <c r="D26" s="448"/>
      <c r="E26" s="2705"/>
      <c r="F26" s="448"/>
      <c r="G26" s="2705"/>
      <c r="H26" s="448"/>
      <c r="I26" s="2705"/>
      <c r="J26" s="448"/>
      <c r="K26" s="672"/>
      <c r="L26" s="1135"/>
      <c r="M26" s="1136"/>
      <c r="N26" s="1136"/>
      <c r="O26" s="1137"/>
      <c r="P26" s="3185"/>
      <c r="Q26" s="1799"/>
      <c r="R26" s="770"/>
      <c r="S26" s="771"/>
      <c r="T26" s="770"/>
      <c r="U26" s="771"/>
      <c r="V26" s="770"/>
      <c r="W26" s="771"/>
      <c r="X26" s="772"/>
      <c r="Y26" s="318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5"/>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85"/>
      <c r="Z27" s="1818" t="str">
        <f t="shared" ref="Z27:Z40" si="13">Q27</f>
        <v>临街状况</v>
      </c>
      <c r="AA27" s="1815">
        <f t="shared" si="3"/>
        <v>1</v>
      </c>
      <c r="AB27" s="1815">
        <f t="shared" si="4"/>
        <v>1</v>
      </c>
      <c r="AC27" s="1815">
        <f t="shared" si="5"/>
        <v>1</v>
      </c>
    </row>
    <row r="28" spans="1:29" ht="28.5">
      <c r="A28" s="428"/>
      <c r="B28" s="633" t="s">
        <v>2690</v>
      </c>
      <c r="C28" s="2717" t="str">
        <f>估价对象房地状况!G22</f>
        <v>城市支路——景园街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5"/>
      <c r="Q28" s="1814" t="str">
        <f t="shared" si="8"/>
        <v>毗邻道路的类型与等级</v>
      </c>
      <c r="R28" s="774" t="s">
        <v>17</v>
      </c>
      <c r="S28" s="775">
        <f t="shared" si="10"/>
        <v>100</v>
      </c>
      <c r="T28" s="774" t="s">
        <v>17</v>
      </c>
      <c r="U28" s="775">
        <f t="shared" si="11"/>
        <v>100</v>
      </c>
      <c r="V28" s="774" t="s">
        <v>17</v>
      </c>
      <c r="W28" s="775">
        <f t="shared" si="12"/>
        <v>100</v>
      </c>
      <c r="X28" s="1817"/>
      <c r="Y28" s="3185"/>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85"/>
      <c r="Q29" s="1814"/>
      <c r="R29" s="774"/>
      <c r="S29" s="775"/>
      <c r="T29" s="774"/>
      <c r="U29" s="775"/>
      <c r="V29" s="774"/>
      <c r="W29" s="775"/>
      <c r="X29" s="1817"/>
      <c r="Y29" s="3185"/>
      <c r="Z29" s="1818"/>
      <c r="AA29" s="1815">
        <v>1</v>
      </c>
      <c r="AB29" s="1815">
        <v>1</v>
      </c>
      <c r="AC29" s="1815">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5"/>
      <c r="Q30" s="1814" t="str">
        <f t="shared" si="8"/>
        <v>土地级别</v>
      </c>
      <c r="R30" s="774" t="s">
        <v>17</v>
      </c>
      <c r="S30" s="775">
        <f t="shared" si="10"/>
        <v>100</v>
      </c>
      <c r="T30" s="774" t="s">
        <v>17</v>
      </c>
      <c r="U30" s="775">
        <f t="shared" si="11"/>
        <v>100</v>
      </c>
      <c r="V30" s="774" t="s">
        <v>17</v>
      </c>
      <c r="W30" s="775">
        <f t="shared" si="12"/>
        <v>100</v>
      </c>
      <c r="X30" s="1817"/>
      <c r="Y30" s="3185"/>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5"/>
      <c r="Q31" s="1814">
        <f t="shared" si="8"/>
        <v>111</v>
      </c>
      <c r="R31" s="774" t="s">
        <v>17</v>
      </c>
      <c r="S31" s="775">
        <f t="shared" si="10"/>
        <v>100</v>
      </c>
      <c r="T31" s="774" t="s">
        <v>17</v>
      </c>
      <c r="U31" s="775">
        <f t="shared" si="11"/>
        <v>100</v>
      </c>
      <c r="V31" s="774" t="s">
        <v>17</v>
      </c>
      <c r="W31" s="775">
        <f t="shared" si="12"/>
        <v>100</v>
      </c>
      <c r="X31" s="1817"/>
      <c r="Y31" s="3185"/>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6" t="s">
        <v>2564</v>
      </c>
      <c r="Q32" s="1814">
        <f t="shared" si="8"/>
        <v>111</v>
      </c>
      <c r="R32" s="774" t="s">
        <v>17</v>
      </c>
      <c r="S32" s="775">
        <f t="shared" si="10"/>
        <v>100</v>
      </c>
      <c r="T32" s="774" t="s">
        <v>17</v>
      </c>
      <c r="U32" s="775">
        <f t="shared" si="11"/>
        <v>100</v>
      </c>
      <c r="V32" s="774" t="s">
        <v>17</v>
      </c>
      <c r="W32" s="775">
        <f t="shared" si="12"/>
        <v>100</v>
      </c>
      <c r="X32" s="1817"/>
      <c r="Y32" s="3187" t="s">
        <v>2564</v>
      </c>
      <c r="Z32" s="1818">
        <f t="shared" si="13"/>
        <v>111</v>
      </c>
      <c r="AA32" s="1815">
        <f t="shared" si="3"/>
        <v>1</v>
      </c>
      <c r="AB32" s="1815">
        <f t="shared" si="4"/>
        <v>1</v>
      </c>
      <c r="AC32" s="1815">
        <f t="shared" si="5"/>
        <v>1</v>
      </c>
    </row>
    <row r="33" spans="1:29" s="471" customFormat="1" ht="15.75" thickBot="1">
      <c r="A33" s="676"/>
      <c r="B33" s="2719">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7"/>
      <c r="Q33" s="1814">
        <f t="shared" si="8"/>
        <v>111</v>
      </c>
      <c r="R33" s="777" t="s">
        <v>17</v>
      </c>
      <c r="S33" s="778">
        <f t="shared" si="10"/>
        <v>100</v>
      </c>
      <c r="T33" s="777" t="s">
        <v>17</v>
      </c>
      <c r="U33" s="778">
        <f t="shared" si="11"/>
        <v>100</v>
      </c>
      <c r="V33" s="777" t="s">
        <v>17</v>
      </c>
      <c r="W33" s="778">
        <f t="shared" si="12"/>
        <v>100</v>
      </c>
      <c r="X33" s="779"/>
      <c r="Y33" s="3187"/>
      <c r="Z33" s="780">
        <f t="shared" si="13"/>
        <v>111</v>
      </c>
      <c r="AA33" s="1815">
        <f t="shared" si="3"/>
        <v>1</v>
      </c>
      <c r="AB33" s="1815">
        <f t="shared" si="4"/>
        <v>1</v>
      </c>
      <c r="AC33" s="1815">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7"/>
      <c r="Q34" s="1814" t="str">
        <f>B34</f>
        <v>宗地面积</v>
      </c>
      <c r="R34" s="774" t="s">
        <v>17</v>
      </c>
      <c r="S34" s="775" t="e">
        <f t="shared" si="10"/>
        <v>#N/A</v>
      </c>
      <c r="T34" s="774" t="s">
        <v>17</v>
      </c>
      <c r="U34" s="775" t="e">
        <f t="shared" si="11"/>
        <v>#N/A</v>
      </c>
      <c r="V34" s="774" t="s">
        <v>17</v>
      </c>
      <c r="W34" s="775" t="e">
        <f t="shared" si="12"/>
        <v>#N/A</v>
      </c>
      <c r="X34" s="1817"/>
      <c r="Y34" s="3187"/>
      <c r="Z34" s="1818" t="str">
        <f t="shared" si="13"/>
        <v>宗地面积</v>
      </c>
      <c r="AA34" s="1815" t="e">
        <f t="shared" si="3"/>
        <v>#N/A</v>
      </c>
      <c r="AB34" s="1815" t="e">
        <f t="shared" si="4"/>
        <v>#N/A</v>
      </c>
      <c r="AC34" s="1815"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7"/>
      <c r="Q35" s="1814" t="str">
        <f t="shared" ref="Q35:Q40" si="14">B35</f>
        <v>宗地形状</v>
      </c>
      <c r="R35" s="774" t="s">
        <v>17</v>
      </c>
      <c r="S35" s="775">
        <f t="shared" si="10"/>
        <v>100</v>
      </c>
      <c r="T35" s="774" t="s">
        <v>17</v>
      </c>
      <c r="U35" s="775">
        <f t="shared" si="11"/>
        <v>100</v>
      </c>
      <c r="V35" s="774" t="s">
        <v>17</v>
      </c>
      <c r="W35" s="775">
        <f t="shared" si="12"/>
        <v>100</v>
      </c>
      <c r="X35" s="1817"/>
      <c r="Y35" s="3187"/>
      <c r="Z35" s="1818" t="str">
        <f t="shared" si="13"/>
        <v>宗地形状</v>
      </c>
      <c r="AA35" s="1815">
        <f t="shared" si="3"/>
        <v>1</v>
      </c>
      <c r="AB35" s="1815">
        <f t="shared" si="4"/>
        <v>1</v>
      </c>
      <c r="AC35" s="1815">
        <f t="shared" si="5"/>
        <v>1</v>
      </c>
    </row>
    <row r="36" spans="1:29" s="116" customFormat="1" ht="15">
      <c r="A36" s="473"/>
      <c r="B36" s="422" t="s">
        <v>2753</v>
      </c>
      <c r="C36" s="2706"/>
      <c r="D36" s="135">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87"/>
      <c r="Q36" s="1814"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7" t="s">
        <v>2564</v>
      </c>
      <c r="Q37" s="1814" t="str">
        <f t="shared" si="14"/>
        <v>工程地质条件</v>
      </c>
      <c r="R37" s="774" t="s">
        <v>17</v>
      </c>
      <c r="S37" s="775">
        <f t="shared" si="10"/>
        <v>100</v>
      </c>
      <c r="T37" s="774" t="s">
        <v>17</v>
      </c>
      <c r="U37" s="775">
        <f t="shared" si="11"/>
        <v>100</v>
      </c>
      <c r="V37" s="774" t="s">
        <v>17</v>
      </c>
      <c r="W37" s="775">
        <f t="shared" si="12"/>
        <v>100</v>
      </c>
      <c r="X37" s="1817"/>
      <c r="Y37" s="3187" t="s">
        <v>2564</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7"/>
      <c r="Q38" s="1814">
        <f t="shared" si="14"/>
        <v>111</v>
      </c>
      <c r="R38" s="774" t="s">
        <v>17</v>
      </c>
      <c r="S38" s="775">
        <f t="shared" si="10"/>
        <v>100</v>
      </c>
      <c r="T38" s="774" t="s">
        <v>17</v>
      </c>
      <c r="U38" s="775">
        <f t="shared" si="11"/>
        <v>100</v>
      </c>
      <c r="V38" s="774" t="s">
        <v>17</v>
      </c>
      <c r="W38" s="775">
        <f t="shared" si="12"/>
        <v>100</v>
      </c>
      <c r="X38" s="1817"/>
      <c r="Y38" s="3187"/>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7"/>
      <c r="Q39" s="1814">
        <f t="shared" si="14"/>
        <v>111</v>
      </c>
      <c r="R39" s="774" t="s">
        <v>17</v>
      </c>
      <c r="S39" s="775">
        <f t="shared" si="10"/>
        <v>100</v>
      </c>
      <c r="T39" s="774" t="s">
        <v>17</v>
      </c>
      <c r="U39" s="775">
        <f t="shared" si="11"/>
        <v>100</v>
      </c>
      <c r="V39" s="774" t="s">
        <v>17</v>
      </c>
      <c r="W39" s="775">
        <f t="shared" si="12"/>
        <v>100</v>
      </c>
      <c r="X39" s="1817"/>
      <c r="Y39" s="3187"/>
      <c r="Z39" s="1818">
        <f t="shared" si="13"/>
        <v>111</v>
      </c>
      <c r="AA39" s="1815">
        <f t="shared" si="3"/>
        <v>1</v>
      </c>
      <c r="AB39" s="1815">
        <f t="shared" si="4"/>
        <v>1</v>
      </c>
      <c r="AC39" s="1815">
        <f t="shared" si="5"/>
        <v>1</v>
      </c>
    </row>
    <row r="40" spans="1:29" s="471" customFormat="1" ht="15.75" thickBot="1">
      <c r="A40" s="468"/>
      <c r="B40" s="1390">
        <v>111</v>
      </c>
      <c r="C40" s="2707"/>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7"/>
      <c r="Q40" s="1814">
        <f t="shared" si="14"/>
        <v>111</v>
      </c>
      <c r="R40" s="777" t="s">
        <v>17</v>
      </c>
      <c r="S40" s="778">
        <f t="shared" si="10"/>
        <v>100</v>
      </c>
      <c r="T40" s="777" t="s">
        <v>17</v>
      </c>
      <c r="U40" s="778">
        <f t="shared" si="11"/>
        <v>100</v>
      </c>
      <c r="V40" s="777" t="s">
        <v>17</v>
      </c>
      <c r="W40" s="778">
        <f t="shared" si="12"/>
        <v>100</v>
      </c>
      <c r="X40" s="779"/>
      <c r="Y40" s="3187"/>
      <c r="Z40" s="780">
        <f t="shared" si="13"/>
        <v>111</v>
      </c>
      <c r="AA40" s="1815">
        <f t="shared" si="3"/>
        <v>1</v>
      </c>
      <c r="AB40" s="1815">
        <f t="shared" si="4"/>
        <v>1</v>
      </c>
      <c r="AC40" s="1815">
        <f t="shared" si="5"/>
        <v>1</v>
      </c>
    </row>
    <row r="41" spans="1:29" ht="15">
      <c r="A41" s="479" t="s">
        <v>2719</v>
      </c>
      <c r="B41" s="2708" t="s">
        <v>2799</v>
      </c>
      <c r="C41" s="682" t="s">
        <v>1</v>
      </c>
      <c r="D41" s="481"/>
      <c r="E41" s="482"/>
      <c r="F41" s="483"/>
      <c r="G41" s="484"/>
      <c r="H41" s="485"/>
      <c r="I41" s="482"/>
      <c r="J41" s="485"/>
      <c r="K41" s="783"/>
      <c r="L41" s="1146"/>
      <c r="M41" s="1134"/>
      <c r="N41" s="1134"/>
      <c r="O41" s="1147"/>
      <c r="P41" s="3179" t="str">
        <f>A41</f>
        <v>成交单价</v>
      </c>
      <c r="Q41" s="3179"/>
      <c r="R41" s="3208">
        <f>E41</f>
        <v>0</v>
      </c>
      <c r="S41" s="3208"/>
      <c r="T41" s="3208">
        <f>G41</f>
        <v>0</v>
      </c>
      <c r="U41" s="3208"/>
      <c r="V41" s="3208">
        <f>I41</f>
        <v>0</v>
      </c>
      <c r="W41" s="320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1" t="str">
        <f>A43</f>
        <v>估价对象XX用房的比较价值（楼面单价，元/平方米）</v>
      </c>
      <c r="Q43" s="3182"/>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92" t="s">
        <v>2763</v>
      </c>
      <c r="H50" s="3264"/>
      <c r="I50" s="1818" t="s">
        <v>2800</v>
      </c>
      <c r="J50" s="1818" t="str">
        <f>项目基本情况!F35</f>
        <v>大兴区</v>
      </c>
      <c r="K50" s="2712" t="s">
        <v>2765</v>
      </c>
      <c r="L50" s="1109"/>
      <c r="M50" s="1147"/>
      <c r="N50" s="1147"/>
      <c r="O50" s="1147"/>
    </row>
    <row r="51" spans="1:17" s="692" customFormat="1">
      <c r="A51" s="688" t="s">
        <v>2766</v>
      </c>
      <c r="B51" s="689" t="e">
        <f>C43</f>
        <v>#DIV/0!</v>
      </c>
      <c r="C51" s="690">
        <v>1</v>
      </c>
      <c r="D51" s="1166">
        <v>1</v>
      </c>
      <c r="E51" s="690">
        <f>'数据-汇总表'!E8+'数据-汇总表'!E9</f>
        <v>28495.38</v>
      </c>
      <c r="F51" s="691" t="e">
        <f t="shared" ref="F51:F60" si="15">ROUND(B51*E51/10000,0)</f>
        <v>#DIV/0!</v>
      </c>
      <c r="G51" s="3246"/>
      <c r="H51" s="3179"/>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65" t="s">
        <v>2768</v>
      </c>
      <c r="H52" s="1107" t="str">
        <f>项目基本情况!B37</f>
        <v>六级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65"/>
      <c r="H53" s="1107" t="str">
        <f>项目基本情况!B37</f>
        <v>六级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65"/>
      <c r="H54" s="1107" t="str">
        <f>项目基本情况!B37</f>
        <v>六级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65"/>
      <c r="H55" s="1107" t="str">
        <f>项目基本情况!B37</f>
        <v>六级</v>
      </c>
      <c r="I55" s="945">
        <f>SUMIF(修正!A45:A56,H55,修正!E45:E56)</f>
        <v>0.25</v>
      </c>
      <c r="J55" s="946"/>
      <c r="K55" s="1148"/>
      <c r="L55" s="944"/>
      <c r="M55" s="944"/>
      <c r="N55" s="944"/>
      <c r="O55" s="944"/>
    </row>
    <row r="56" spans="1:17" s="692" customFormat="1">
      <c r="A56" s="693" t="s">
        <v>2772</v>
      </c>
      <c r="B56" s="262" t="e">
        <f t="shared" si="17"/>
        <v>#DIV/0!</v>
      </c>
      <c r="C56" s="200">
        <f t="shared" si="16"/>
        <v>0.25</v>
      </c>
      <c r="D56" s="1167">
        <v>0.25</v>
      </c>
      <c r="E56" s="261">
        <f>'数据-汇总表'!E11</f>
        <v>0</v>
      </c>
      <c r="F56" s="691" t="e">
        <f t="shared" si="15"/>
        <v>#DIV/0!</v>
      </c>
      <c r="G56" s="2713" t="s">
        <v>2773</v>
      </c>
      <c r="H56" s="1107" t="str">
        <f>项目基本情况!C37</f>
        <v>六级</v>
      </c>
      <c r="I56" s="945">
        <f>SUMIF(修正!A45:A56,H56,修正!F45:F56)</f>
        <v>0.25</v>
      </c>
      <c r="J56" s="946"/>
      <c r="K56" s="1147"/>
      <c r="L56" s="944"/>
      <c r="M56" s="944"/>
      <c r="N56" s="944"/>
      <c r="O56" s="944"/>
    </row>
    <row r="57" spans="1:17" s="692" customFormat="1">
      <c r="A57" s="693" t="s">
        <v>2774</v>
      </c>
      <c r="B57" s="262" t="e">
        <f t="shared" si="17"/>
        <v>#DIV/0!</v>
      </c>
      <c r="C57" s="200">
        <f t="shared" si="16"/>
        <v>0.25</v>
      </c>
      <c r="D57" s="1167">
        <v>0.25</v>
      </c>
      <c r="E57" s="261">
        <f>'数据-汇总表'!E12</f>
        <v>0</v>
      </c>
      <c r="F57" s="691" t="e">
        <f t="shared" si="15"/>
        <v>#DIV/0!</v>
      </c>
      <c r="G57" s="1112" t="s">
        <v>2775</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2776</v>
      </c>
      <c r="B58" s="262" t="e">
        <f t="shared" si="17"/>
        <v>#DIV/0!</v>
      </c>
      <c r="C58" s="200">
        <f t="shared" si="16"/>
        <v>0.2</v>
      </c>
      <c r="D58" s="1167">
        <v>0.25</v>
      </c>
      <c r="E58" s="261">
        <f>'数据-汇总表'!E13</f>
        <v>0</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3" t="s">
        <v>2768</v>
      </c>
      <c r="H59" s="1107" t="str">
        <f>项目基本情况!B37</f>
        <v>六级</v>
      </c>
      <c r="I59" s="945">
        <f>SUMIF(修正!A45:A56,H59,修正!H45:H56)</f>
        <v>0.2</v>
      </c>
      <c r="J59" s="946"/>
      <c r="K59" s="1148"/>
      <c r="L59" s="944"/>
      <c r="M59" s="944"/>
      <c r="N59" s="944"/>
      <c r="O59" s="944"/>
    </row>
    <row r="60" spans="1:17" s="692" customFormat="1" ht="15" thickBot="1">
      <c r="A60" s="693" t="s">
        <v>2779</v>
      </c>
      <c r="B60" s="262" t="e">
        <f t="shared" si="17"/>
        <v>#DIV/0!</v>
      </c>
      <c r="C60" s="200">
        <f t="shared" si="16"/>
        <v>0.2</v>
      </c>
      <c r="D60" s="1167">
        <v>0.25</v>
      </c>
      <c r="E60" s="261">
        <f>'数据-汇总表'!E15</f>
        <v>0</v>
      </c>
      <c r="F60" s="691" t="e">
        <f t="shared" si="15"/>
        <v>#DIV/0!</v>
      </c>
      <c r="G60" s="2714" t="s">
        <v>2773</v>
      </c>
      <c r="H60" s="1117" t="str">
        <f>项目基本情况!C37</f>
        <v>六级</v>
      </c>
      <c r="I60" s="945">
        <f>SUMIF(修正!A45:A56,H60,修正!H45:H56)</f>
        <v>0.2</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66147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20" t="s">
        <v>2801</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2584</v>
      </c>
      <c r="B67" s="516"/>
      <c r="C67" s="517"/>
      <c r="D67" s="518"/>
      <c r="E67" s="518"/>
      <c r="F67" s="518"/>
      <c r="G67" s="518"/>
      <c r="H67" s="518"/>
      <c r="I67" s="518"/>
      <c r="J67" s="518"/>
      <c r="K67" s="518"/>
      <c r="L67" s="518"/>
      <c r="M67" s="519"/>
      <c r="N67" s="519"/>
      <c r="O67" s="520"/>
      <c r="P67" s="504"/>
      <c r="Q67" s="504"/>
    </row>
    <row r="68" spans="1:17" s="116" customFormat="1" ht="15">
      <c r="A68" s="521" t="s">
        <v>2549</v>
      </c>
      <c r="B68" s="510"/>
      <c r="C68" s="522" t="s">
        <v>2651</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6"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6"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3001</v>
      </c>
    </row>
    <row r="2" spans="1:5" ht="15.75">
      <c r="A2" s="2914" t="s">
        <v>2993</v>
      </c>
      <c r="B2" s="2915">
        <f ca="1">SUMIF(B6:B13,"&lt;&gt;#ref!",B6:B13)</f>
        <v>12615</v>
      </c>
      <c r="C2" s="2914" t="s">
        <v>2994</v>
      </c>
      <c r="D2" s="2914" t="s">
        <v>2995</v>
      </c>
      <c r="E2" s="2915" t="e">
        <f ca="1">SUM(E6:E13)</f>
        <v>#REF!</v>
      </c>
    </row>
    <row r="3" spans="1:5" ht="15.75">
      <c r="A3" s="2914" t="s">
        <v>2996</v>
      </c>
      <c r="B3" s="2915" t="e">
        <f ca="1">ROUND(B2*10000/E2,0)</f>
        <v>#REF!</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f ca="1">SUMIF(INDIRECT("'"&amp;A6&amp;"'"&amp;"!A:A"),"总价",INDIRECT("'"&amp;A6&amp;"'"&amp;"!B:B"))</f>
        <v>12615</v>
      </c>
      <c r="C6" s="2914" t="s">
        <v>2994</v>
      </c>
      <c r="D6" s="2916"/>
      <c r="E6" s="2579">
        <f ca="1">SUMIF(INDIRECT("'"&amp;A6&amp;"'"&amp;"!C:C"),"建筑面积",INDIRECT("'"&amp;A6&amp;"'"&amp;"!D:D"))</f>
        <v>28495.38</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6" t="s">
        <v>1150</v>
      </c>
      <c r="C1" s="3276"/>
      <c r="D1" s="3276"/>
      <c r="E1" s="3276"/>
      <c r="F1" s="3276"/>
      <c r="G1" s="3275" t="s">
        <v>1151</v>
      </c>
      <c r="H1" s="3275"/>
      <c r="I1" s="3275"/>
      <c r="J1" s="3275"/>
      <c r="K1" s="3275"/>
      <c r="L1" s="3275"/>
      <c r="N1" s="3275" t="s">
        <v>1152</v>
      </c>
      <c r="O1" s="3275"/>
      <c r="P1" s="3275"/>
      <c r="Q1" s="3275"/>
      <c r="R1" s="1449"/>
      <c r="S1" s="3275" t="s">
        <v>1153</v>
      </c>
      <c r="T1" s="3275"/>
      <c r="U1" s="3275"/>
      <c r="V1" s="3275"/>
      <c r="X1" s="3274" t="s">
        <v>1154</v>
      </c>
      <c r="Y1" s="3275"/>
      <c r="Z1" s="3275"/>
      <c r="AA1" s="3275"/>
      <c r="AB1" s="3275"/>
      <c r="AD1" s="3274" t="s">
        <v>1155</v>
      </c>
      <c r="AE1" s="3275"/>
      <c r="AF1" s="3275"/>
      <c r="AG1" s="3275"/>
      <c r="AH1" s="327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3038</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3036</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3037</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5"/>
      <c r="B4" s="2968" t="s">
        <v>1631</v>
      </c>
      <c r="C4" s="2968"/>
      <c r="D4" s="2968"/>
      <c r="E4" s="1965"/>
    </row>
    <row r="5" spans="1:5" ht="16.5" thickTop="1">
      <c r="A5" s="1963"/>
      <c r="B5" s="2966" t="s">
        <v>1623</v>
      </c>
      <c r="C5" s="1966" t="s">
        <v>1624</v>
      </c>
      <c r="D5" s="1043">
        <f ca="1">结果表!H101</f>
        <v>24946</v>
      </c>
      <c r="E5" s="1963"/>
    </row>
    <row r="6" spans="1:5" ht="15.75">
      <c r="A6" s="1963"/>
      <c r="B6" s="2966"/>
      <c r="C6" s="1966" t="s">
        <v>1625</v>
      </c>
      <c r="D6" s="1043" t="str">
        <f ca="1">NUMBERSTRING(INT(D5*10000),2)&amp;"元整"</f>
        <v>贰亿肆仟玖佰肆拾陆万元整</v>
      </c>
      <c r="E6" s="1963"/>
    </row>
    <row r="7" spans="1:5" ht="15.75">
      <c r="A7" s="1963"/>
      <c r="B7" s="2971"/>
      <c r="C7" s="1967" t="s">
        <v>1626</v>
      </c>
      <c r="D7" s="1044">
        <f ca="1">结果表!H102</f>
        <v>8634</v>
      </c>
      <c r="E7" s="1963"/>
    </row>
    <row r="8" spans="1:5" ht="15.75">
      <c r="A8" s="1963"/>
      <c r="B8" s="2972" t="str">
        <f>结果表!E103</f>
        <v>2.估价师知悉的法定优先受偿款</v>
      </c>
      <c r="C8" s="1968" t="s">
        <v>1627</v>
      </c>
      <c r="D8" s="1044">
        <f>结果表!H103</f>
        <v>0</v>
      </c>
      <c r="E8" s="1963"/>
    </row>
    <row r="9" spans="1:5" ht="15.75">
      <c r="A9" s="1963"/>
      <c r="B9" s="2974"/>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65" t="str">
        <f>结果表!E107</f>
        <v>3.房地产抵押价值</v>
      </c>
      <c r="C13" s="1971" t="s">
        <v>1624</v>
      </c>
      <c r="D13" s="1046">
        <f ca="1">结果表!H107</f>
        <v>24946</v>
      </c>
      <c r="E13" s="1963"/>
    </row>
    <row r="14" spans="1:5" ht="15.75">
      <c r="A14" s="1963"/>
      <c r="B14" s="2966"/>
      <c r="C14" s="1966" t="s">
        <v>1625</v>
      </c>
      <c r="D14" s="1043" t="str">
        <f ca="1">NUMBERSTRING(INT(D13*10000),2)&amp;"元整"</f>
        <v>贰亿肆仟玖佰肆拾陆万元整</v>
      </c>
      <c r="E14" s="1963"/>
    </row>
    <row r="15" spans="1:5" ht="15">
      <c r="A15" s="1963"/>
      <c r="B15" s="2971"/>
      <c r="C15" s="1967" t="s">
        <v>1635</v>
      </c>
      <c r="D15" s="1055">
        <f ca="1">结果表!H108</f>
        <v>8634</v>
      </c>
      <c r="E15" s="1963"/>
    </row>
    <row r="16" spans="1:5" ht="15">
      <c r="A16" s="1963"/>
      <c r="B16" s="2972" t="str">
        <f>结果表!E109</f>
        <v>——</v>
      </c>
      <c r="C16" s="1971" t="s">
        <v>1636</v>
      </c>
      <c r="D16" s="1972" t="str">
        <f>结果表!H109</f>
        <v>——</v>
      </c>
      <c r="E16" s="1963"/>
    </row>
    <row r="17" spans="1:5" ht="15.75">
      <c r="A17" s="1963"/>
      <c r="B17" s="2973"/>
      <c r="C17" s="1966" t="s">
        <v>1637</v>
      </c>
      <c r="D17" s="1043" t="e">
        <f>NUMBERSTRING(INT(D16*10000),2)&amp;"元整"</f>
        <v>#VALUE!</v>
      </c>
      <c r="E17" s="1963"/>
    </row>
    <row r="18" spans="1:5" ht="15">
      <c r="A18" s="1963"/>
      <c r="B18" s="2974"/>
      <c r="C18" s="1967" t="s">
        <v>1626</v>
      </c>
      <c r="D18" s="1055" t="str">
        <f>结果表!H110</f>
        <v>——</v>
      </c>
      <c r="E18" s="1963"/>
    </row>
    <row r="19" spans="1:5" ht="15.75">
      <c r="A19" s="1963"/>
      <c r="B19" s="2965" t="str">
        <f>结果表!E111</f>
        <v>——</v>
      </c>
      <c r="C19" s="1971" t="s">
        <v>1624</v>
      </c>
      <c r="D19" s="1044" t="str">
        <f>结果表!H111</f>
        <v>——</v>
      </c>
      <c r="E19" s="1963"/>
    </row>
    <row r="20" spans="1:5" ht="15.75">
      <c r="A20" s="1963"/>
      <c r="B20" s="2966"/>
      <c r="C20" s="1966" t="s">
        <v>1637</v>
      </c>
      <c r="D20" s="1043" t="e">
        <f>NUMBERSTRING(INT(D19*10000),2)&amp;"元整"</f>
        <v>#VALUE!</v>
      </c>
      <c r="E20" s="1963"/>
    </row>
    <row r="21" spans="1:5" ht="15.75" thickBot="1">
      <c r="A21" s="1963"/>
      <c r="B21" s="2967"/>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3003</v>
      </c>
      <c r="C1" s="3282" t="s">
        <v>3004</v>
      </c>
      <c r="D1" s="3283"/>
      <c r="E1" s="3283"/>
      <c r="F1" s="3283"/>
      <c r="G1" s="3283"/>
      <c r="H1" s="3283"/>
      <c r="I1" s="3283"/>
      <c r="J1" s="3283"/>
      <c r="K1" s="3283"/>
      <c r="L1" s="3283"/>
      <c r="M1" s="3283"/>
      <c r="N1" s="3283"/>
      <c r="O1" s="3283"/>
      <c r="P1" s="3283"/>
      <c r="Q1" s="3283"/>
      <c r="R1" s="3283"/>
      <c r="S1" s="328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3013</v>
      </c>
      <c r="B17" s="2921"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2" t="s">
        <v>3015</v>
      </c>
      <c r="E19" s="1796"/>
      <c r="F19" s="1796"/>
      <c r="G19" s="1796"/>
      <c r="H19" s="1283"/>
      <c r="I19" s="168"/>
      <c r="J19" s="168"/>
      <c r="K19" s="168"/>
      <c r="L19" s="168"/>
      <c r="M19" s="168"/>
      <c r="N19" s="168"/>
      <c r="O19" s="168"/>
      <c r="P19" s="168"/>
      <c r="Q19" s="168"/>
      <c r="R19" s="788"/>
      <c r="S19" s="137"/>
    </row>
    <row r="20" spans="1:45" ht="16.5" thickBot="1">
      <c r="A20" s="715" t="s">
        <v>3016</v>
      </c>
      <c r="B20" s="338" t="e">
        <f ca="1">IF(D20="——",S22,S22-F20)</f>
        <v>#REF!</v>
      </c>
      <c r="C20" s="168"/>
      <c r="D20" s="2923" t="s">
        <v>3017</v>
      </c>
      <c r="E20" s="1797"/>
      <c r="F20" s="1207" t="e">
        <f ca="1">SUMIF(INDIRECT("'"&amp;H20&amp;"'"&amp;"!A:A"),"承租人权益价值",INDIRECT("'"&amp;H20&amp;"'"&amp;"!c:c"))</f>
        <v>#REF!</v>
      </c>
      <c r="G20" s="1207" t="s">
        <v>3018</v>
      </c>
      <c r="H20" s="2924"/>
      <c r="I20" s="168"/>
      <c r="J20" s="168"/>
      <c r="K20" s="168"/>
      <c r="L20" s="168"/>
      <c r="M20" s="168"/>
      <c r="N20" s="168"/>
      <c r="O20" s="168"/>
      <c r="P20" s="168"/>
      <c r="Q20" s="168"/>
      <c r="R20" s="788"/>
      <c r="S20" s="137"/>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7"/>
    </row>
    <row r="22" spans="1:45">
      <c r="A22" s="361" t="s">
        <v>3020</v>
      </c>
      <c r="B22" s="24">
        <f>SUM(B24:B10000)</f>
        <v>100</v>
      </c>
      <c r="C22" s="3145" t="s">
        <v>33</v>
      </c>
      <c r="D22" s="3146"/>
      <c r="E22" s="3146"/>
      <c r="F22" s="3146"/>
      <c r="G22" s="3146"/>
      <c r="H22" s="3146"/>
      <c r="I22" s="3146"/>
      <c r="J22" s="3146"/>
      <c r="K22" s="3146"/>
      <c r="L22" s="3146"/>
      <c r="M22" s="3146"/>
      <c r="N22" s="3146"/>
      <c r="O22" s="3146"/>
      <c r="P22" s="3146"/>
      <c r="Q22" s="328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36152</v>
      </c>
      <c r="C2" s="2" t="s">
        <v>133</v>
      </c>
      <c r="D2" s="243"/>
      <c r="E2" s="243"/>
      <c r="F2" s="243"/>
      <c r="G2" s="243"/>
    </row>
    <row r="3" spans="1:7" s="244" customFormat="1" ht="18" customHeight="1" thickBot="1">
      <c r="A3" s="247" t="s">
        <v>85</v>
      </c>
      <c r="B3" s="248">
        <f ca="1">ROUND(B2*10000/'数据-汇总表'!E3,0)</f>
        <v>12512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'[1]数据-取费表'!B27</f>
        <v>150</v>
      </c>
      <c r="F9" s="265"/>
      <c r="G9" s="270"/>
    </row>
    <row r="10" spans="1:7" s="258" customFormat="1" ht="13.5" customHeight="1">
      <c r="A10" s="953" t="s">
        <v>801</v>
      </c>
      <c r="B10" s="268" t="s">
        <v>94</v>
      </c>
      <c r="C10" s="269">
        <f>ROUND(D10*E10/10000,0)</f>
        <v>549</v>
      </c>
      <c r="D10" s="1035">
        <f>'数据-汇总表'!E6</f>
        <v>28894.02</v>
      </c>
      <c r="E10" s="269">
        <f>'[1]数据-取费表'!B28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578</v>
      </c>
      <c r="D19" s="1039">
        <f>'数据-汇总表'!E3</f>
        <v>28894.02</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1543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3242</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3242</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6483</v>
      </c>
      <c r="D34" s="261"/>
      <c r="E34" s="264"/>
      <c r="F34" s="301">
        <f>IF('数据-取费表'!B24=0,1,'数据-取费表'!N16)</f>
        <v>1</v>
      </c>
      <c r="G34" s="263" t="s">
        <v>116</v>
      </c>
    </row>
    <row r="35" spans="1:7" ht="13.5" customHeight="1">
      <c r="A35" s="954" t="s">
        <v>796</v>
      </c>
      <c r="B35" s="259" t="s">
        <v>60</v>
      </c>
      <c r="C35" s="264">
        <f>ROUND(C34*F35,0)</f>
        <v>194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578</v>
      </c>
      <c r="D37" s="261">
        <f>'数据-汇总表'!E3</f>
        <v>28894.02</v>
      </c>
      <c r="E37" s="293">
        <f>'数据-取费表'!B35</f>
        <v>200</v>
      </c>
      <c r="F37" s="303"/>
      <c r="G37" s="305" t="s">
        <v>119</v>
      </c>
    </row>
    <row r="38" spans="1:7" ht="13.5" customHeight="1">
      <c r="A38" s="954" t="s">
        <v>799</v>
      </c>
      <c r="B38" s="259" t="s">
        <v>63</v>
      </c>
      <c r="C38" s="264">
        <f>ROUND(C34*F38,0)</f>
        <v>97</v>
      </c>
      <c r="D38" s="264"/>
      <c r="E38" s="264"/>
      <c r="F38" s="303">
        <f>'数据-取费表'!B36</f>
        <v>1.4999999999999999E-2</v>
      </c>
      <c r="G38" s="263" t="s">
        <v>117</v>
      </c>
    </row>
    <row r="39" spans="1:7" s="258" customFormat="1" ht="13.5" customHeight="1">
      <c r="A39" s="951" t="s">
        <v>783</v>
      </c>
      <c r="B39" s="254" t="s">
        <v>104</v>
      </c>
      <c r="C39" s="276">
        <f>ROUND(C33*F20,0)</f>
        <v>147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265</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260</v>
      </c>
      <c r="D42" s="282"/>
      <c r="E42" s="282"/>
      <c r="F42" s="283"/>
      <c r="G42" s="3150" t="s">
        <v>121</v>
      </c>
    </row>
    <row r="43" spans="1:7" ht="13.5" customHeight="1">
      <c r="A43" s="954" t="s">
        <v>792</v>
      </c>
      <c r="B43" s="259" t="s">
        <v>1064</v>
      </c>
      <c r="C43" s="282">
        <f ca="1">ROUND(IF('数据-取费表'!B22&lt;=1,C39*F22*'数据-取费表'!B21/2,C39*(POWER((1+F22),'数据-取费表'!B21/2)-1)),0)</f>
        <v>5</v>
      </c>
      <c r="D43" s="282"/>
      <c r="E43" s="282"/>
      <c r="F43" s="283"/>
      <c r="G43" s="3151"/>
    </row>
    <row r="44" spans="1:7" ht="13.5" customHeight="1">
      <c r="A44" s="954" t="s">
        <v>793</v>
      </c>
      <c r="B44" s="259" t="s">
        <v>1066</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1125</v>
      </c>
      <c r="D45" s="279">
        <f>C47</f>
        <v>3.0000000000000001E-3</v>
      </c>
      <c r="E45" s="280" t="s">
        <v>129</v>
      </c>
      <c r="F45" s="290"/>
      <c r="G45" s="291" t="s">
        <v>1072</v>
      </c>
    </row>
    <row r="46" spans="1:7" s="258" customFormat="1" ht="13.5" customHeight="1">
      <c r="A46" s="954" t="s">
        <v>794</v>
      </c>
      <c r="B46" s="292" t="s">
        <v>1065</v>
      </c>
      <c r="C46" s="293">
        <f>ROUND((C33+C39)*F27,0)</f>
        <v>1125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9621</v>
      </c>
      <c r="D49" s="276"/>
      <c r="E49" s="276"/>
      <c r="F49" s="308"/>
      <c r="G49" s="278" t="s">
        <v>1073</v>
      </c>
    </row>
    <row r="50" spans="1:7" s="302" customFormat="1" ht="24">
      <c r="A50" s="951" t="s">
        <v>789</v>
      </c>
      <c r="B50" s="254" t="s">
        <v>124</v>
      </c>
      <c r="C50" s="276"/>
      <c r="D50" s="276"/>
      <c r="E50" s="276"/>
      <c r="F50" s="308">
        <f>IF('数据-取费表'!B24=0,'数据-取费表'!N16,1)</f>
        <v>0.78800000000000003</v>
      </c>
      <c r="G50" s="291" t="s">
        <v>125</v>
      </c>
    </row>
    <row r="51" spans="1:7" ht="16.5" customHeight="1">
      <c r="A51" s="951" t="s">
        <v>790</v>
      </c>
      <c r="B51" s="254" t="s">
        <v>132</v>
      </c>
      <c r="C51" s="276">
        <f ca="1">ROUND(C49*F50,0)</f>
        <v>7581</v>
      </c>
      <c r="D51" s="276"/>
      <c r="E51" s="276"/>
      <c r="F51" s="308"/>
      <c r="G51" s="278" t="s">
        <v>64</v>
      </c>
    </row>
    <row r="52" spans="1:7" s="252" customFormat="1" ht="16.5" thickBot="1">
      <c r="A52" s="309" t="s">
        <v>65</v>
      </c>
      <c r="B52" s="310"/>
      <c r="C52" s="311">
        <f ca="1">C31+C51</f>
        <v>36152</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X1"/>
  <sheetViews>
    <sheetView topLeftCell="C1" workbookViewId="0">
      <selection activeCell="F44" sqref="F44"/>
    </sheetView>
  </sheetViews>
  <sheetFormatPr defaultRowHeight="13.5"/>
  <sheetData>
    <row r="1" spans="10:24">
      <c r="J1" s="2948" t="s">
        <v>3090</v>
      </c>
      <c r="X1" s="2948" t="s">
        <v>3095</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
  <sheetViews>
    <sheetView workbookViewId="0">
      <selection activeCell="D3" sqref="D3"/>
    </sheetView>
  </sheetViews>
  <sheetFormatPr defaultRowHeight="13.5"/>
  <sheetData>
    <row r="1" spans="2:4">
      <c r="C1" s="2948" t="s">
        <v>3106</v>
      </c>
      <c r="D1" s="2948" t="s">
        <v>3107</v>
      </c>
    </row>
    <row r="2" spans="2:4">
      <c r="B2" s="2948" t="s">
        <v>3103</v>
      </c>
      <c r="C2">
        <v>33256</v>
      </c>
      <c r="D2">
        <f>ROUND(C2/$C$5*$D$5,0)</f>
        <v>1</v>
      </c>
    </row>
    <row r="3" spans="2:4">
      <c r="B3" s="2948" t="s">
        <v>3104</v>
      </c>
      <c r="C3">
        <v>15171</v>
      </c>
      <c r="D3">
        <f t="shared" ref="D3:D4" si="0">ROUND(C3/$C$5*$D$5,0)</f>
        <v>1</v>
      </c>
    </row>
    <row r="4" spans="2:4">
      <c r="B4" s="2948" t="s">
        <v>3105</v>
      </c>
      <c r="C4">
        <v>503933</v>
      </c>
      <c r="D4">
        <f t="shared" si="0"/>
        <v>21</v>
      </c>
    </row>
    <row r="5" spans="2:4">
      <c r="C5">
        <f>SUM(C2:C4)</f>
        <v>552360</v>
      </c>
      <c r="D5">
        <v>23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1642</v>
      </c>
      <c r="B2" s="2985" t="s">
        <v>1643</v>
      </c>
      <c r="C2" s="2985" t="s">
        <v>1644</v>
      </c>
      <c r="D2" s="2985" t="str">
        <f>结果表!D116</f>
        <v>出让国有建设用地使用权价值</v>
      </c>
      <c r="E2" s="2985"/>
      <c r="F2" s="2985" t="str">
        <f>结果表!F116</f>
        <v>建筑物价值</v>
      </c>
      <c r="G2" s="2985"/>
      <c r="H2" s="2985" t="str">
        <f>IF(项目基本情况!B9="房地产市场价值","房地产市场价值","房地产价值")</f>
        <v>房地产市场价值</v>
      </c>
      <c r="I2" s="2985"/>
    </row>
    <row r="3" spans="1:9" ht="15">
      <c r="A3" s="2979"/>
      <c r="B3" s="2979"/>
      <c r="C3" s="2979"/>
      <c r="D3" s="1047" t="s">
        <v>1639</v>
      </c>
      <c r="E3" s="1047" t="s">
        <v>1645</v>
      </c>
      <c r="F3" s="1047" t="s">
        <v>1639</v>
      </c>
      <c r="G3" s="1047" t="s">
        <v>1640</v>
      </c>
      <c r="H3" s="1047" t="s">
        <v>1639</v>
      </c>
      <c r="I3" s="1047" t="s">
        <v>1640</v>
      </c>
    </row>
    <row r="4" spans="1:9" ht="30">
      <c r="A4" s="1977" t="str">
        <f>项目基本情况!S2</f>
        <v>北京市北京经济技术开发区景园街12号房地产</v>
      </c>
      <c r="B4" s="1047">
        <f>项目基本情况!C17</f>
        <v>28894.02</v>
      </c>
      <c r="C4" s="1047">
        <f>项目基本情况!C18</f>
        <v>66147</v>
      </c>
      <c r="D4" s="1047">
        <f ca="1">结果表!D118</f>
        <v>17637</v>
      </c>
      <c r="E4" s="1047">
        <f ca="1">结果表!E118</f>
        <v>6104</v>
      </c>
      <c r="F4" s="1047">
        <f ca="1">结果表!F118</f>
        <v>7309</v>
      </c>
      <c r="G4" s="1047">
        <f ca="1">结果表!G118</f>
        <v>2530</v>
      </c>
      <c r="H4" s="1047">
        <f ca="1">结果表!H118</f>
        <v>24946</v>
      </c>
      <c r="I4" s="1047">
        <f ca="1">结果表!I118</f>
        <v>8634</v>
      </c>
    </row>
    <row r="5" spans="1:9" ht="30" customHeight="1">
      <c r="A5" s="2979" t="s">
        <v>1641</v>
      </c>
      <c r="B5" s="2979"/>
      <c r="C5" s="2979"/>
      <c r="D5" s="2980" t="str">
        <f ca="1">结果表!D119</f>
        <v>壹亿柒仟陆佰叁拾柒万元整</v>
      </c>
      <c r="E5" s="2980"/>
      <c r="F5" s="2980" t="str">
        <f ca="1">结果表!F119</f>
        <v>柒仟叁佰零玖万元整</v>
      </c>
      <c r="G5" s="2980"/>
      <c r="H5" s="2980" t="str">
        <f ca="1">结果表!H119</f>
        <v>贰亿肆仟玖佰肆拾陆万元整</v>
      </c>
      <c r="I5" s="2980"/>
    </row>
    <row r="6" spans="1:9" ht="15.75">
      <c r="A6" s="2978" t="str">
        <f>结果表!A120</f>
        <v/>
      </c>
      <c r="B6" s="2978"/>
      <c r="C6" s="2978"/>
      <c r="D6" s="2978">
        <f>结果表!D120</f>
        <v>0</v>
      </c>
      <c r="E6" s="2978"/>
      <c r="F6" s="2978"/>
      <c r="G6" s="2978"/>
      <c r="H6" s="2978"/>
      <c r="I6" s="2978"/>
    </row>
    <row r="7" spans="1:9" ht="15">
      <c r="A7" s="2979" t="s">
        <v>1641</v>
      </c>
      <c r="B7" s="2979"/>
      <c r="C7" s="2979"/>
      <c r="D7" s="2981" t="str">
        <f>结果表!D121</f>
        <v>零元整</v>
      </c>
      <c r="E7" s="2982"/>
      <c r="F7" s="2982"/>
      <c r="G7" s="2982"/>
      <c r="H7" s="2982"/>
      <c r="I7" s="2983"/>
    </row>
    <row r="8" spans="1:9" ht="15.75">
      <c r="A8" s="2978" t="str">
        <f>结果表!A122</f>
        <v/>
      </c>
      <c r="B8" s="2978"/>
      <c r="C8" s="2978"/>
      <c r="D8" s="2978">
        <f ca="1">结果表!D122</f>
        <v>24946</v>
      </c>
      <c r="E8" s="2978"/>
      <c r="F8" s="2978"/>
      <c r="G8" s="2978"/>
      <c r="H8" s="2978"/>
      <c r="I8" s="2978"/>
    </row>
    <row r="9" spans="1:9" ht="15">
      <c r="A9" s="2979" t="s">
        <v>1641</v>
      </c>
      <c r="B9" s="2979"/>
      <c r="C9" s="2979"/>
      <c r="D9" s="2980" t="str">
        <f ca="1">结果表!D123</f>
        <v>贰亿肆仟玖佰肆拾陆万元整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1641</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1641</v>
      </c>
      <c r="B13" s="2975"/>
      <c r="C13" s="2975"/>
      <c r="D13" s="2976" t="e">
        <f>结果表!D127</f>
        <v>#VALUE!</v>
      </c>
      <c r="E13" s="2976"/>
      <c r="F13" s="2976"/>
      <c r="G13" s="2976"/>
      <c r="H13" s="2976"/>
      <c r="I13" s="2976"/>
    </row>
    <row r="14" spans="1:9" ht="15" thickTop="1">
      <c r="A14" s="2977" t="s">
        <v>1646</v>
      </c>
      <c r="B14" s="2977"/>
      <c r="C14" s="2977"/>
      <c r="D14" s="2977"/>
      <c r="E14" s="2977"/>
      <c r="F14" s="2977"/>
      <c r="G14" s="2977"/>
      <c r="H14" s="2977"/>
      <c r="I14" s="2977"/>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92" t="s">
        <v>1663</v>
      </c>
      <c r="B1" s="2992"/>
      <c r="C1" s="2992"/>
      <c r="D1" s="2992"/>
    </row>
    <row r="2" spans="1:4" ht="18">
      <c r="A2" s="2993" t="s">
        <v>1647</v>
      </c>
      <c r="B2" s="2993"/>
      <c r="C2" s="2993"/>
      <c r="D2" s="2993"/>
    </row>
    <row r="3" spans="1:4" ht="18.75">
      <c r="A3" s="1981" t="s">
        <v>1648</v>
      </c>
      <c r="B3" s="1981" t="s">
        <v>1649</v>
      </c>
      <c r="C3" s="1981" t="s">
        <v>1650</v>
      </c>
      <c r="D3" s="1981" t="s">
        <v>1651</v>
      </c>
    </row>
    <row r="4" spans="1:4" ht="56.25" customHeight="1">
      <c r="A4" s="1982" t="str">
        <f>项目基本情况!B4</f>
        <v>刘梅</v>
      </c>
      <c r="B4" s="1983">
        <f ca="1">项目基本情况!C4</f>
        <v>1120140022</v>
      </c>
      <c r="C4" s="1984"/>
      <c r="D4" s="1985" t="s">
        <v>1652</v>
      </c>
    </row>
    <row r="5" spans="1:4" ht="56.25" customHeight="1">
      <c r="A5" s="1982" t="str">
        <f>项目基本情况!D4</f>
        <v>吴薇</v>
      </c>
      <c r="B5" s="1983">
        <f ca="1">项目基本情况!E4</f>
        <v>1419970001</v>
      </c>
      <c r="C5" s="1986"/>
      <c r="D5" s="1985" t="s">
        <v>1652</v>
      </c>
    </row>
    <row r="6" spans="1:4" ht="18">
      <c r="A6" s="2993" t="s">
        <v>1653</v>
      </c>
      <c r="B6" s="2993"/>
      <c r="C6" s="2993"/>
      <c r="D6" s="2993"/>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94" t="s">
        <v>1656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1657</v>
      </c>
      <c r="B16" s="2988"/>
      <c r="C16" s="2988"/>
      <c r="D16" s="2988"/>
    </row>
    <row r="17" spans="1:4" ht="144" customHeight="1">
      <c r="A17" s="2988" t="s">
        <v>1658</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1659</v>
      </c>
      <c r="B22" s="2990"/>
      <c r="C22" s="2990"/>
      <c r="D22" s="2990"/>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000" t="s">
        <v>1670</v>
      </c>
      <c r="B15" s="2995" t="s">
        <v>136</v>
      </c>
      <c r="C15" s="2996"/>
    </row>
    <row r="16" spans="1:7" ht="13.5">
      <c r="A16" s="3001"/>
      <c r="B16" s="2995" t="s">
        <v>69</v>
      </c>
      <c r="C16" s="2996"/>
    </row>
    <row r="17" spans="1:3" ht="13.5">
      <c r="A17" s="3001"/>
      <c r="B17" s="2998" t="s">
        <v>1671</v>
      </c>
      <c r="C17" s="2004" t="s">
        <v>1670</v>
      </c>
    </row>
    <row r="18" spans="1:3" ht="13.5">
      <c r="A18" s="3001"/>
      <c r="B18" s="2998"/>
      <c r="C18" s="2004" t="s">
        <v>1672</v>
      </c>
    </row>
    <row r="19" spans="1:3" ht="13.5">
      <c r="A19" s="3001"/>
      <c r="B19" s="2998"/>
      <c r="C19" s="2004" t="s">
        <v>1673</v>
      </c>
    </row>
    <row r="20" spans="1:3" ht="13.5">
      <c r="A20" s="3002"/>
      <c r="B20" s="2997" t="s">
        <v>1674</v>
      </c>
      <c r="C20" s="2996"/>
    </row>
    <row r="21" spans="1:3" ht="13.5">
      <c r="A21" s="2005" t="s">
        <v>1675</v>
      </c>
      <c r="B21" s="2006"/>
      <c r="C21" s="2007"/>
    </row>
    <row r="22" spans="1:3" ht="13.5">
      <c r="A22" s="2999" t="s">
        <v>1676</v>
      </c>
      <c r="B22" s="2997" t="s">
        <v>1677</v>
      </c>
      <c r="C22" s="2996"/>
    </row>
    <row r="23" spans="1:3" ht="13.5">
      <c r="A23" s="2999"/>
      <c r="B23" s="2997" t="s">
        <v>1678</v>
      </c>
      <c r="C23" s="2996"/>
    </row>
    <row r="24" spans="1:3" ht="13.5">
      <c r="A24" s="2999"/>
      <c r="B24" s="2997" t="s">
        <v>1679</v>
      </c>
      <c r="C24" s="2996"/>
    </row>
    <row r="25" spans="1:3" ht="13.5">
      <c r="A25" s="2999"/>
      <c r="B25" s="2998" t="s">
        <v>1680</v>
      </c>
      <c r="C25" s="2004" t="s">
        <v>1681</v>
      </c>
    </row>
    <row r="26" spans="1:3" ht="13.5">
      <c r="A26" s="2999"/>
      <c r="B26" s="2998"/>
      <c r="C26" s="2004" t="s">
        <v>1682</v>
      </c>
    </row>
    <row r="27" spans="1:3" ht="13.5">
      <c r="A27" s="2999"/>
      <c r="B27" s="2998"/>
      <c r="C27" s="2004" t="s">
        <v>1683</v>
      </c>
    </row>
    <row r="28" spans="1:3" ht="13.5">
      <c r="A28" s="2999"/>
      <c r="B28" s="2998"/>
      <c r="C28" s="2004" t="s">
        <v>1684</v>
      </c>
    </row>
    <row r="29" spans="1:3" ht="13.5">
      <c r="A29" s="2999"/>
      <c r="B29" s="2998"/>
      <c r="C29" s="2004" t="s">
        <v>1685</v>
      </c>
    </row>
    <row r="30" spans="1:3" ht="13.5">
      <c r="A30" s="2999"/>
      <c r="B30" s="2998"/>
      <c r="C30" s="2004" t="s">
        <v>1686</v>
      </c>
    </row>
    <row r="31" spans="1:3" ht="13.5">
      <c r="A31" s="2999"/>
      <c r="B31" s="2998"/>
      <c r="C31" s="2004" t="s">
        <v>1687</v>
      </c>
    </row>
    <row r="32" spans="1:3" ht="13.5">
      <c r="A32" s="2999"/>
      <c r="B32" s="2998"/>
      <c r="C32" s="2004" t="s">
        <v>1688</v>
      </c>
    </row>
    <row r="33" spans="1:3" ht="13.5">
      <c r="A33" s="2999"/>
      <c r="B33" s="2998"/>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43053</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比较法-工业</vt:lpstr>
      <vt:lpstr>收益法配套办公</vt:lpstr>
      <vt:lpstr>收益法 (元)</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2017-11-14T09:54:51Z</dcterms:modified>
</cp:coreProperties>
</file>