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090北京市顺义区南法信区刘家河村顺余东路1号\F02 新基准地价\"/>
    </mc:Choice>
  </mc:AlternateContent>
  <xr:revisionPtr revIDLastSave="0" documentId="13_ncr:1_{9EB304B4-75BB-4EA7-9EA9-686FC04AF55C}" xr6:coauthVersionLast="45" xr6:coauthVersionMax="45" xr10:uidLastSave="{00000000-0000-0000-0000-000000000000}"/>
  <bookViews>
    <workbookView xWindow="9060" yWindow="0" windowWidth="12510" windowHeight="12900" tabRatio="875" firstSheet="18"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72" r:id="rId19"/>
    <sheet name="基准地价 (商业)" sheetId="73" state="hidden" r:id="rId20"/>
    <sheet name="基准地价" sheetId="46" r:id="rId21"/>
    <sheet name="剩余法-现房" sheetId="43" r:id="rId22"/>
    <sheet name="比较法-住宅、综合" sheetId="39" state="hidden" r:id="rId23"/>
    <sheet name="不动产收益法" sheetId="15" r:id="rId24"/>
    <sheet name="成本逼近法" sheetId="11" r:id="rId25"/>
    <sheet name="比较法-工业" sheetId="40" r:id="rId26"/>
    <sheet name="土地案例" sheetId="71" r:id="rId27"/>
    <sheet name="修正" sheetId="49" state="hidden" r:id="rId28"/>
    <sheet name="区片价" sheetId="48" state="hidden" r:id="rId29"/>
    <sheet name="容积率修正" sheetId="45" state="hidden" r:id="rId30"/>
    <sheet name="因素修正幅度" sheetId="56" state="hidden" r:id="rId31"/>
    <sheet name="地价" sheetId="59" r:id="rId32"/>
    <sheet name="基准地价（汇总）" sheetId="67" state="hidden" r:id="rId33"/>
    <sheet name="收益还原法" sheetId="44" state="hidden" r:id="rId34"/>
    <sheet name="不动产收益法-酒店模型" sheetId="68" state="hidden" r:id="rId35"/>
    <sheet name="酒店收入计算" sheetId="57"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5"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2">'比较法-住宅、综合'!$A$1:$K$67,'比较法-住宅、综合'!$A$71:$N$134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3">不动产收益法!$A$1:$F$43,不动产收益法!$H$3:$M$29,不动产收益法!$A$46:$F$70,不动产收益法!$I$46:$M$60</definedName>
    <definedName name="_xlnm.Print_Area" localSheetId="24">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19">'基准地价 (商业)'!$A$1:$J$41,'基准地价 (商业)'!$A$44:$N$87,'基准地价 (商业)'!$R$1:$V$16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21">'剩余法-现房'!$A$1:$K$27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'[1]不动产比较法-办公'!$B$119:$M$119</definedName>
    <definedName name="办公层高" localSheetId="26">'[1]不动产比较法-办公'!$B$119:$M$119</definedName>
    <definedName name="办公层高">'不动产比较法-办公'!$B$119:$M$119</definedName>
    <definedName name="办公朝向" localSheetId="18">'[1]不动产比较法-办公'!$B$91:$M$91</definedName>
    <definedName name="办公朝向" localSheetId="26">'[1]不动产比较法-办公'!$B$91:$M$91</definedName>
    <definedName name="办公朝向">'不动产比较法-办公'!$B$91:$M$91</definedName>
    <definedName name="办公道路级别" localSheetId="18">'[1]不动产比较法-办公'!$B$87:$M$87</definedName>
    <definedName name="办公道路级别" localSheetId="26">'[1]不动产比较法-办公'!$B$87:$M$87</definedName>
    <definedName name="办公道路级别">'不动产比较法-办公'!$B$87:$M$87</definedName>
    <definedName name="办公公共部分装修" localSheetId="18">'[1]不动产比较法-办公'!$B$108:$M$108</definedName>
    <definedName name="办公公共部分装修" localSheetId="26">'[1]不动产比较法-办公'!$B$108:$M$108</definedName>
    <definedName name="办公公共部分装修">'不动产比较法-办公'!$B$108:$M$108</definedName>
    <definedName name="办公基础设施水平" localSheetId="18">'[1]不动产比较法-办公'!$B$117:$M$117</definedName>
    <definedName name="办公基础设施水平" localSheetId="26">'[1]不动产比较法-办公'!$B$117:$M$117</definedName>
    <definedName name="办公基础设施水平">'不动产比较法-办公'!$B$117:$M$117</definedName>
    <definedName name="办公集聚程度" localSheetId="18">[1]定义!$M$1:$M$6</definedName>
    <definedName name="办公集聚程度" localSheetId="26">[1]定义!$M$1:$M$6</definedName>
    <definedName name="办公集聚程度">定义!$M$1:$M$6</definedName>
    <definedName name="办公建筑结构" localSheetId="18">'[1]不动产比较法-办公'!$B$106:$M$106</definedName>
    <definedName name="办公建筑结构" localSheetId="26">'[1]不动产比较法-办公'!$B$106:$M$106</definedName>
    <definedName name="办公建筑结构">'不动产比较法-办公'!$B$106:$M$106</definedName>
    <definedName name="办公建筑类型" localSheetId="18">'[1]不动产比较法-办公'!$B$101:$M$101</definedName>
    <definedName name="办公建筑类型" localSheetId="26">'[1]不动产比较法-办公'!$B$101:$M$101</definedName>
    <definedName name="办公建筑类型">'不动产比较法-办公'!$B$101:$M$101</definedName>
    <definedName name="办公交易情况" localSheetId="18">'[1]不动产比较法-办公'!$A$62:$M$62</definedName>
    <definedName name="办公交易情况" localSheetId="26">'[1]不动产比较法-办公'!$A$62:$M$62</definedName>
    <definedName name="办公交易情况">'不动产比较法-办公'!$A$62:$M$62</definedName>
    <definedName name="办公楼层" localSheetId="18">'[1]不动产比较法-办公'!$B$89:$M$89</definedName>
    <definedName name="办公楼层" localSheetId="26">'[1]不动产比较法-办公'!$B$89:$M$89</definedName>
    <definedName name="办公楼层">'不动产比较法-办公'!$B$89:$M$89</definedName>
    <definedName name="办公内部装修" localSheetId="18">'[1]不动产比较法-办公'!$B$123:$M$123</definedName>
    <definedName name="办公内部装修" localSheetId="26">'[1]不动产比较法-办公'!$B$123:$M$123</definedName>
    <definedName name="办公内部装修">'不动产比较法-办公'!$B$123:$M$123</definedName>
    <definedName name="办公物业管理" localSheetId="18">'[1]不动产比较法-办公'!$B$115:$M$115</definedName>
    <definedName name="办公物业管理" localSheetId="26">'[1]不动产比较法-办公'!$B$115:$M$115</definedName>
    <definedName name="办公物业管理">'不动产比较法-办公'!$B$115:$M$115</definedName>
    <definedName name="办公用途" localSheetId="18">'[1]不动产比较法-办公'!$B$64:$M$64</definedName>
    <definedName name="办公用途" localSheetId="26">'[1]不动产比较法-办公'!$B$64:$M$64</definedName>
    <definedName name="办公用途">'不动产比较法-办公'!$B$64:$M$64</definedName>
    <definedName name="仓储公共部分装修" localSheetId="18">'[1]不动产比较法-仓储'!$B$77:$M$77</definedName>
    <definedName name="仓储公共部分装修" localSheetId="26">'[1]不动产比较法-仓储'!$B$77:$M$77</definedName>
    <definedName name="仓储公共部分装修">'不动产比较法-仓储'!$B$77:$M$77</definedName>
    <definedName name="仓储交易情况" localSheetId="18">'[1]不动产比较法-仓储'!$A$49:$M$49</definedName>
    <definedName name="仓储交易情况" localSheetId="26">'[1]不动产比较法-仓储'!$A$49:$M$49</definedName>
    <definedName name="仓储交易情况">'不动产比较法-仓储'!$A$49:$M$49</definedName>
    <definedName name="仓储楼层" localSheetId="18">'[1]不动产比较法-仓储'!$B$69:$M$69</definedName>
    <definedName name="仓储楼层" localSheetId="26">'[1]不动产比较法-仓储'!$B$69:$M$69</definedName>
    <definedName name="仓储楼层">'不动产比较法-仓储'!$B$69:$M$69</definedName>
    <definedName name="仓储物业等级" localSheetId="18">'[1]不动产比较法-仓储'!$B$82:$M$82</definedName>
    <definedName name="仓储物业等级" localSheetId="26">'[1]不动产比较法-仓储'!$B$82:$M$82</definedName>
    <definedName name="仓储物业等级">'不动产比较法-仓储'!$B$82:$M$82</definedName>
    <definedName name="仓储用途" localSheetId="18">'[1]不动产比较法-仓储'!$B$51:$M$51</definedName>
    <definedName name="仓储用途" localSheetId="26">'[1]不动产比较法-仓储'!$B$51:$M$51</definedName>
    <definedName name="仓储用途">'不动产比较法-仓储'!$B$51:$M$51</definedName>
    <definedName name="产业集聚程度" localSheetId="18">[1]定义!$N$1:$N$6</definedName>
    <definedName name="产业集聚程度" localSheetId="26">[1]定义!$N$1:$N$6</definedName>
    <definedName name="产业集聚程度">定义!$N$1:$N$6</definedName>
    <definedName name="车位公共部分装修" localSheetId="18">'[1]不动产比较法-车位'!$B$83:$M$83</definedName>
    <definedName name="车位公共部分装修" localSheetId="26">'[1]不动产比较法-车位'!$B$83:$M$83</definedName>
    <definedName name="车位公共部分装修">'不动产比较法-车位'!$B$83:$M$83</definedName>
    <definedName name="车位交易情况" localSheetId="18">'[1]不动产比较法-车位'!$A$51:$M$51</definedName>
    <definedName name="车位交易情况" localSheetId="26">'[1]不动产比较法-车位'!$A$51:$M$51</definedName>
    <definedName name="车位交易情况">'不动产比较法-车位'!$A$51:$M$51</definedName>
    <definedName name="车位类型" localSheetId="18">'[1]不动产比较法-车位'!$B$93:$M$93</definedName>
    <definedName name="车位类型" localSheetId="26">'[1]不动产比较法-车位'!$B$93:$M$93</definedName>
    <definedName name="车位类型">'不动产比较法-车位'!$B$93:$M$93</definedName>
    <definedName name="车位楼层" localSheetId="18">'[1]不动产比较法-车位'!$B$71:$M$71</definedName>
    <definedName name="车位楼层" localSheetId="26">'[1]不动产比较法-车位'!$B$71:$M$71</definedName>
    <definedName name="车位楼层">'不动产比较法-车位'!$B$71:$M$71</definedName>
    <definedName name="车位配套类型" localSheetId="18">'[1]不动产比较法-车位'!$B$79:$M$79</definedName>
    <definedName name="车位配套类型" localSheetId="26">'[1]不动产比较法-车位'!$B$79:$M$79</definedName>
    <definedName name="车位配套类型">'不动产比较法-车位'!$B$79:$M$79</definedName>
    <definedName name="车位物业等级" localSheetId="18">'[1]不动产比较法-车位'!$B$88:$M$88</definedName>
    <definedName name="车位物业等级" localSheetId="26">'[1]不动产比较法-车位'!$B$88:$M$88</definedName>
    <definedName name="车位物业等级">'不动产比较法-车位'!$B$88:$M$88</definedName>
    <definedName name="车位用途" localSheetId="18">'[1]不动产比较法-车位'!$B$53:$M$53</definedName>
    <definedName name="车位用途" localSheetId="26">'[1]不动产比较法-车位'!$B$53:$M$53</definedName>
    <definedName name="车位用途">'不动产比较法-车位'!$B$53:$M$53</definedName>
    <definedName name="城镇土地纳税等级分级范围" localSheetId="18">'[1]数据-取费表'!$A$53:$A$63</definedName>
    <definedName name="城镇土地纳税等级分级范围" localSheetId="26">'[1]数据-取费表'!$A$53:$A$63</definedName>
    <definedName name="城镇土地纳税等级分级范围">'数据-取费表'!$A$53:$A$63</definedName>
    <definedName name="单价内涵" localSheetId="18">[1]定义!$V$1:$V$3</definedName>
    <definedName name="单价内涵" localSheetId="26">[1]定义!$V$1:$V$3</definedName>
    <definedName name="单价内涵">定义!$V$1:$V$3</definedName>
    <definedName name="地类判定" localSheetId="18">[1]定义!$H$1:$H$9</definedName>
    <definedName name="地类判定" localSheetId="26">[1]定义!$H$1:$H$9</definedName>
    <definedName name="地类判定">定义!$H$1:$H$9</definedName>
    <definedName name="二级">区片价!$J$1:$J$20</definedName>
    <definedName name="二级分类" localSheetId="18">[1]修正!$C$17:$C$39</definedName>
    <definedName name="二级分类" localSheetId="26">[1]修正!$C$17:$C$39</definedName>
    <definedName name="二级分类">修正!$C$17:$C$39</definedName>
    <definedName name="法定最高年限" localSheetId="18">[1]定义!$G$2:$G$4</definedName>
    <definedName name="法定最高年限" localSheetId="26">[1]定义!$G$2:$G$4</definedName>
    <definedName name="法定最高年限">定义!$G$2:$G$4</definedName>
    <definedName name="工业公共部分装修" localSheetId="18">'[1]不动产比较法-工业'!$B$95:$M$95</definedName>
    <definedName name="工业公共部分装修" localSheetId="26">'[1]不动产比较法-工业'!$B$95:$M$95</definedName>
    <definedName name="工业公共部分装修">'不动产比较法-工业'!$B$95:$M$95</definedName>
    <definedName name="工业基础设施水平" localSheetId="18">'[1]不动产比较法-工业'!$B$102:$M$102</definedName>
    <definedName name="工业基础设施水平" localSheetId="26">'[1]不动产比较法-工业'!$B$102:$M$102</definedName>
    <definedName name="工业基础设施水平">'不动产比较法-工业'!$B$102:$M$102</definedName>
    <definedName name="工业建筑结构" localSheetId="18">'[1]不动产比较法-工业'!$B$93:$M$93</definedName>
    <definedName name="工业建筑结构" localSheetId="26">'[1]不动产比较法-工业'!$B$93:$M$93</definedName>
    <definedName name="工业建筑结构">'不动产比较法-工业'!$B$93:$M$93</definedName>
    <definedName name="工业建筑类型" localSheetId="18">'[1]不动产比较法-工业'!$B$88:$M$88</definedName>
    <definedName name="工业建筑类型" localSheetId="26">'[1]不动产比较法-工业'!$B$88:$M$88</definedName>
    <definedName name="工业建筑类型">'不动产比较法-工业'!$B$88:$M$88</definedName>
    <definedName name="工业交易情况" localSheetId="18">'[1]不动产比较法-工业'!$A$55:$M$55</definedName>
    <definedName name="工业交易情况" localSheetId="26">'[1]不动产比较法-工业'!$A$55:$M$55</definedName>
    <definedName name="工业交易情况">'不动产比较法-工业'!$A$55:$M$55</definedName>
    <definedName name="工业内部装修" localSheetId="18">'[1]不动产比较法-工业'!$B$104:$M$104</definedName>
    <definedName name="工业内部装修" localSheetId="26">'[1]不动产比较法-工业'!$B$104:$M$104</definedName>
    <definedName name="工业内部装修">'不动产比较法-工业'!$B$104:$M$104</definedName>
    <definedName name="工业物业管理" localSheetId="18">'[1]不动产比较法-工业'!$B$100:$M$100</definedName>
    <definedName name="工业物业管理" localSheetId="26">'[1]不动产比较法-工业'!$B$100:$M$100</definedName>
    <definedName name="工业物业管理">'不动产比较法-工业'!$B$100:$M$100</definedName>
    <definedName name="工业用途" localSheetId="18">'[1]不动产比较法-工业'!$B$57:$M$57</definedName>
    <definedName name="工业用途" localSheetId="26">'[1]不动产比较法-工业'!$B$57:$M$57</definedName>
    <definedName name="工业用途">'不动产比较法-工业'!$B$57:$M$57</definedName>
    <definedName name="公共配套设施" localSheetId="18">[1]定义!$Q$1:$Q$6</definedName>
    <definedName name="公共配套设施" localSheetId="26">[1]定义!$Q$1:$Q$6</definedName>
    <definedName name="公共配套设施">定义!$Q$1:$Q$6</definedName>
    <definedName name="估价方法" localSheetId="18">[1]定义!$B$1:$B$50</definedName>
    <definedName name="估价方法" localSheetId="26">[1]定义!$B$1:$B$50</definedName>
    <definedName name="估价方法">定义!$B$1:$B$50</definedName>
    <definedName name="环境" localSheetId="18">[1]定义!$S$1:$S$6</definedName>
    <definedName name="环境" localSheetId="26">[1]定义!$S$1:$S$6</definedName>
    <definedName name="环境">定义!$S$1:$S$6</definedName>
    <definedName name="基础设施水平" localSheetId="18">[1]定义!$R$1:$R$6</definedName>
    <definedName name="基础设施水平" localSheetId="26">[1]定义!$R$1:$R$6</definedName>
    <definedName name="基础设施水平">定义!$R$1:$R$6</definedName>
    <definedName name="季度" localSheetId="19">'基准地价 (商业)'!$N$19:$AB$19</definedName>
    <definedName name="季度">基准地价!$N$19:$AB$19</definedName>
    <definedName name="季度2014">地价!$A$2:$A$37</definedName>
    <definedName name="价值类型2" localSheetId="18">[1]定义!$B$54:$B$56</definedName>
    <definedName name="价值类型2" localSheetId="26">[1]定义!$B$54:$B$56</definedName>
    <definedName name="价值类型2">定义!$B$54:$B$56</definedName>
    <definedName name="交通便捷度" localSheetId="18">[1]定义!$O$1:$O$6</definedName>
    <definedName name="交通便捷度" localSheetId="26">[1]定义!$O$1:$O$6</definedName>
    <definedName name="交通便捷度">定义!$O$1:$O$6</definedName>
    <definedName name="九级">区片价!$Q$1:$Q$46</definedName>
    <definedName name="居住社区成熟度" localSheetId="18">[1]定义!$K$1:$K$6</definedName>
    <definedName name="居住社区成熟度" localSheetId="26">[1]定义!$K$1:$K$6</definedName>
    <definedName name="居住社区成熟度">定义!$K$1:$K$6</definedName>
    <definedName name="类别" localSheetId="18">[1]定义!$J$1:$J$3</definedName>
    <definedName name="类别" localSheetId="26">[1]定义!$J$1:$J$3</definedName>
    <definedName name="类别">定义!$J$1:$J$3</definedName>
    <definedName name="临街状况" localSheetId="18">[1]定义!$T$1:$T$5</definedName>
    <definedName name="临街状况" localSheetId="26">[1]定义!$T$1:$T$5</definedName>
    <definedName name="临街状况">定义!$T$1:$T$5</definedName>
    <definedName name="六级">区片价!$N$1:$N$49</definedName>
    <definedName name="内部装修维护情况" localSheetId="18">[1]定义!$U$1:$U$6</definedName>
    <definedName name="内部装修维护情况" localSheetId="26">[1]定义!$U$1:$U$6</definedName>
    <definedName name="内部装修维护情况">定义!$U$1:$U$6</definedName>
    <definedName name="判定" localSheetId="34">[2]定义!$D$1:$D$4</definedName>
    <definedName name="判定" localSheetId="18">[1]定义!$D$1:$D$4</definedName>
    <definedName name="判定" localSheetId="26">[1]定义!$D$1:$D$4</definedName>
    <definedName name="判定">定义!$D$1:$D$4</definedName>
    <definedName name="七级">区片价!$O$1:$O$49</definedName>
    <definedName name="七通一平" localSheetId="18">[1]修正!$A$6:$A$14</definedName>
    <definedName name="七通一平" localSheetId="26">[1]修正!$A$6:$A$14</definedName>
    <definedName name="七通一平">修正!$A$6:$A$14</definedName>
    <definedName name="区域土地利用方向" localSheetId="18">[1]定义!$P$1:$P$6</definedName>
    <definedName name="区域土地利用方向" localSheetId="26">[1]定义!$P$1:$P$6</definedName>
    <definedName name="区域土地利用方向">定义!$P$1:$P$6</definedName>
    <definedName name="三级">区片价!$K$1:$K$21</definedName>
    <definedName name="商业层高" localSheetId="18">'[1]不动产比较法-商业'!$B$116:$M$116</definedName>
    <definedName name="商业层高" localSheetId="26">'[1]不动产比较法-商业'!$B$116:$M$116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 localSheetId="26">[1]定义!$L$1:$L$6</definedName>
    <definedName name="商业繁华度">定义!$L$1:$L$6</definedName>
    <definedName name="商业公共部分装修" localSheetId="18">'[1]不动产比较法-商业'!$B$107:$M$107</definedName>
    <definedName name="商业公共部分装修" localSheetId="26">'[1]不动产比较法-商业'!$B$107:$M$107</definedName>
    <definedName name="商业公共部分装修">'不动产比较法-商业'!$B$107:$M$107</definedName>
    <definedName name="商业基础设施水平" localSheetId="18">'[1]不动产比较法-商业'!$B$112:$M$112</definedName>
    <definedName name="商业基础设施水平" localSheetId="26">'[1]不动产比较法-商业'!$B$112:$M$112</definedName>
    <definedName name="商业基础设施水平">'不动产比较法-商业'!$B$112:$M$112</definedName>
    <definedName name="商业建筑结构" localSheetId="18">'[1]不动产比较法-商业'!$B$105:$M$105</definedName>
    <definedName name="商业建筑结构" localSheetId="26">'[1]不动产比较法-商业'!$B$105:$M$105</definedName>
    <definedName name="商业建筑结构">'不动产比较法-商业'!$B$105:$M$105</definedName>
    <definedName name="商业交易情况" localSheetId="18">'[1]不动产比较法-商业'!$A$61:$M$61</definedName>
    <definedName name="商业交易情况" localSheetId="26">'[1]不动产比较法-商业'!$A$61:$M$61</definedName>
    <definedName name="商业交易情况">'不动产比较法-商业'!$A$61:$M$61</definedName>
    <definedName name="商业街名称" localSheetId="18">[1]修正!$C$59:$C$119</definedName>
    <definedName name="商业街名称" localSheetId="26">[1]修正!$C$59:$C$119</definedName>
    <definedName name="商业街名称">修正!$C$59:$C$119</definedName>
    <definedName name="商业进深比" localSheetId="18">'[1]不动产比较法-商业'!$B$120:$M$120</definedName>
    <definedName name="商业进深比" localSheetId="26">'[1]不动产比较法-商业'!$B$120:$M$120</definedName>
    <definedName name="商业进深比">'不动产比较法-商业'!$B$120:$M$120</definedName>
    <definedName name="商业类型" localSheetId="18">'[1]不动产比较法-商业'!$B$100:$M$100</definedName>
    <definedName name="商业类型" localSheetId="26">'[1]不动产比较法-商业'!$B$100:$M$100</definedName>
    <definedName name="商业类型">'不动产比较法-商业'!$B$100:$M$100</definedName>
    <definedName name="商业临街状况" localSheetId="18">'[1]不动产比较法-商业'!$B$86:$M$86</definedName>
    <definedName name="商业临街状况" localSheetId="26">'[1]不动产比较法-商业'!$B$86:$M$86</definedName>
    <definedName name="商业临街状况">'不动产比较法-商业'!$B$86:$M$86</definedName>
    <definedName name="商业楼层" localSheetId="18">'[1]不动产比较法-商业'!$B$92:$M$92</definedName>
    <definedName name="商业楼层" localSheetId="26">'[1]不动产比较法-商业'!$B$92:$M$92</definedName>
    <definedName name="商业楼层">'不动产比较法-商业'!$B$92:$M$92</definedName>
    <definedName name="商业内部装修" localSheetId="18">'[1]不动产比较法-商业'!$B$122:$M$122</definedName>
    <definedName name="商业内部装修" localSheetId="26">'[1]不动产比较法-商业'!$B$122:$M$122</definedName>
    <definedName name="商业内部装修">'不动产比较法-商业'!$B$122:$M$122</definedName>
    <definedName name="商业人流量" localSheetId="18">'[1]不动产比较法-商业'!$B$90:$M$90</definedName>
    <definedName name="商业人流量" localSheetId="26">'[1]不动产比较法-商业'!$B$90:$M$90</definedName>
    <definedName name="商业人流量">'不动产比较法-商业'!$B$90:$M$90</definedName>
    <definedName name="商业业态" localSheetId="18">'[1]不动产比较法-商业'!$B$114:$M$114</definedName>
    <definedName name="商业业态" localSheetId="26">'[1]不动产比较法-商业'!$B$114:$M$114</definedName>
    <definedName name="商业业态">'不动产比较法-商业'!$B$114:$M$114</definedName>
    <definedName name="商业用途" localSheetId="18">'[1]不动产比较法-商业'!$B$63:$M$63</definedName>
    <definedName name="商业用途" localSheetId="26">'[1]不动产比较法-商业'!$B$63:$M$63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 localSheetId="26">'[1]不动产比较法-仓储'!$B$89:$M$89</definedName>
    <definedName name="是否封闭">'不动产比较法-仓储'!$B$89:$M$89</definedName>
    <definedName name="是否直接入户" localSheetId="18">'[1]不动产比较法-车位'!$B$95:$M$95</definedName>
    <definedName name="是否直接入户" localSheetId="26">'[1]不动产比较法-车位'!$B$95:$M$95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 localSheetId="26">'[1]比较法-工业'!$B$116:$M$116</definedName>
    <definedName name="套工工程地质条件">'比较法-工业'!$B$116:$M$116</definedName>
    <definedName name="套工交易情况" localSheetId="18">'[1]比较法-住宅、综合'!$A$75:$M$75</definedName>
    <definedName name="套工交易情况" localSheetId="26">'[1]比较法-住宅、综合'!$A$75:$M$75</definedName>
    <definedName name="套工交易情况">'比较法-住宅、综合'!$A$75:$M$75</definedName>
    <definedName name="套工开发程度" localSheetId="18">'[1]比较法-工业'!$B$114:$M$114</definedName>
    <definedName name="套工开发程度" localSheetId="26">'[1]比较法-工业'!$B$114:$M$114</definedName>
    <definedName name="套工开发程度">'比较法-工业'!$B$114:$M$114</definedName>
    <definedName name="套工临街等级" localSheetId="18">'[1]比较法-工业'!$B$99:$M$99</definedName>
    <definedName name="套工临街等级" localSheetId="26">'[1]比较法-工业'!$B$99:$M$99</definedName>
    <definedName name="套工临街等级">'比较法-工业'!$B$99:$M$99</definedName>
    <definedName name="套工土地级别" localSheetId="18">'[1]比较法-工业'!$B$101:$M$101</definedName>
    <definedName name="套工土地级别" localSheetId="26">'[1]比较法-工业'!$B$101:$M$101</definedName>
    <definedName name="套工土地级别">'比较法-工业'!$B$101:$M$101</definedName>
    <definedName name="套工用途" localSheetId="18">'[1]比较法-工业'!$B$72:$M$72</definedName>
    <definedName name="套工用途" localSheetId="26">'[1]比较法-工业'!$B$72:$M$72</definedName>
    <definedName name="套工用途">'比较法-工业'!$B$72:$M$72</definedName>
    <definedName name="套工宗地形状" localSheetId="18">'[1]比较法-工业'!$B$112:$M$112</definedName>
    <definedName name="套工宗地形状" localSheetId="26">'[1]比较法-工业'!$B$112:$M$112</definedName>
    <definedName name="套工宗地形状">'比较法-工业'!$B$112:$M$112</definedName>
    <definedName name="套综道路等级" localSheetId="18">'[1]比较法-住宅、综合'!$B$108:$M$108</definedName>
    <definedName name="套综道路等级" localSheetId="26">'[1]比较法-住宅、综合'!$B$108:$M$108</definedName>
    <definedName name="套综道路等级">'比较法-住宅、综合'!$B$108:$M$108</definedName>
    <definedName name="套综工程地质条件" localSheetId="18">'[1]比较法-住宅、综合'!$B$127:$M$127</definedName>
    <definedName name="套综工程地质条件" localSheetId="26">'[1]比较法-住宅、综合'!$B$127:$M$127</definedName>
    <definedName name="套综工程地质条件">'比较法-住宅、综合'!$B$127:$M$127</definedName>
    <definedName name="套综交易情况" localSheetId="18">'[1]比较法-住宅、综合'!$A$75:$M$75</definedName>
    <definedName name="套综交易情况" localSheetId="26">'[1]比较法-住宅、综合'!$A$75:$M$75</definedName>
    <definedName name="套综交易情况">'比较法-住宅、综合'!$A$75:$M$75</definedName>
    <definedName name="套综临街宽度及深度" localSheetId="18">'[1]比较法-住宅、综合'!$B$123:$M$123</definedName>
    <definedName name="套综临街宽度及深度" localSheetId="26">'[1]比较法-住宅、综合'!$B$123:$M$123</definedName>
    <definedName name="套综临街宽度及深度">'比较法-住宅、综合'!$B$123:$M$123</definedName>
    <definedName name="套综土地级别" localSheetId="18">'[1]比较法-住宅、综合'!$B$110:$M$110</definedName>
    <definedName name="套综土地级别" localSheetId="26">'[1]比较法-住宅、综合'!$B$110:$M$110</definedName>
    <definedName name="套综土地级别">'比较法-住宅、综合'!$B$110:$M$110</definedName>
    <definedName name="套综用途" localSheetId="18">'[1]比较法-住宅、综合'!$B$77:$M$77</definedName>
    <definedName name="套综用途" localSheetId="26">'[1]比较法-住宅、综合'!$B$77:$M$77</definedName>
    <definedName name="套综用途">'比较法-住宅、综合'!$B$77:$M$77</definedName>
    <definedName name="套综宗地内开发程度" localSheetId="18">'[1]比较法-住宅、综合'!$B$125:$M$125</definedName>
    <definedName name="套综宗地内开发程度" localSheetId="26">'[1]比较法-住宅、综合'!$B$125:$M$125</definedName>
    <definedName name="套综宗地内开发程度">'比较法-住宅、综合'!$B$125:$M$125</definedName>
    <definedName name="套综宗地形状" localSheetId="18">'[1]比较法-住宅、综合'!$B$121:$M$121</definedName>
    <definedName name="套综宗地形状" localSheetId="26">'[1]比较法-住宅、综合'!$B$121:$M$121</definedName>
    <definedName name="套综宗地形状">'比较法-住宅、综合'!$B$121:$M$121</definedName>
    <definedName name="土地估价师" localSheetId="18">[1]估价师及机构信息!$D$3:$D$16</definedName>
    <definedName name="土地估价师" localSheetId="26">[1]估价师及机构信息!$D$3:$D$16</definedName>
    <definedName name="土地估价师">估价师及机构信息!$D$3:$D$16</definedName>
    <definedName name="土地级别" localSheetId="18">[1]定义!$C$1:$C$14</definedName>
    <definedName name="土地级别" localSheetId="26">[1]定义!$C$1:$C$14</definedName>
    <definedName name="土地级别">定义!$C$1:$C$14</definedName>
    <definedName name="土地利用方向">定义!$P$1:$P$6</definedName>
    <definedName name="土地年限区间" localSheetId="18">[1]定义!$I$1:$I$8</definedName>
    <definedName name="土地年限区间" localSheetId="26">[1]定义!$I$1:$I$8</definedName>
    <definedName name="土地年限区间">定义!$I$1:$I$8</definedName>
    <definedName name="位置" localSheetId="18">[1]定义!$E$2:$E$4</definedName>
    <definedName name="位置" localSheetId="26">[1]定义!$E$2:$E$4</definedName>
    <definedName name="位置">定义!$E$2:$E$4</definedName>
    <definedName name="五等判定" localSheetId="18">[1]定义!$W$1:$W$6</definedName>
    <definedName name="五等判定" localSheetId="26">[1]定义!$W$1:$W$6</definedName>
    <definedName name="五等判定">定义!$W$1:$W$6</definedName>
    <definedName name="五级">区片价!$M$1:$M$35</definedName>
    <definedName name="项目类型" localSheetId="34">'[2]数据-汇总表'!$C$17:$C$26</definedName>
    <definedName name="项目类型" localSheetId="18">'[1]数据-汇总表'!$C$17:$C$26</definedName>
    <definedName name="项目类型" localSheetId="26">'[1]数据-汇总表'!$C$17:$C$26</definedName>
    <definedName name="项目类型">'数据-汇总表'!$C$17:$C$26</definedName>
    <definedName name="写字楼等级" localSheetId="18">'[1]不动产比较法-办公'!$B$113:$M$113</definedName>
    <definedName name="写字楼等级" localSheetId="26">'[1]不动产比较法-办公'!$B$113:$M$113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 localSheetId="26">[1]典型户型修正!$5:$5</definedName>
    <definedName name="一修多修正项2">典型户型修正!$5:$5</definedName>
    <definedName name="一修多修正项3" localSheetId="18">[1]典型户型修正!$7:$7</definedName>
    <definedName name="一修多修正项3" localSheetId="26">[1]典型户型修正!$7:$7</definedName>
    <definedName name="一修多修正项3">典型户型修正!$7:$7</definedName>
    <definedName name="一修多修正项4" localSheetId="18">[1]典型户型修正!$9:$9</definedName>
    <definedName name="一修多修正项4" localSheetId="26">[1]典型户型修正!$9:$9</definedName>
    <definedName name="一修多修正项4">典型户型修正!$9:$9</definedName>
    <definedName name="一修多修正项5" localSheetId="18">[1]典型户型修正!$11:$11</definedName>
    <definedName name="一修多修正项5" localSheetId="26">[1]典型户型修正!$11:$11</definedName>
    <definedName name="一修多修正项5">典型户型修正!$11:$11</definedName>
    <definedName name="一修多修正项6" localSheetId="18">[1]典型户型修正!$13:$13</definedName>
    <definedName name="一修多修正项6" localSheetId="26">[1]典型户型修正!$13:$13</definedName>
    <definedName name="一修多修正项6">典型户型修正!$13:$13</definedName>
    <definedName name="一修多修正项7" localSheetId="18">[1]典型户型修正!$15:$15</definedName>
    <definedName name="一修多修正项7" localSheetId="26">[1]典型户型修正!$15:$15</definedName>
    <definedName name="一修多修正项7">典型户型修正!$15:$15</definedName>
    <definedName name="一修多修正项8" localSheetId="18">[1]典型户型修正!$17:$17</definedName>
    <definedName name="一修多修正项8" localSheetId="26">[1]典型户型修正!$17:$17</definedName>
    <definedName name="一修多修正项8">典型户型修正!$17:$17</definedName>
    <definedName name="用途类型" localSheetId="18">[1]定义!$A$1:$A$50</definedName>
    <definedName name="用途类型" localSheetId="26">[1]定义!$A$1:$A$50</definedName>
    <definedName name="用途类型">定义!$A$1:$A$50</definedName>
    <definedName name="有无电梯" localSheetId="18">'[1]不动产比较法-仓储'!$B$84:$M$84</definedName>
    <definedName name="有无电梯" localSheetId="26">'[1]不动产比较法-仓储'!$B$84:$M$84</definedName>
    <definedName name="有无电梯">'不动产比较法-仓储'!$B$84:$M$84</definedName>
    <definedName name="主用途" localSheetId="18">[1]定义!$F$1:$F$10</definedName>
    <definedName name="主用途" localSheetId="26">[1]定义!$F$1:$F$10</definedName>
    <definedName name="主用途">定义!$F$1:$F$10</definedName>
    <definedName name="住宅朝向" localSheetId="18">'[1]不动产比较法-住宅'!$B$88:$M$88</definedName>
    <definedName name="住宅朝向" localSheetId="26">'[1]不动产比较法-住宅'!$B$88:$M$88</definedName>
    <definedName name="住宅朝向">'不动产比较法-住宅'!$B$88:$M$88</definedName>
    <definedName name="住宅房型" localSheetId="18">'[1]不动产比较法-住宅'!$B$118:$M$118</definedName>
    <definedName name="住宅房型" localSheetId="26">'[1]不动产比较法-住宅'!$B$118:$M$118</definedName>
    <definedName name="住宅房型">'不动产比较法-住宅'!$B$118:$M$118</definedName>
    <definedName name="住宅公共部分装修" localSheetId="18">'[1]不动产比较法-住宅'!$B$109:$M$109</definedName>
    <definedName name="住宅公共部分装修" localSheetId="26">'[1]不动产比较法-住宅'!$B$109:$M$109</definedName>
    <definedName name="住宅公共部分装修">'不动产比较法-住宅'!$B$109:$M$109</definedName>
    <definedName name="住宅基础设施水平" localSheetId="18">'[1]不动产比较法-住宅'!$B$116:$M$116</definedName>
    <definedName name="住宅基础设施水平" localSheetId="26">'[1]不动产比较法-住宅'!$B$116:$M$116</definedName>
    <definedName name="住宅基础设施水平">'不动产比较法-住宅'!$B$116:$M$116</definedName>
    <definedName name="住宅建筑结构" localSheetId="18">'[1]不动产比较法-住宅'!$B$105:$M$105</definedName>
    <definedName name="住宅建筑结构" localSheetId="26">'[1]不动产比较法-住宅'!$B$105:$M$105</definedName>
    <definedName name="住宅建筑结构">'不动产比较法-住宅'!$B$105:$M$105</definedName>
    <definedName name="住宅建筑类型" localSheetId="18">'[1]不动产比较法-住宅'!$B$100:$M$100</definedName>
    <definedName name="住宅建筑类型" localSheetId="26">'[1]不动产比较法-住宅'!$B$100:$M$100</definedName>
    <definedName name="住宅建筑类型">'不动产比较法-住宅'!$B$100:$M$100</definedName>
    <definedName name="住宅建筑品质" localSheetId="18">'[1]不动产比较法-住宅'!$B$107:$M$107</definedName>
    <definedName name="住宅建筑品质" localSheetId="26">'[1]不动产比较法-住宅'!$B$107:$M$107</definedName>
    <definedName name="住宅建筑品质">'不动产比较法-住宅'!$B$107:$M$107</definedName>
    <definedName name="住宅交易情况" localSheetId="18">'[1]不动产比较法-住宅'!$A$61:$M$61</definedName>
    <definedName name="住宅交易情况" localSheetId="26">'[1]不动产比较法-住宅'!$A$61:$M$61</definedName>
    <definedName name="住宅交易情况">'不动产比较法-住宅'!$A$61:$M$61</definedName>
    <definedName name="住宅楼层" localSheetId="18">'[1]不动产比较法-住宅'!$B$86:$M$86</definedName>
    <definedName name="住宅楼层" localSheetId="26">'[1]不动产比较法-住宅'!$B$86:$M$86</definedName>
    <definedName name="住宅楼层">'不动产比较法-住宅'!$B$86:$M$86</definedName>
    <definedName name="住宅内部装修" localSheetId="18">'[1]不动产比较法-住宅'!$B$122:$M$122</definedName>
    <definedName name="住宅内部装修" localSheetId="26">'[1]不动产比较法-住宅'!$B$122:$M$122</definedName>
    <definedName name="住宅内部装修">'不动产比较法-住宅'!$B$122:$M$122</definedName>
    <definedName name="住宅物业管理" localSheetId="18">'[1]不动产比较法-住宅'!$B$114:$M$114</definedName>
    <definedName name="住宅物业管理" localSheetId="26">'[1]不动产比较法-住宅'!$B$114:$M$114</definedName>
    <definedName name="住宅物业管理">'不动产比较法-住宅'!$B$114:$M$114</definedName>
    <definedName name="住宅用途" localSheetId="18">'[1]不动产比较法-住宅'!$B$63:$M$63</definedName>
    <definedName name="住宅用途" localSheetId="26">'[1]不动产比较法-住宅'!$B$63:$M$63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72" l="1"/>
  <c r="D3" i="4"/>
  <c r="F113" i="73" l="1"/>
  <c r="L108" i="73"/>
  <c r="H108" i="73"/>
  <c r="D108" i="73"/>
  <c r="L100" i="73"/>
  <c r="H100" i="73"/>
  <c r="D100" i="73"/>
  <c r="N99" i="73"/>
  <c r="N108" i="73" s="1"/>
  <c r="M99" i="73"/>
  <c r="L99" i="73"/>
  <c r="K99" i="73"/>
  <c r="J99" i="73"/>
  <c r="J108" i="73" s="1"/>
  <c r="I99" i="73"/>
  <c r="H99" i="73"/>
  <c r="G99" i="73"/>
  <c r="F99" i="73"/>
  <c r="F108" i="73" s="1"/>
  <c r="E99" i="73"/>
  <c r="D99" i="73"/>
  <c r="C99" i="73"/>
  <c r="M87" i="73"/>
  <c r="N87" i="73" s="1"/>
  <c r="K87" i="73"/>
  <c r="J87" i="73"/>
  <c r="D87" i="73"/>
  <c r="B87" i="73"/>
  <c r="N86" i="73"/>
  <c r="M86" i="73"/>
  <c r="K86" i="73"/>
  <c r="J86" i="73" s="1"/>
  <c r="N85" i="73"/>
  <c r="M85" i="73"/>
  <c r="K85" i="73"/>
  <c r="J85" i="73" s="1"/>
  <c r="D85" i="73"/>
  <c r="B85" i="73"/>
  <c r="M84" i="73"/>
  <c r="N84" i="73" s="1"/>
  <c r="K84" i="73"/>
  <c r="J84" i="73"/>
  <c r="D84" i="73"/>
  <c r="B84" i="73"/>
  <c r="N83" i="73"/>
  <c r="M83" i="73"/>
  <c r="K83" i="73"/>
  <c r="J83" i="73" s="1"/>
  <c r="D83" i="73"/>
  <c r="B83" i="73"/>
  <c r="M82" i="73"/>
  <c r="N82" i="73" s="1"/>
  <c r="K82" i="73"/>
  <c r="J82" i="73"/>
  <c r="D82" i="73"/>
  <c r="B82" i="73"/>
  <c r="N81" i="73"/>
  <c r="M81" i="73"/>
  <c r="K81" i="73"/>
  <c r="B81" i="73"/>
  <c r="M80" i="73"/>
  <c r="N80" i="73" s="1"/>
  <c r="K80" i="73"/>
  <c r="J80" i="73"/>
  <c r="D80" i="73"/>
  <c r="B80" i="73"/>
  <c r="M77" i="73"/>
  <c r="N77" i="73" s="1"/>
  <c r="K77" i="73"/>
  <c r="J77" i="73"/>
  <c r="D77" i="73"/>
  <c r="M76" i="73"/>
  <c r="N76" i="73" s="1"/>
  <c r="K76" i="73"/>
  <c r="J76" i="73"/>
  <c r="D76" i="73"/>
  <c r="B76" i="73"/>
  <c r="N75" i="73"/>
  <c r="M75" i="73"/>
  <c r="K75" i="73"/>
  <c r="J75" i="73" s="1"/>
  <c r="D75" i="73"/>
  <c r="N74" i="73"/>
  <c r="M74" i="73"/>
  <c r="K74" i="73"/>
  <c r="J74" i="73" s="1"/>
  <c r="D74" i="73"/>
  <c r="B74" i="73"/>
  <c r="M73" i="73"/>
  <c r="N73" i="73" s="1"/>
  <c r="K73" i="73"/>
  <c r="J73" i="73"/>
  <c r="D73" i="73"/>
  <c r="B73" i="73"/>
  <c r="N72" i="73"/>
  <c r="M72" i="73"/>
  <c r="K72" i="73"/>
  <c r="J72" i="73" s="1"/>
  <c r="D72" i="73"/>
  <c r="B72" i="73"/>
  <c r="M71" i="73"/>
  <c r="N71" i="73" s="1"/>
  <c r="K71" i="73"/>
  <c r="J71" i="73"/>
  <c r="D71" i="73"/>
  <c r="B71" i="73"/>
  <c r="N70" i="73"/>
  <c r="M70" i="73"/>
  <c r="K70" i="73"/>
  <c r="J70" i="73" s="1"/>
  <c r="D70" i="73"/>
  <c r="B70" i="73"/>
  <c r="M69" i="73"/>
  <c r="N69" i="73" s="1"/>
  <c r="K69" i="73"/>
  <c r="J69" i="73"/>
  <c r="F69" i="73"/>
  <c r="D69" i="73"/>
  <c r="B69" i="73"/>
  <c r="M66" i="73"/>
  <c r="N66" i="73" s="1"/>
  <c r="K66" i="73"/>
  <c r="J66" i="73"/>
  <c r="D66" i="73"/>
  <c r="B66" i="73"/>
  <c r="N65" i="73"/>
  <c r="M65" i="73"/>
  <c r="K65" i="73"/>
  <c r="J65" i="73" s="1"/>
  <c r="D65" i="73"/>
  <c r="B65" i="73"/>
  <c r="M64" i="73"/>
  <c r="N64" i="73" s="1"/>
  <c r="K64" i="73"/>
  <c r="J64" i="73"/>
  <c r="D64" i="73"/>
  <c r="B64" i="73"/>
  <c r="N63" i="73"/>
  <c r="M63" i="73"/>
  <c r="K63" i="73"/>
  <c r="J63" i="73" s="1"/>
  <c r="D63" i="73"/>
  <c r="N62" i="73"/>
  <c r="M62" i="73"/>
  <c r="K62" i="73"/>
  <c r="J62" i="73" s="1"/>
  <c r="D62" i="73"/>
  <c r="B62" i="73"/>
  <c r="M61" i="73"/>
  <c r="N61" i="73" s="1"/>
  <c r="K61" i="73"/>
  <c r="J61" i="73"/>
  <c r="D61" i="73"/>
  <c r="M60" i="73"/>
  <c r="N60" i="73" s="1"/>
  <c r="K60" i="73"/>
  <c r="J60" i="73"/>
  <c r="D60" i="73"/>
  <c r="B60" i="73"/>
  <c r="N59" i="73"/>
  <c r="M59" i="73"/>
  <c r="K59" i="73"/>
  <c r="J59" i="73" s="1"/>
  <c r="D59" i="73"/>
  <c r="B59" i="73"/>
  <c r="M58" i="73"/>
  <c r="N58" i="73" s="1"/>
  <c r="K58" i="73"/>
  <c r="J58" i="73"/>
  <c r="F58" i="73"/>
  <c r="H62" i="73" s="1"/>
  <c r="D58" i="73"/>
  <c r="E58" i="73" s="1"/>
  <c r="B58" i="73"/>
  <c r="B56" i="73"/>
  <c r="M55" i="73"/>
  <c r="N55" i="73" s="1"/>
  <c r="K55" i="73"/>
  <c r="J55" i="73"/>
  <c r="D55" i="73"/>
  <c r="B55" i="73"/>
  <c r="N54" i="73"/>
  <c r="M54" i="73"/>
  <c r="K54" i="73"/>
  <c r="J54" i="73" s="1"/>
  <c r="D54" i="73"/>
  <c r="B54" i="73"/>
  <c r="M53" i="73"/>
  <c r="N53" i="73" s="1"/>
  <c r="K53" i="73"/>
  <c r="J53" i="73"/>
  <c r="D53" i="73"/>
  <c r="B53" i="73"/>
  <c r="N52" i="73"/>
  <c r="M52" i="73"/>
  <c r="K52" i="73"/>
  <c r="J52" i="73" s="1"/>
  <c r="D52" i="73"/>
  <c r="N51" i="73"/>
  <c r="M51" i="73"/>
  <c r="K51" i="73"/>
  <c r="J51" i="73" s="1"/>
  <c r="D51" i="73"/>
  <c r="B51" i="73"/>
  <c r="M50" i="73"/>
  <c r="N50" i="73" s="1"/>
  <c r="K50" i="73"/>
  <c r="J50" i="73"/>
  <c r="D50" i="73"/>
  <c r="M49" i="73"/>
  <c r="N49" i="73" s="1"/>
  <c r="K49" i="73"/>
  <c r="J49" i="73"/>
  <c r="D49" i="73"/>
  <c r="B49" i="73"/>
  <c r="N48" i="73"/>
  <c r="M48" i="73"/>
  <c r="K48" i="73"/>
  <c r="J48" i="73" s="1"/>
  <c r="D48" i="73"/>
  <c r="B48" i="73"/>
  <c r="M47" i="73"/>
  <c r="N47" i="73" s="1"/>
  <c r="K47" i="73"/>
  <c r="J47" i="73"/>
  <c r="D47" i="73"/>
  <c r="B47" i="73"/>
  <c r="H39" i="73"/>
  <c r="H38" i="73"/>
  <c r="H37" i="73"/>
  <c r="H36" i="73"/>
  <c r="H35" i="73"/>
  <c r="F35" i="73"/>
  <c r="H34" i="73"/>
  <c r="H33" i="73"/>
  <c r="J22" i="73"/>
  <c r="E22" i="73"/>
  <c r="J20" i="73"/>
  <c r="M19" i="73"/>
  <c r="I19" i="73"/>
  <c r="C18" i="73"/>
  <c r="K17" i="73"/>
  <c r="C16" i="73"/>
  <c r="F15" i="73"/>
  <c r="E15" i="73"/>
  <c r="D15" i="73"/>
  <c r="C15" i="73"/>
  <c r="C12" i="73" s="1"/>
  <c r="Y12" i="73"/>
  <c r="AH11" i="73"/>
  <c r="AD11" i="73"/>
  <c r="Z11" i="73"/>
  <c r="Y10" i="73"/>
  <c r="C10" i="73"/>
  <c r="C11" i="73" s="1"/>
  <c r="AJ9" i="73"/>
  <c r="AJ12" i="73" s="1"/>
  <c r="AI9" i="73"/>
  <c r="AI12" i="73" s="1"/>
  <c r="AH9" i="73"/>
  <c r="AH12" i="73" s="1"/>
  <c r="AG9" i="73"/>
  <c r="AG12" i="73" s="1"/>
  <c r="AF9" i="73"/>
  <c r="AF12" i="73" s="1"/>
  <c r="AE9" i="73"/>
  <c r="AE12" i="73" s="1"/>
  <c r="AD9" i="73"/>
  <c r="AD12" i="73" s="1"/>
  <c r="AC9" i="73"/>
  <c r="AC12" i="73" s="1"/>
  <c r="AB9" i="73"/>
  <c r="AB12" i="73" s="1"/>
  <c r="AA9" i="73"/>
  <c r="AA12" i="73" s="1"/>
  <c r="Z9" i="73"/>
  <c r="Z12" i="73" s="1"/>
  <c r="C9" i="73"/>
  <c r="X7" i="73"/>
  <c r="A7" i="73"/>
  <c r="I2" i="73"/>
  <c r="N12" i="73" s="1"/>
  <c r="G2" i="73"/>
  <c r="F37" i="73" s="1"/>
  <c r="M1" i="73"/>
  <c r="F1" i="73"/>
  <c r="D29" i="73" s="1"/>
  <c r="D1" i="73" s="1"/>
  <c r="H65" i="73" l="1"/>
  <c r="F39" i="73"/>
  <c r="O17" i="73"/>
  <c r="F33" i="73"/>
  <c r="E11" i="73"/>
  <c r="E10" i="73"/>
  <c r="E9" i="73"/>
  <c r="E8" i="73"/>
  <c r="N2" i="73"/>
  <c r="M3" i="73"/>
  <c r="N4" i="73"/>
  <c r="M5" i="73"/>
  <c r="M6" i="73"/>
  <c r="N7" i="73"/>
  <c r="N8" i="73"/>
  <c r="F47" i="73" s="1"/>
  <c r="N9" i="73"/>
  <c r="M10" i="73"/>
  <c r="AA10" i="73"/>
  <c r="AC10" i="73"/>
  <c r="AE10" i="73"/>
  <c r="AG10" i="73"/>
  <c r="AI10" i="73"/>
  <c r="M11" i="73"/>
  <c r="M12" i="73"/>
  <c r="H77" i="73"/>
  <c r="H76" i="73"/>
  <c r="H73" i="73"/>
  <c r="H71" i="73"/>
  <c r="H69" i="73"/>
  <c r="H70" i="73"/>
  <c r="H74" i="73"/>
  <c r="N1" i="73"/>
  <c r="H113" i="73"/>
  <c r="N17" i="73"/>
  <c r="L17" i="73"/>
  <c r="J17" i="73"/>
  <c r="H17" i="73"/>
  <c r="E17" i="73"/>
  <c r="C17" i="73"/>
  <c r="M2" i="73"/>
  <c r="B113" i="73"/>
  <c r="M101" i="73"/>
  <c r="K101" i="73"/>
  <c r="I101" i="73"/>
  <c r="G101" i="73"/>
  <c r="E101" i="73"/>
  <c r="C101" i="73"/>
  <c r="L101" i="73"/>
  <c r="H101" i="73"/>
  <c r="H109" i="73" s="1"/>
  <c r="D101" i="73"/>
  <c r="N101" i="73"/>
  <c r="J101" i="73"/>
  <c r="F101" i="73"/>
  <c r="H22" i="73"/>
  <c r="F22" i="73"/>
  <c r="AI11" i="73"/>
  <c r="AI13" i="73" s="1"/>
  <c r="AG11" i="73"/>
  <c r="AG13" i="73" s="1"/>
  <c r="AE11" i="73"/>
  <c r="AE13" i="73" s="1"/>
  <c r="AC11" i="73"/>
  <c r="AC13" i="73" s="1"/>
  <c r="AA11" i="73"/>
  <c r="AA13" i="73" s="1"/>
  <c r="Y11" i="73"/>
  <c r="Y13" i="73" s="1"/>
  <c r="N3" i="73"/>
  <c r="M4" i="73"/>
  <c r="N5" i="73"/>
  <c r="N6" i="73"/>
  <c r="M7" i="73"/>
  <c r="Z7" i="73"/>
  <c r="M8" i="73"/>
  <c r="C6" i="73" s="1"/>
  <c r="M9" i="73"/>
  <c r="Z13" i="73"/>
  <c r="AD13" i="73"/>
  <c r="AH13" i="73"/>
  <c r="N10" i="73"/>
  <c r="Z10" i="73"/>
  <c r="AB10" i="73"/>
  <c r="AD10" i="73"/>
  <c r="AF10" i="73"/>
  <c r="AH10" i="73"/>
  <c r="AJ10" i="73"/>
  <c r="N11" i="73"/>
  <c r="AB11" i="73"/>
  <c r="AB13" i="73" s="1"/>
  <c r="AF11" i="73"/>
  <c r="AF13" i="73" s="1"/>
  <c r="AJ11" i="73"/>
  <c r="AJ13" i="73" s="1"/>
  <c r="D17" i="73"/>
  <c r="I17" i="73"/>
  <c r="M17" i="73"/>
  <c r="G22" i="73"/>
  <c r="D22" i="73" s="1"/>
  <c r="C21" i="73" s="1"/>
  <c r="F34" i="73"/>
  <c r="F36" i="73"/>
  <c r="F38" i="73"/>
  <c r="E47" i="73"/>
  <c r="B45" i="73" s="1"/>
  <c r="H66" i="73"/>
  <c r="H64" i="73"/>
  <c r="H61" i="73"/>
  <c r="H60" i="73"/>
  <c r="H58" i="73"/>
  <c r="H59" i="73"/>
  <c r="H63" i="73"/>
  <c r="E69" i="73"/>
  <c r="B67" i="73" s="1"/>
  <c r="H72" i="73"/>
  <c r="H75" i="73"/>
  <c r="F80" i="73"/>
  <c r="J81" i="73"/>
  <c r="D81" i="73"/>
  <c r="E80" i="73" s="1"/>
  <c r="B78" i="73" s="1"/>
  <c r="C24" i="73" s="1"/>
  <c r="F109" i="73"/>
  <c r="J109" i="73"/>
  <c r="N109" i="73"/>
  <c r="D109" i="73"/>
  <c r="L109" i="73"/>
  <c r="D86" i="73"/>
  <c r="F100" i="73"/>
  <c r="J100" i="73"/>
  <c r="N100" i="73"/>
  <c r="C108" i="73"/>
  <c r="C109" i="73" s="1"/>
  <c r="C100" i="73"/>
  <c r="E108" i="73"/>
  <c r="E109" i="73" s="1"/>
  <c r="E100" i="73"/>
  <c r="G108" i="73"/>
  <c r="G109" i="73" s="1"/>
  <c r="G100" i="73"/>
  <c r="I108" i="73"/>
  <c r="I109" i="73" s="1"/>
  <c r="I100" i="73"/>
  <c r="K108" i="73"/>
  <c r="K109" i="73" s="1"/>
  <c r="K100" i="73"/>
  <c r="M108" i="73"/>
  <c r="M109" i="73" s="1"/>
  <c r="M100" i="73"/>
  <c r="D11" i="72"/>
  <c r="D10" i="72"/>
  <c r="H55" i="73" l="1"/>
  <c r="H49" i="73"/>
  <c r="H54" i="73"/>
  <c r="H53" i="73"/>
  <c r="H48" i="73"/>
  <c r="H51" i="73"/>
  <c r="H52" i="73"/>
  <c r="H47" i="73"/>
  <c r="H50" i="73"/>
  <c r="D5" i="73"/>
  <c r="H86" i="73"/>
  <c r="H85" i="73"/>
  <c r="H83" i="73"/>
  <c r="H87" i="73"/>
  <c r="H84" i="73"/>
  <c r="H82" i="73"/>
  <c r="H80" i="73"/>
  <c r="H81" i="73"/>
  <c r="F107" i="73"/>
  <c r="F106" i="73"/>
  <c r="F105" i="73"/>
  <c r="F104" i="73"/>
  <c r="F103" i="73"/>
  <c r="F102" i="73"/>
  <c r="N107" i="73"/>
  <c r="N106" i="73"/>
  <c r="N105" i="73"/>
  <c r="N104" i="73"/>
  <c r="N103" i="73"/>
  <c r="N102" i="73"/>
  <c r="H107" i="73"/>
  <c r="H106" i="73"/>
  <c r="H105" i="73"/>
  <c r="H104" i="73"/>
  <c r="H103" i="73"/>
  <c r="H102" i="73"/>
  <c r="C107" i="73"/>
  <c r="C106" i="73"/>
  <c r="C105" i="73"/>
  <c r="C104" i="73"/>
  <c r="C103" i="73"/>
  <c r="C102" i="73"/>
  <c r="G107" i="73"/>
  <c r="G106" i="73"/>
  <c r="G105" i="73"/>
  <c r="G104" i="73"/>
  <c r="G103" i="73"/>
  <c r="G102" i="73"/>
  <c r="K107" i="73"/>
  <c r="K106" i="73"/>
  <c r="K105" i="73"/>
  <c r="K104" i="73"/>
  <c r="K103" i="73"/>
  <c r="K102" i="73"/>
  <c r="D118" i="73"/>
  <c r="E118" i="73" s="1"/>
  <c r="F118" i="73" s="1"/>
  <c r="B118" i="73"/>
  <c r="C118" i="73" s="1"/>
  <c r="D117" i="73"/>
  <c r="E117" i="73" s="1"/>
  <c r="F117" i="73" s="1"/>
  <c r="G117" i="73" s="1"/>
  <c r="H117" i="73" s="1"/>
  <c r="B117" i="73"/>
  <c r="C117" i="73" s="1"/>
  <c r="D116" i="73"/>
  <c r="E116" i="73" s="1"/>
  <c r="F116" i="73" s="1"/>
  <c r="G116" i="73" s="1"/>
  <c r="H116" i="73" s="1"/>
  <c r="B116" i="73"/>
  <c r="C116" i="73" s="1"/>
  <c r="D115" i="73"/>
  <c r="E115" i="73" s="1"/>
  <c r="F115" i="73" s="1"/>
  <c r="G115" i="73" s="1"/>
  <c r="H115" i="73" s="1"/>
  <c r="B115" i="73"/>
  <c r="C115" i="73" s="1"/>
  <c r="I118" i="73"/>
  <c r="J118" i="73" s="1"/>
  <c r="K118" i="73" s="1"/>
  <c r="L118" i="73" s="1"/>
  <c r="M118" i="73" s="1"/>
  <c r="I117" i="73"/>
  <c r="J117" i="73" s="1"/>
  <c r="K117" i="73" s="1"/>
  <c r="L117" i="73" s="1"/>
  <c r="M117" i="73" s="1"/>
  <c r="I116" i="73"/>
  <c r="J116" i="73" s="1"/>
  <c r="K116" i="73" s="1"/>
  <c r="L116" i="73" s="1"/>
  <c r="M116" i="73" s="1"/>
  <c r="I115" i="73"/>
  <c r="J115" i="73" s="1"/>
  <c r="K115" i="73" s="1"/>
  <c r="L115" i="73" s="1"/>
  <c r="M115" i="73" s="1"/>
  <c r="G118" i="73"/>
  <c r="H118" i="73" s="1"/>
  <c r="C7" i="73"/>
  <c r="C5" i="73" s="1"/>
  <c r="J107" i="73"/>
  <c r="J106" i="73"/>
  <c r="J105" i="73"/>
  <c r="J104" i="73"/>
  <c r="J103" i="73"/>
  <c r="J102" i="73"/>
  <c r="D107" i="73"/>
  <c r="D106" i="73"/>
  <c r="D105" i="73"/>
  <c r="D104" i="73"/>
  <c r="D103" i="73"/>
  <c r="D102" i="73"/>
  <c r="L107" i="73"/>
  <c r="L106" i="73"/>
  <c r="L105" i="73"/>
  <c r="L104" i="73"/>
  <c r="L103" i="73"/>
  <c r="L102" i="73"/>
  <c r="E107" i="73"/>
  <c r="E106" i="73"/>
  <c r="E105" i="73"/>
  <c r="E104" i="73"/>
  <c r="E103" i="73"/>
  <c r="E102" i="73"/>
  <c r="I107" i="73"/>
  <c r="I106" i="73"/>
  <c r="I105" i="73"/>
  <c r="I104" i="73"/>
  <c r="I103" i="73"/>
  <c r="I102" i="73"/>
  <c r="M107" i="73"/>
  <c r="M106" i="73"/>
  <c r="M105" i="73"/>
  <c r="M104" i="73"/>
  <c r="M103" i="73"/>
  <c r="M102" i="73"/>
  <c r="G17" i="73"/>
  <c r="D113" i="73"/>
  <c r="D15" i="72"/>
  <c r="D13" i="72"/>
  <c r="E4" i="72"/>
  <c r="B3" i="72"/>
  <c r="S68" i="40"/>
  <c r="R68" i="40"/>
  <c r="Q68" i="40"/>
  <c r="P68" i="40"/>
  <c r="J137" i="71"/>
  <c r="J138" i="71"/>
  <c r="J139" i="71"/>
  <c r="J140" i="71"/>
  <c r="I137" i="71"/>
  <c r="I138" i="71"/>
  <c r="I139" i="71"/>
  <c r="I140" i="71"/>
  <c r="J136" i="71"/>
  <c r="I136" i="71"/>
  <c r="J135" i="71"/>
  <c r="I135" i="71"/>
  <c r="J134" i="71"/>
  <c r="I134" i="71"/>
  <c r="J133" i="71"/>
  <c r="I133" i="71"/>
  <c r="J132" i="71"/>
  <c r="I132" i="71"/>
  <c r="J131" i="71"/>
  <c r="I131" i="71"/>
  <c r="J130" i="71"/>
  <c r="I130" i="71"/>
  <c r="J129" i="71"/>
  <c r="I129" i="71"/>
  <c r="J128" i="71"/>
  <c r="I128" i="71"/>
  <c r="J127" i="71"/>
  <c r="I127" i="71"/>
  <c r="J126" i="71"/>
  <c r="I126" i="71"/>
  <c r="J125" i="71"/>
  <c r="I125" i="71"/>
  <c r="J124" i="71"/>
  <c r="I124" i="71"/>
  <c r="S6" i="73" l="1"/>
  <c r="S5" i="73"/>
  <c r="S3" i="73"/>
  <c r="S2" i="73"/>
  <c r="S7" i="73"/>
  <c r="S4" i="73"/>
  <c r="C23" i="73"/>
  <c r="G23" i="20"/>
  <c r="G36" i="40"/>
  <c r="E36" i="40"/>
  <c r="C36" i="40"/>
  <c r="G43" i="40"/>
  <c r="E43" i="40"/>
  <c r="E7" i="40"/>
  <c r="G7" i="40"/>
  <c r="O108" i="71"/>
  <c r="O107" i="71"/>
  <c r="O106" i="71"/>
  <c r="P96" i="71"/>
  <c r="P90" i="71"/>
  <c r="P89" i="71"/>
  <c r="P88" i="71"/>
  <c r="P87" i="71"/>
  <c r="R87" i="71" s="1"/>
  <c r="O56" i="71"/>
  <c r="O41" i="71"/>
  <c r="M33" i="71"/>
  <c r="L33" i="71"/>
  <c r="K33" i="71"/>
  <c r="O32" i="71"/>
  <c r="O31" i="71"/>
  <c r="O30" i="71"/>
  <c r="O29" i="71"/>
  <c r="O28" i="71"/>
  <c r="O27" i="71"/>
  <c r="O60" i="71" s="1"/>
  <c r="O26" i="71"/>
  <c r="O25" i="71"/>
  <c r="N25" i="71"/>
  <c r="O24" i="71"/>
  <c r="O23" i="71"/>
  <c r="O22" i="71"/>
  <c r="O21" i="71"/>
  <c r="O20" i="71"/>
  <c r="O19" i="71"/>
  <c r="N19" i="71"/>
  <c r="O18" i="71"/>
  <c r="O17" i="71"/>
  <c r="O16" i="71"/>
  <c r="O15" i="71"/>
  <c r="O14" i="71"/>
  <c r="N14" i="71"/>
  <c r="O13" i="71"/>
  <c r="O12" i="71"/>
  <c r="O11" i="71"/>
  <c r="N11" i="71"/>
  <c r="O10" i="71"/>
  <c r="O36" i="71" s="1"/>
  <c r="N10" i="71"/>
  <c r="N34" i="71" s="1"/>
  <c r="N37" i="71" s="1"/>
  <c r="O9" i="71"/>
  <c r="O8" i="71"/>
  <c r="O7" i="71"/>
  <c r="O6" i="71"/>
  <c r="O5" i="71"/>
  <c r="O4" i="71"/>
  <c r="O33" i="71" l="1"/>
  <c r="I13" i="40" l="1"/>
  <c r="G13" i="40"/>
  <c r="E13" i="40"/>
  <c r="B29" i="1" l="1"/>
  <c r="D8" i="11"/>
  <c r="F17" i="43"/>
  <c r="D29" i="46"/>
  <c r="F1" i="46"/>
  <c r="G5" i="20"/>
  <c r="AH6" i="1"/>
  <c r="F19" i="6"/>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C32" i="68" l="1"/>
  <c r="C38" i="68" s="1"/>
  <c r="C39" i="68" s="1"/>
  <c r="D26" i="68"/>
  <c r="E23" i="68"/>
  <c r="D38" i="68"/>
  <c r="D39" i="68" s="1"/>
  <c r="D32" i="68"/>
  <c r="D29" i="68"/>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A15" i="55"/>
  <c r="B66" i="63" s="1"/>
  <c r="A14" i="55"/>
  <c r="A11" i="55"/>
  <c r="A10" i="55"/>
  <c r="B61" i="63" s="1"/>
  <c r="A9" i="55"/>
  <c r="B60" i="63" s="1"/>
  <c r="A8" i="55"/>
  <c r="A6" i="54"/>
  <c r="B49" i="63" s="1"/>
  <c r="A8" i="54"/>
  <c r="A7" i="54"/>
  <c r="B51" i="63" s="1"/>
  <c r="A27" i="51"/>
  <c r="B20" i="63" s="1"/>
  <c r="Q23" i="59"/>
  <c r="O23" i="59"/>
  <c r="N24" i="59"/>
  <c r="O24" i="59"/>
  <c r="P24" i="59"/>
  <c r="Q24" i="59"/>
  <c r="N23" i="59"/>
  <c r="P23" i="59"/>
  <c r="K75" i="9"/>
  <c r="K6" i="4"/>
  <c r="O76" i="9"/>
  <c r="L76" i="9"/>
  <c r="K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c r="E19" i="59" s="1"/>
  <c r="E18" i="59" s="1"/>
  <c r="E17" i="59" s="1"/>
  <c r="E16" i="59" s="1"/>
  <c r="E15" i="59" s="1"/>
  <c r="E14" i="59" s="1"/>
  <c r="U21" i="59"/>
  <c r="S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K39" i="9" s="1"/>
  <c r="C57" i="10"/>
  <c r="A28" i="51" s="1"/>
  <c r="N4" i="63" s="1"/>
  <c r="C56" i="10"/>
  <c r="A26" i="51" s="1"/>
  <c r="B19" i="63" s="1"/>
  <c r="C55" i="10"/>
  <c r="C54" i="10"/>
  <c r="B44" i="63"/>
  <c r="B40" i="63"/>
  <c r="B30" i="63"/>
  <c r="B27" i="63"/>
  <c r="B25" i="63"/>
  <c r="A11" i="51"/>
  <c r="B10" i="63" s="1"/>
  <c r="A26" i="64"/>
  <c r="B58" i="63"/>
  <c r="B53" i="63"/>
  <c r="A46" i="9"/>
  <c r="K41" i="9"/>
  <c r="B8" i="63"/>
  <c r="A21" i="55"/>
  <c r="B71" i="63" s="1"/>
  <c r="A20" i="55"/>
  <c r="B69" i="63" s="1"/>
  <c r="B26" i="63"/>
  <c r="B28" i="63"/>
  <c r="B29" i="63"/>
  <c r="B31" i="63"/>
  <c r="B33" i="63"/>
  <c r="B35" i="63"/>
  <c r="B36" i="63"/>
  <c r="B37" i="63"/>
  <c r="B63" i="63"/>
  <c r="B64" i="63"/>
  <c r="B68" i="63"/>
  <c r="D51" i="10"/>
  <c r="B59" i="63"/>
  <c r="B51" i="10"/>
  <c r="A15" i="51"/>
  <c r="B12" i="63"/>
  <c r="A14" i="51"/>
  <c r="B11" i="63"/>
  <c r="A4" i="55"/>
  <c r="B57" i="63"/>
  <c r="B41" i="63"/>
  <c r="G5" i="54"/>
  <c r="B34" i="63" s="1"/>
  <c r="E5" i="54"/>
  <c r="B32" i="63" s="1"/>
  <c r="R2" i="54"/>
  <c r="B24" i="63" s="1"/>
  <c r="B49" i="50"/>
  <c r="B5" i="63"/>
  <c r="B40" i="50"/>
  <c r="B3" i="63"/>
  <c r="B21" i="63"/>
  <c r="B67" i="63"/>
  <c r="I19" i="46"/>
  <c r="Q25" i="59"/>
  <c r="P25" i="59"/>
  <c r="O25" i="59"/>
  <c r="N25" i="59"/>
  <c r="B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X3"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L16" i="4" s="1"/>
  <c r="K16" i="4"/>
  <c r="P63" i="59"/>
  <c r="D76" i="59"/>
  <c r="C75" i="59"/>
  <c r="D75" i="59" s="1"/>
  <c r="D68" i="59"/>
  <c r="C67" i="59"/>
  <c r="D67" i="59" s="1"/>
  <c r="C63" i="59"/>
  <c r="D63" i="59" s="1"/>
  <c r="O64" i="59"/>
  <c r="D64" i="59"/>
  <c r="C79" i="59"/>
  <c r="D79" i="59" s="1"/>
  <c r="D56" i="59"/>
  <c r="C49" i="59"/>
  <c r="D49" i="59" s="1"/>
  <c r="C37" i="59"/>
  <c r="D37" i="59" s="1"/>
  <c r="C29" i="59"/>
  <c r="D29" i="59" s="1"/>
  <c r="T29" i="59"/>
  <c r="T37" i="59"/>
  <c r="T49"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s="1"/>
  <c r="Q31" i="39"/>
  <c r="Z31" i="39" s="1"/>
  <c r="D105" i="39"/>
  <c r="E105" i="39"/>
  <c r="F31" i="39"/>
  <c r="AA31" i="39" s="1"/>
  <c r="G20" i="20"/>
  <c r="B85" i="46" s="1"/>
  <c r="C22" i="20"/>
  <c r="B65" i="46" s="1"/>
  <c r="S18" i="36"/>
  <c r="S18" i="35"/>
  <c r="S21" i="37"/>
  <c r="S21" i="34"/>
  <c r="S21" i="21"/>
  <c r="S31" i="39"/>
  <c r="C31" i="39"/>
  <c r="B74" i="46"/>
  <c r="E66" i="36"/>
  <c r="H18" i="35"/>
  <c r="J18" i="35"/>
  <c r="H21" i="37"/>
  <c r="J21" i="37"/>
  <c r="E84" i="34"/>
  <c r="F84" i="34" s="1"/>
  <c r="G84" i="34" s="1"/>
  <c r="J21" i="34"/>
  <c r="H21" i="34"/>
  <c r="F21" i="33"/>
  <c r="H21" i="33"/>
  <c r="J21" i="33"/>
  <c r="H21" i="21"/>
  <c r="J21" i="21"/>
  <c r="F105" i="39"/>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K86" i="46"/>
  <c r="D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I59" i="40" s="1"/>
  <c r="C59" i="40" s="1"/>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T16" i="4"/>
  <c r="D14" i="4"/>
  <c r="M4" i="9"/>
  <c r="L4" i="9"/>
  <c r="G36" i="4"/>
  <c r="K2" i="54"/>
  <c r="B23" i="63" s="1"/>
  <c r="A3" i="51"/>
  <c r="R41" i="4"/>
  <c r="Q41" i="4"/>
  <c r="P41" i="4"/>
  <c r="O41" i="4"/>
  <c r="N41" i="4"/>
  <c r="M41" i="4"/>
  <c r="L41" i="4"/>
  <c r="K40" i="4"/>
  <c r="T40" i="4" s="1"/>
  <c r="F23" i="4"/>
  <c r="D19" i="4"/>
  <c r="I19" i="4"/>
  <c r="F6" i="1" s="1"/>
  <c r="AP6" i="1" s="1"/>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s="1"/>
  <c r="F11" i="40"/>
  <c r="AA11" i="40"/>
  <c r="C21" i="40"/>
  <c r="C32" i="40"/>
  <c r="F36" i="40"/>
  <c r="AA36" i="40" s="1"/>
  <c r="H10" i="40"/>
  <c r="AB10" i="40" s="1"/>
  <c r="H11" i="40"/>
  <c r="AB11" i="40" s="1"/>
  <c r="H36" i="40"/>
  <c r="AB36" i="40" s="1"/>
  <c r="J10" i="40"/>
  <c r="AC10" i="40"/>
  <c r="J11" i="40"/>
  <c r="AC11" i="40" s="1"/>
  <c r="J36" i="40"/>
  <c r="AC36" i="40" s="1"/>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L482" i="3" s="1"/>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L484" i="3" s="1"/>
  <c r="BN484" i="3"/>
  <c r="BO484" i="3"/>
  <c r="BP484" i="3"/>
  <c r="BR484" i="3"/>
  <c r="BS484" i="3"/>
  <c r="BT484" i="3"/>
  <c r="H485" i="3"/>
  <c r="AC485" i="3"/>
  <c r="BB485" i="3"/>
  <c r="BC485" i="3"/>
  <c r="BD485" i="3"/>
  <c r="BE485" i="3"/>
  <c r="BE5" i="3" s="1"/>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L492" i="3" s="1"/>
  <c r="BN492" i="3"/>
  <c r="BO492" i="3"/>
  <c r="BP492" i="3"/>
  <c r="BR492" i="3"/>
  <c r="BS492" i="3"/>
  <c r="BT492" i="3"/>
  <c r="H493" i="3"/>
  <c r="AC493" i="3"/>
  <c r="G493" i="3" s="1"/>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AZ520" i="3" s="1"/>
  <c r="BD520" i="3"/>
  <c r="BE520" i="3"/>
  <c r="BF520" i="3"/>
  <c r="BG520" i="3"/>
  <c r="BH520" i="3"/>
  <c r="BI520" i="3"/>
  <c r="BJ520" i="3"/>
  <c r="BK520" i="3"/>
  <c r="BM520" i="3"/>
  <c r="BN520" i="3"/>
  <c r="BO520" i="3"/>
  <c r="BP520" i="3"/>
  <c r="BR520" i="3"/>
  <c r="BS520" i="3"/>
  <c r="BT520" i="3"/>
  <c r="H521" i="3"/>
  <c r="AC521" i="3"/>
  <c r="BB521" i="3"/>
  <c r="BA521" i="3" s="1"/>
  <c r="AZ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s="1"/>
  <c r="AZ524" i="3" s="1"/>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AZ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L534" i="3" s="1"/>
  <c r="AZ534" i="3" s="1"/>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A543" i="3" s="1"/>
  <c r="AZ543" i="3" s="1"/>
  <c r="BD543" i="3"/>
  <c r="BE543" i="3"/>
  <c r="BF543" i="3"/>
  <c r="BG543" i="3"/>
  <c r="BH543" i="3"/>
  <c r="BI543" i="3"/>
  <c r="BJ543" i="3"/>
  <c r="BK543" i="3"/>
  <c r="BM543" i="3"/>
  <c r="BN543" i="3"/>
  <c r="BO543" i="3"/>
  <c r="BP543" i="3"/>
  <c r="BQ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AZ546" i="3" s="1"/>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A569" i="3" s="1"/>
  <c r="AZ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B120" i="40"/>
  <c r="F41" i="40" s="1"/>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D86" i="40"/>
  <c r="E86" i="40" s="1"/>
  <c r="B83" i="40"/>
  <c r="F16" i="40" s="1"/>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E103" i="39" s="1"/>
  <c r="F103" i="39" s="1"/>
  <c r="G103" i="39" s="1"/>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B108" i="37"/>
  <c r="C23" i="37"/>
  <c r="C19" i="37"/>
  <c r="C17" i="37"/>
  <c r="C15" i="37"/>
  <c r="B112" i="37"/>
  <c r="D107" i="37"/>
  <c r="E107" i="37" s="1"/>
  <c r="D105" i="37"/>
  <c r="E105" i="37" s="1"/>
  <c r="F105" i="37" s="1"/>
  <c r="G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J11" i="36" s="1"/>
  <c r="AC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W24" i="35" s="1"/>
  <c r="B73" i="35"/>
  <c r="B57" i="35"/>
  <c r="B61" i="35"/>
  <c r="B59" i="35"/>
  <c r="H12" i="35" s="1"/>
  <c r="B131" i="34"/>
  <c r="B129" i="34"/>
  <c r="B127" i="34"/>
  <c r="B99" i="34"/>
  <c r="B97" i="34"/>
  <c r="B95" i="34"/>
  <c r="B93" i="34"/>
  <c r="B75" i="34"/>
  <c r="B73" i="34"/>
  <c r="B71" i="34"/>
  <c r="B130" i="33"/>
  <c r="B128" i="33"/>
  <c r="H45" i="33"/>
  <c r="U45" i="33" s="1"/>
  <c r="B126" i="33"/>
  <c r="B98" i="33"/>
  <c r="F31" i="33"/>
  <c r="B96" i="33"/>
  <c r="F30" i="33" s="1"/>
  <c r="B94" i="33"/>
  <c r="B74" i="33"/>
  <c r="H14" i="33" s="1"/>
  <c r="U14" i="33" s="1"/>
  <c r="B72" i="33"/>
  <c r="B70" i="33"/>
  <c r="H12" i="33" s="1"/>
  <c r="U12" i="33" s="1"/>
  <c r="D96" i="35"/>
  <c r="E96" i="35"/>
  <c r="F96" i="35" s="1"/>
  <c r="G96" i="35" s="1"/>
  <c r="D94" i="35"/>
  <c r="D84" i="35"/>
  <c r="E84" i="35" s="1"/>
  <c r="F84" i="35"/>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W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E121" i="33" s="1"/>
  <c r="F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s="1"/>
  <c r="D12" i="11" s="1"/>
  <c r="C12" i="11"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H10" i="21"/>
  <c r="U10" i="21" s="1"/>
  <c r="H39" i="21"/>
  <c r="AB39" i="21" s="1"/>
  <c r="J34" i="21"/>
  <c r="W34" i="21" s="1"/>
  <c r="H36" i="21"/>
  <c r="U36" i="21" s="1"/>
  <c r="F35" i="21"/>
  <c r="AA35" i="21" s="1"/>
  <c r="J33" i="21"/>
  <c r="W33" i="21" s="1"/>
  <c r="H33" i="21"/>
  <c r="U33" i="21" s="1"/>
  <c r="F33" i="21"/>
  <c r="S33" i="21" s="1"/>
  <c r="J10" i="21"/>
  <c r="AC10" i="21"/>
  <c r="H26" i="21"/>
  <c r="F19" i="21"/>
  <c r="AA19" i="21" s="1"/>
  <c r="H19" i="21"/>
  <c r="AB19" i="21" s="1"/>
  <c r="J19" i="21"/>
  <c r="W19" i="21" s="1"/>
  <c r="J12" i="21"/>
  <c r="H12" i="21"/>
  <c r="U12" i="21"/>
  <c r="J26" i="21"/>
  <c r="W26" i="21"/>
  <c r="F26" i="21"/>
  <c r="AA26" i="21"/>
  <c r="S41" i="21"/>
  <c r="AA41" i="21"/>
  <c r="W41" i="21"/>
  <c r="S10" i="39"/>
  <c r="U30" i="37"/>
  <c r="E103" i="37"/>
  <c r="F103" i="37"/>
  <c r="G103" i="37" s="1"/>
  <c r="H103" i="37" s="1"/>
  <c r="I103" i="37" s="1"/>
  <c r="J103" i="37" s="1"/>
  <c r="K103" i="37" s="1"/>
  <c r="L103" i="37" s="1"/>
  <c r="M103" i="37" s="1"/>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U9" i="33"/>
  <c r="S33" i="33"/>
  <c r="U38" i="33"/>
  <c r="S8" i="21"/>
  <c r="W8" i="21"/>
  <c r="H39" i="37"/>
  <c r="AB39" i="37"/>
  <c r="AB27" i="35"/>
  <c r="W10" i="40"/>
  <c r="S11" i="40"/>
  <c r="U11" i="40"/>
  <c r="S36" i="40"/>
  <c r="U36" i="40"/>
  <c r="S40" i="39"/>
  <c r="S36" i="39"/>
  <c r="F11" i="21"/>
  <c r="S11" i="21" s="1"/>
  <c r="AC40" i="21"/>
  <c r="AA38" i="21"/>
  <c r="AB36" i="21"/>
  <c r="AC35" i="21"/>
  <c r="C29" i="39"/>
  <c r="U36" i="39"/>
  <c r="S42" i="39"/>
  <c r="H32" i="33"/>
  <c r="AB32" i="33" s="1"/>
  <c r="H11" i="21"/>
  <c r="U11" i="21" s="1"/>
  <c r="J11" i="21"/>
  <c r="W11" i="21" s="1"/>
  <c r="J27" i="36"/>
  <c r="W27" i="36" s="1"/>
  <c r="J34" i="36"/>
  <c r="W34" i="36" s="1"/>
  <c r="J30" i="35"/>
  <c r="W30" i="35" s="1"/>
  <c r="F22" i="35"/>
  <c r="H10" i="35"/>
  <c r="U10" i="35" s="1"/>
  <c r="U29"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S35" i="37" s="1"/>
  <c r="F101" i="37"/>
  <c r="G101" i="37" s="1"/>
  <c r="H101" i="37"/>
  <c r="I101" i="37" s="1"/>
  <c r="J101" i="37" s="1"/>
  <c r="K101" i="37" s="1"/>
  <c r="L101" i="37" s="1"/>
  <c r="M101" i="37" s="1"/>
  <c r="J34" i="37"/>
  <c r="W34" i="37" s="1"/>
  <c r="AA39" i="37"/>
  <c r="H43" i="34"/>
  <c r="U42" i="34"/>
  <c r="H36" i="34"/>
  <c r="U36" i="34" s="1"/>
  <c r="F37" i="34"/>
  <c r="AA37" i="34" s="1"/>
  <c r="F33" i="34"/>
  <c r="S33" i="34" s="1"/>
  <c r="AA28" i="34"/>
  <c r="F19" i="34"/>
  <c r="AA19" i="34"/>
  <c r="J10" i="34"/>
  <c r="AC10" i="34"/>
  <c r="U9" i="34"/>
  <c r="W8" i="34"/>
  <c r="J28" i="34"/>
  <c r="W28" i="34"/>
  <c r="E113" i="33"/>
  <c r="F36" i="33"/>
  <c r="S36" i="33"/>
  <c r="F19" i="33"/>
  <c r="S19" i="33"/>
  <c r="J19" i="33"/>
  <c r="S10" i="21"/>
  <c r="F125" i="21"/>
  <c r="G125" i="21" s="1"/>
  <c r="AB30" i="36"/>
  <c r="AC34" i="36"/>
  <c r="H29" i="35"/>
  <c r="U29" i="35" s="1"/>
  <c r="S34" i="37"/>
  <c r="AA34" i="37"/>
  <c r="AC43" i="34"/>
  <c r="AB40" i="34"/>
  <c r="J19" i="34"/>
  <c r="AC19" i="34" s="1"/>
  <c r="F113" i="33"/>
  <c r="G113" i="33" s="1"/>
  <c r="H113" i="33" s="1"/>
  <c r="I113" i="33" s="1"/>
  <c r="J113" i="33" s="1"/>
  <c r="K113" i="33" s="1"/>
  <c r="L113" i="33" s="1"/>
  <c r="M113" i="33" s="1"/>
  <c r="H37" i="33"/>
  <c r="AB37" i="33" s="1"/>
  <c r="S37" i="33"/>
  <c r="W43" i="34"/>
  <c r="AC42" i="34"/>
  <c r="W42" i="34"/>
  <c r="AC38" i="34"/>
  <c r="W38" i="34"/>
  <c r="AA38" i="34"/>
  <c r="S38" i="34"/>
  <c r="J37" i="33"/>
  <c r="W37" i="33" s="1"/>
  <c r="J42" i="21"/>
  <c r="J44" i="34"/>
  <c r="AC44" i="34" s="1"/>
  <c r="F44" i="34"/>
  <c r="S44" i="34" s="1"/>
  <c r="J10" i="35"/>
  <c r="W10" i="35" s="1"/>
  <c r="AL5" i="3"/>
  <c r="BQ13" i="3"/>
  <c r="BL572" i="3"/>
  <c r="J14" i="21"/>
  <c r="W14" i="21" s="1"/>
  <c r="F14" i="21"/>
  <c r="AA14" i="21"/>
  <c r="H14" i="21"/>
  <c r="U14" i="21"/>
  <c r="H28" i="21"/>
  <c r="AB28" i="21"/>
  <c r="F28" i="21"/>
  <c r="J28" i="21"/>
  <c r="AC28" i="21" s="1"/>
  <c r="H30" i="2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F13" i="33"/>
  <c r="S13" i="33"/>
  <c r="J29" i="33"/>
  <c r="W29" i="33"/>
  <c r="J31" i="33"/>
  <c r="AC31" i="33"/>
  <c r="H31" i="33"/>
  <c r="U31" i="33"/>
  <c r="J45" i="33"/>
  <c r="W45" i="33" s="1"/>
  <c r="F45" i="33"/>
  <c r="S45" i="33" s="1"/>
  <c r="F11" i="35"/>
  <c r="S11" i="35" s="1"/>
  <c r="H28" i="36"/>
  <c r="U28" i="36" s="1"/>
  <c r="H32" i="36"/>
  <c r="AB32" i="36" s="1"/>
  <c r="W11" i="36"/>
  <c r="H13" i="36"/>
  <c r="AB13" i="36"/>
  <c r="J13" i="36"/>
  <c r="W13" i="36"/>
  <c r="F13" i="36"/>
  <c r="S13" i="36"/>
  <c r="F89" i="37"/>
  <c r="G89" i="37" s="1"/>
  <c r="H89" i="37"/>
  <c r="I89" i="37" s="1"/>
  <c r="J89" i="37" s="1"/>
  <c r="K89" i="37" s="1"/>
  <c r="L89" i="37" s="1"/>
  <c r="M89" i="37" s="1"/>
  <c r="J29" i="37"/>
  <c r="W29" i="37" s="1"/>
  <c r="F29" i="37"/>
  <c r="AA29" i="37" s="1"/>
  <c r="F107" i="37"/>
  <c r="J37" i="37"/>
  <c r="AC37" i="37"/>
  <c r="H37" i="37"/>
  <c r="U37" i="37"/>
  <c r="H40" i="37"/>
  <c r="U40" i="37"/>
  <c r="J40" i="37"/>
  <c r="F40" i="37"/>
  <c r="AA40" i="37" s="1"/>
  <c r="F14" i="33"/>
  <c r="AA14" i="33" s="1"/>
  <c r="H30" i="33"/>
  <c r="J30" i="33"/>
  <c r="W30" i="33" s="1"/>
  <c r="F13" i="35"/>
  <c r="S13" i="35"/>
  <c r="J13" i="35"/>
  <c r="AC13" i="35"/>
  <c r="H13" i="35"/>
  <c r="U13" i="35"/>
  <c r="J25" i="35"/>
  <c r="AC25" i="35"/>
  <c r="F25" i="35"/>
  <c r="AA25" i="35"/>
  <c r="H25" i="35"/>
  <c r="AB25" i="35"/>
  <c r="J35" i="35"/>
  <c r="AC35" i="35"/>
  <c r="F35" i="35"/>
  <c r="S35" i="35"/>
  <c r="H35" i="35"/>
  <c r="U35" i="35"/>
  <c r="F28" i="37"/>
  <c r="AA28" i="37"/>
  <c r="J28" i="37"/>
  <c r="AC28" i="37"/>
  <c r="H28" i="37"/>
  <c r="U28" i="37"/>
  <c r="F14" i="37"/>
  <c r="AA14" i="37"/>
  <c r="J14" i="37"/>
  <c r="W14" i="37"/>
  <c r="W35" i="35"/>
  <c r="AB13" i="35"/>
  <c r="AB40" i="37"/>
  <c r="J36" i="37"/>
  <c r="AC36" i="37"/>
  <c r="AB28" i="36"/>
  <c r="S46" i="21"/>
  <c r="U46" i="21"/>
  <c r="W30" i="21"/>
  <c r="S28" i="21"/>
  <c r="AA28" i="21"/>
  <c r="AB14" i="21"/>
  <c r="U36" i="37"/>
  <c r="AC13" i="36"/>
  <c r="AB45" i="33"/>
  <c r="AB31" i="33"/>
  <c r="U28" i="21"/>
  <c r="AB44" i="21"/>
  <c r="S19" i="21"/>
  <c r="G521" i="3"/>
  <c r="G517" i="3"/>
  <c r="G513" i="3"/>
  <c r="G508" i="3"/>
  <c r="G499" i="3"/>
  <c r="G485" i="3"/>
  <c r="G565" i="3"/>
  <c r="G561" i="3"/>
  <c r="G557" i="3"/>
  <c r="G545" i="3"/>
  <c r="G539" i="3"/>
  <c r="BL569" i="3"/>
  <c r="BL561" i="3"/>
  <c r="BL553" i="3"/>
  <c r="BL535" i="3"/>
  <c r="BL527" i="3"/>
  <c r="BL519" i="3"/>
  <c r="BL501" i="3"/>
  <c r="BL483" i="3"/>
  <c r="BL563" i="3"/>
  <c r="BL559" i="3"/>
  <c r="AZ559" i="3"/>
  <c r="BL551" i="3"/>
  <c r="BL533" i="3"/>
  <c r="BL525" i="3"/>
  <c r="G518" i="3"/>
  <c r="G510" i="3"/>
  <c r="BL495" i="3"/>
  <c r="G18" i="3"/>
  <c r="BA565" i="3"/>
  <c r="AZ565" i="3" s="1"/>
  <c r="BA561" i="3"/>
  <c r="AZ561" i="3"/>
  <c r="BA559" i="3"/>
  <c r="BA557" i="3"/>
  <c r="AZ557" i="3" s="1"/>
  <c r="BA555" i="3"/>
  <c r="AZ555" i="3" s="1"/>
  <c r="BA551" i="3"/>
  <c r="AZ551" i="3" s="1"/>
  <c r="BA545" i="3"/>
  <c r="AZ545" i="3" s="1"/>
  <c r="BA541" i="3"/>
  <c r="AZ541" i="3" s="1"/>
  <c r="BA531" i="3"/>
  <c r="BA509" i="3"/>
  <c r="AZ509" i="3" s="1"/>
  <c r="BA505" i="3"/>
  <c r="BA501" i="3"/>
  <c r="BA487" i="3"/>
  <c r="BA19" i="3"/>
  <c r="BA572" i="3"/>
  <c r="AZ572" i="3" s="1"/>
  <c r="BA566" i="3"/>
  <c r="AZ566" i="3" s="1"/>
  <c r="BA562" i="3"/>
  <c r="BA560" i="3"/>
  <c r="BA556" i="3"/>
  <c r="AZ556" i="3" s="1"/>
  <c r="BA550" i="3"/>
  <c r="AZ550" i="3" s="1"/>
  <c r="BA546" i="3"/>
  <c r="BA540" i="3"/>
  <c r="AZ540" i="3" s="1"/>
  <c r="BA536" i="3"/>
  <c r="BA532" i="3"/>
  <c r="AZ532" i="3" s="1"/>
  <c r="BA524" i="3"/>
  <c r="BA516" i="3"/>
  <c r="BA512" i="3"/>
  <c r="AZ512" i="3" s="1"/>
  <c r="BA508" i="3"/>
  <c r="BA502" i="3"/>
  <c r="AZ502" i="3" s="1"/>
  <c r="BA498" i="3"/>
  <c r="BA488" i="3"/>
  <c r="BA484" i="3"/>
  <c r="AZ484" i="3" s="1"/>
  <c r="BA20" i="3"/>
  <c r="G566" i="3"/>
  <c r="G562" i="3"/>
  <c r="G560" i="3"/>
  <c r="G556" i="3"/>
  <c r="G550" i="3"/>
  <c r="BL543" i="3"/>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Q544" i="3"/>
  <c r="G538" i="3"/>
  <c r="G530" i="3"/>
  <c r="G526" i="3"/>
  <c r="G522" i="3"/>
  <c r="BQ540" i="3"/>
  <c r="BL540" i="3"/>
  <c r="BQ538" i="3"/>
  <c r="BL538" i="3"/>
  <c r="BQ536" i="3"/>
  <c r="BQ534" i="3"/>
  <c r="BQ532" i="3"/>
  <c r="BL532" i="3" s="1"/>
  <c r="BQ530" i="3"/>
  <c r="BL530" i="3" s="1"/>
  <c r="BQ528" i="3"/>
  <c r="BQ526" i="3"/>
  <c r="BL526" i="3" s="1"/>
  <c r="AZ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Q490" i="3"/>
  <c r="BQ488" i="3"/>
  <c r="BL488" i="3"/>
  <c r="AZ488" i="3" s="1"/>
  <c r="BQ486" i="3"/>
  <c r="BQ484" i="3"/>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AC43" i="33"/>
  <c r="J23" i="37"/>
  <c r="W23" i="37" s="1"/>
  <c r="F17" i="37"/>
  <c r="AA17" i="37" s="1"/>
  <c r="AB43" i="33"/>
  <c r="D3" i="21"/>
  <c r="AC33" i="36"/>
  <c r="W23" i="35"/>
  <c r="U39" i="37"/>
  <c r="AC8" i="37"/>
  <c r="AC36" i="34"/>
  <c r="AB8" i="34"/>
  <c r="AC37" i="33"/>
  <c r="AA13" i="33"/>
  <c r="AC45" i="33"/>
  <c r="U19" i="21"/>
  <c r="AC33" i="21"/>
  <c r="AA36" i="21"/>
  <c r="S39" i="33"/>
  <c r="F43" i="33"/>
  <c r="AA43" i="33"/>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s="1"/>
  <c r="W36" i="40"/>
  <c r="U40" i="39"/>
  <c r="J21" i="40"/>
  <c r="AC21" i="40" s="1"/>
  <c r="S27" i="31"/>
  <c r="AZ560" i="3"/>
  <c r="G515" i="3"/>
  <c r="G507" i="3"/>
  <c r="G501" i="3"/>
  <c r="BA15" i="3"/>
  <c r="BL17" i="3"/>
  <c r="BL15" i="3"/>
  <c r="BA14" i="3"/>
  <c r="AZ14" i="3" s="1"/>
  <c r="J57" i="39"/>
  <c r="H13" i="40"/>
  <c r="U13" i="40" s="1"/>
  <c r="I4" i="4"/>
  <c r="K141" i="21"/>
  <c r="K143" i="21"/>
  <c r="K144" i="2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A43" i="21"/>
  <c r="R16" i="4"/>
  <c r="P16" i="4"/>
  <c r="D3" i="35"/>
  <c r="G4" i="4"/>
  <c r="S37" i="34"/>
  <c r="J16" i="35"/>
  <c r="W16" i="35"/>
  <c r="U42" i="21"/>
  <c r="AC26" i="36"/>
  <c r="W25" i="35"/>
  <c r="AZ300" i="3"/>
  <c r="AZ322" i="3"/>
  <c r="H13" i="39"/>
  <c r="AB13" i="39"/>
  <c r="F13" i="39"/>
  <c r="J13" i="39"/>
  <c r="AC13" i="39" s="1"/>
  <c r="AA36" i="35"/>
  <c r="H11" i="37"/>
  <c r="AB11" i="37"/>
  <c r="W37" i="37"/>
  <c r="AA36" i="37"/>
  <c r="S42" i="33"/>
  <c r="U32" i="33"/>
  <c r="AB17" i="37"/>
  <c r="AZ508" i="3"/>
  <c r="AC29" i="33"/>
  <c r="AA45" i="33"/>
  <c r="AC10" i="36"/>
  <c r="AC14" i="37"/>
  <c r="AB35" i="35"/>
  <c r="S25" i="35"/>
  <c r="AC30" i="33"/>
  <c r="AC29" i="37"/>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12" i="21"/>
  <c r="H32" i="21"/>
  <c r="U32" i="21" s="1"/>
  <c r="AB26" i="21"/>
  <c r="U26" i="21"/>
  <c r="AA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AA43" i="39" s="1"/>
  <c r="H43" i="39"/>
  <c r="U43" i="39"/>
  <c r="J43" i="39"/>
  <c r="F99" i="37"/>
  <c r="U25" i="35"/>
  <c r="AC40" i="37"/>
  <c r="W40" i="37"/>
  <c r="S28" i="33"/>
  <c r="S14" i="21"/>
  <c r="AA44" i="34"/>
  <c r="AB29" i="35"/>
  <c r="AC19" i="33"/>
  <c r="W19" i="33"/>
  <c r="U43" i="34"/>
  <c r="AB43" i="34"/>
  <c r="AC34" i="37"/>
  <c r="AA35" i="37"/>
  <c r="AA32" i="21"/>
  <c r="S32" i="21"/>
  <c r="U38" i="21"/>
  <c r="AB34" i="21"/>
  <c r="BL571" i="3"/>
  <c r="BA571" i="3"/>
  <c r="AZ571" i="3"/>
  <c r="BL570" i="3"/>
  <c r="F42" i="21"/>
  <c r="AA42" i="21" s="1"/>
  <c r="AB40" i="33"/>
  <c r="AA35" i="34"/>
  <c r="S35" i="34"/>
  <c r="E90" i="34"/>
  <c r="F90" i="34" s="1"/>
  <c r="AB8" i="35"/>
  <c r="U8" i="35"/>
  <c r="J14" i="35"/>
  <c r="AC14" i="35" s="1"/>
  <c r="F14" i="35"/>
  <c r="S14" i="35" s="1"/>
  <c r="H14" i="35"/>
  <c r="U14"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AB29" i="37"/>
  <c r="AA30" i="37"/>
  <c r="S30" i="37"/>
  <c r="AC30" i="37"/>
  <c r="AC31" i="37"/>
  <c r="W31" i="37"/>
  <c r="AB14" i="37"/>
  <c r="F17" i="39"/>
  <c r="AA17" i="39"/>
  <c r="H17" i="39"/>
  <c r="U17" i="39"/>
  <c r="J17" i="39"/>
  <c r="W17" i="39"/>
  <c r="F21" i="39"/>
  <c r="S21" i="39"/>
  <c r="H21" i="39"/>
  <c r="J21" i="39"/>
  <c r="W21" i="39" s="1"/>
  <c r="F33" i="39"/>
  <c r="S33" i="39" s="1"/>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L554" i="3"/>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A530" i="3"/>
  <c r="AZ530" i="3" s="1"/>
  <c r="BL529" i="3"/>
  <c r="BA529" i="3"/>
  <c r="BL528" i="3"/>
  <c r="BA527" i="3"/>
  <c r="AZ527" i="3"/>
  <c r="BA526" i="3"/>
  <c r="BA525" i="3"/>
  <c r="AZ525" i="3"/>
  <c r="BL523" i="3"/>
  <c r="BA523" i="3"/>
  <c r="AZ523" i="3" s="1"/>
  <c r="BL522" i="3"/>
  <c r="BA522" i="3"/>
  <c r="AZ522" i="3"/>
  <c r="BL521" i="3"/>
  <c r="BA519" i="3"/>
  <c r="AZ519" i="3"/>
  <c r="BL518" i="3"/>
  <c r="BA518" i="3"/>
  <c r="AZ518" i="3" s="1"/>
  <c r="BL517" i="3"/>
  <c r="BA517" i="3"/>
  <c r="AZ517" i="3"/>
  <c r="BL515" i="3"/>
  <c r="BA515" i="3"/>
  <c r="AZ515" i="3" s="1"/>
  <c r="BA514" i="3"/>
  <c r="BL513" i="3"/>
  <c r="BA513" i="3"/>
  <c r="AZ513" i="3" s="1"/>
  <c r="BL512" i="3"/>
  <c r="BA511" i="3"/>
  <c r="AZ511" i="3" s="1"/>
  <c r="BA510" i="3"/>
  <c r="AZ510" i="3" s="1"/>
  <c r="BL509" i="3"/>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J30" i="40"/>
  <c r="AC30" i="40" s="1"/>
  <c r="F38" i="40"/>
  <c r="AA36" i="34"/>
  <c r="AC12" i="21"/>
  <c r="W12" i="21"/>
  <c r="AB33" i="21"/>
  <c r="S35" i="21"/>
  <c r="AB10" i="21"/>
  <c r="U8" i="21"/>
  <c r="AB8" i="21"/>
  <c r="S34" i="21"/>
  <c r="AB8" i="33"/>
  <c r="E106" i="33"/>
  <c r="F106" i="33" s="1"/>
  <c r="H34" i="33"/>
  <c r="U34" i="33"/>
  <c r="F34" i="33"/>
  <c r="S34" i="33"/>
  <c r="F41" i="33"/>
  <c r="AC34" i="34"/>
  <c r="W34" i="34"/>
  <c r="AA39" i="34"/>
  <c r="S43" i="34"/>
  <c r="E78" i="34"/>
  <c r="F15" i="34"/>
  <c r="S15" i="34" s="1"/>
  <c r="AC28" i="35"/>
  <c r="W28" i="35"/>
  <c r="J20" i="35"/>
  <c r="AC20" i="35"/>
  <c r="E72" i="35"/>
  <c r="F72" i="35"/>
  <c r="G72" i="35" s="1"/>
  <c r="H22" i="35"/>
  <c r="H23" i="35"/>
  <c r="U23" i="35" s="1"/>
  <c r="F23" i="35"/>
  <c r="AA23" i="35"/>
  <c r="U36" i="35"/>
  <c r="W12" i="36"/>
  <c r="AC12" i="36"/>
  <c r="U31" i="36"/>
  <c r="S8" i="37"/>
  <c r="AA8" i="37"/>
  <c r="F14" i="39"/>
  <c r="H14" i="39"/>
  <c r="AB14" i="39" s="1"/>
  <c r="J14" i="39"/>
  <c r="AC14" i="39" s="1"/>
  <c r="F16" i="39"/>
  <c r="AA16" i="39" s="1"/>
  <c r="H16" i="39"/>
  <c r="J16" i="39"/>
  <c r="AC16" i="39" s="1"/>
  <c r="F23" i="39"/>
  <c r="AA23" i="39" s="1"/>
  <c r="E97" i="39"/>
  <c r="F27" i="39"/>
  <c r="AA27" i="39"/>
  <c r="H27" i="39"/>
  <c r="AB27" i="39"/>
  <c r="J27" i="39"/>
  <c r="AC27" i="39"/>
  <c r="H15" i="40"/>
  <c r="E92" i="40"/>
  <c r="F92" i="40" s="1"/>
  <c r="H23" i="40"/>
  <c r="U23" i="40" s="1"/>
  <c r="H41" i="40"/>
  <c r="J41" i="40"/>
  <c r="AC41" i="40" s="1"/>
  <c r="H36" i="33"/>
  <c r="AB36" i="33"/>
  <c r="H37" i="34"/>
  <c r="F15" i="39"/>
  <c r="AA15" i="39" s="1"/>
  <c r="H15" i="39"/>
  <c r="U15" i="39" s="1"/>
  <c r="J15" i="39"/>
  <c r="AC15" i="39" s="1"/>
  <c r="H25" i="39"/>
  <c r="U25" i="39" s="1"/>
  <c r="J25" i="39"/>
  <c r="AC25" i="39" s="1"/>
  <c r="F25" i="39"/>
  <c r="F45" i="39"/>
  <c r="AA45" i="39" s="1"/>
  <c r="H45" i="39"/>
  <c r="U45" i="39" s="1"/>
  <c r="J45" i="39"/>
  <c r="AC45" i="39" s="1"/>
  <c r="F47" i="39"/>
  <c r="H47" i="39"/>
  <c r="J47" i="39"/>
  <c r="W47" i="39" s="1"/>
  <c r="F41" i="39"/>
  <c r="AA41" i="39" s="1"/>
  <c r="H41" i="39"/>
  <c r="AB41" i="39" s="1"/>
  <c r="J41" i="39"/>
  <c r="AC41" i="39" s="1"/>
  <c r="E94" i="40"/>
  <c r="F94" i="40" s="1"/>
  <c r="J25" i="40"/>
  <c r="AC25" i="40" s="1"/>
  <c r="H33" i="40"/>
  <c r="AB33" i="40" s="1"/>
  <c r="F33" i="40"/>
  <c r="AA33" i="40" s="1"/>
  <c r="J33" i="40"/>
  <c r="AC33" i="40" s="1"/>
  <c r="H35" i="40"/>
  <c r="AB35" i="40" s="1"/>
  <c r="F35" i="40"/>
  <c r="AA35" i="40" s="1"/>
  <c r="J35" i="40"/>
  <c r="AC35" i="40" s="1"/>
  <c r="J38" i="39"/>
  <c r="W38" i="39"/>
  <c r="H38" i="39"/>
  <c r="U38" i="39"/>
  <c r="J14" i="40"/>
  <c r="W14" i="40"/>
  <c r="H40" i="40"/>
  <c r="H34" i="40"/>
  <c r="U34" i="40" s="1"/>
  <c r="AZ391" i="3"/>
  <c r="AZ399" i="3"/>
  <c r="AZ403" i="3"/>
  <c r="AZ407" i="3"/>
  <c r="AZ415" i="3"/>
  <c r="AZ423" i="3"/>
  <c r="AZ431" i="3"/>
  <c r="AZ439" i="3"/>
  <c r="AZ454" i="3"/>
  <c r="J40" i="40"/>
  <c r="AC40" i="40" s="1"/>
  <c r="J34" i="40"/>
  <c r="AC34" i="40" s="1"/>
  <c r="H14" i="40"/>
  <c r="U14"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AZ164" i="3"/>
  <c r="AZ167" i="3"/>
  <c r="AZ177" i="3"/>
  <c r="AZ180" i="3"/>
  <c r="AZ24" i="3"/>
  <c r="AZ32" i="3"/>
  <c r="AZ40" i="3"/>
  <c r="AZ48" i="3"/>
  <c r="AZ56" i="3"/>
  <c r="AZ63" i="3"/>
  <c r="AZ71" i="3"/>
  <c r="AZ79" i="3"/>
  <c r="AZ91" i="3"/>
  <c r="AZ99" i="3"/>
  <c r="AZ107" i="3"/>
  <c r="AZ112" i="3"/>
  <c r="J13" i="40"/>
  <c r="AB14" i="40"/>
  <c r="W40" i="40"/>
  <c r="AC14" i="40"/>
  <c r="S33" i="40"/>
  <c r="AB25" i="39"/>
  <c r="U37" i="34"/>
  <c r="AB37" i="34"/>
  <c r="W41" i="40"/>
  <c r="J23" i="40"/>
  <c r="AC23" i="40" s="1"/>
  <c r="G92" i="40"/>
  <c r="F23" i="40"/>
  <c r="S23" i="40" s="1"/>
  <c r="W27" i="39"/>
  <c r="S23" i="39"/>
  <c r="W14" i="39"/>
  <c r="AB23" i="35"/>
  <c r="H20" i="35"/>
  <c r="F20" i="35"/>
  <c r="S20" i="35" s="1"/>
  <c r="H15" i="34"/>
  <c r="F78" i="34"/>
  <c r="G78" i="34" s="1"/>
  <c r="J15" i="34"/>
  <c r="AC15" i="34" s="1"/>
  <c r="H41" i="33"/>
  <c r="U41" i="33"/>
  <c r="G121" i="33"/>
  <c r="H121" i="33" s="1"/>
  <c r="I121" i="33"/>
  <c r="J121" i="33" s="1"/>
  <c r="K121" i="33" s="1"/>
  <c r="L121" i="33" s="1"/>
  <c r="M121" i="33" s="1"/>
  <c r="F30" i="40"/>
  <c r="AA30" i="40" s="1"/>
  <c r="AB38" i="34"/>
  <c r="AZ486" i="3"/>
  <c r="AZ504" i="3"/>
  <c r="AZ529" i="3"/>
  <c r="AZ537" i="3"/>
  <c r="AZ548" i="3"/>
  <c r="AB37" i="39"/>
  <c r="U39" i="39"/>
  <c r="J29" i="39"/>
  <c r="AC29" i="39"/>
  <c r="AB21" i="39"/>
  <c r="U21" i="39"/>
  <c r="AB17" i="39"/>
  <c r="AB33" i="36"/>
  <c r="AA14" i="35"/>
  <c r="G99" i="37"/>
  <c r="H99" i="37" s="1"/>
  <c r="F33" i="37"/>
  <c r="AB19" i="39"/>
  <c r="U19" i="39"/>
  <c r="U46" i="34"/>
  <c r="AC30" i="34"/>
  <c r="AA14" i="34"/>
  <c r="W12" i="34"/>
  <c r="U29" i="33"/>
  <c r="AC13" i="33"/>
  <c r="U17" i="34"/>
  <c r="W32" i="33"/>
  <c r="H15" i="33"/>
  <c r="U15" i="33"/>
  <c r="AA11" i="33"/>
  <c r="AA40" i="21"/>
  <c r="S13" i="39"/>
  <c r="AA13" i="39"/>
  <c r="W34" i="40"/>
  <c r="H25" i="40"/>
  <c r="AB25" i="40" s="1"/>
  <c r="G94" i="40"/>
  <c r="W15" i="39"/>
  <c r="J37" i="34"/>
  <c r="AC37" i="34"/>
  <c r="J36" i="33"/>
  <c r="W36" i="33"/>
  <c r="U27" i="39"/>
  <c r="H23" i="39"/>
  <c r="J23" i="39"/>
  <c r="AC23" i="39" s="1"/>
  <c r="F97" i="39"/>
  <c r="G97" i="39" s="1"/>
  <c r="S16" i="39"/>
  <c r="AA15" i="34"/>
  <c r="AA34" i="33"/>
  <c r="G106" i="33"/>
  <c r="H106" i="33" s="1"/>
  <c r="I106" i="33" s="1"/>
  <c r="J106" i="33" s="1"/>
  <c r="K106" i="33" s="1"/>
  <c r="L106" i="33" s="1"/>
  <c r="M106" i="33" s="1"/>
  <c r="J34" i="33"/>
  <c r="AC34" i="33"/>
  <c r="U30" i="40"/>
  <c r="AA37" i="39"/>
  <c r="AC39" i="39"/>
  <c r="W39" i="39"/>
  <c r="AA39" i="39"/>
  <c r="U34" i="39"/>
  <c r="AB46" i="39"/>
  <c r="AC33" i="39"/>
  <c r="W33" i="39"/>
  <c r="AA33" i="39"/>
  <c r="S17" i="39"/>
  <c r="F80" i="35"/>
  <c r="G80" i="35" s="1"/>
  <c r="H80" i="35"/>
  <c r="I80" i="35" s="1"/>
  <c r="J80" i="35" s="1"/>
  <c r="K80" i="35" s="1"/>
  <c r="L80" i="35" s="1"/>
  <c r="M80" i="35" s="1"/>
  <c r="W14" i="35"/>
  <c r="G90" i="34"/>
  <c r="H90" i="34" s="1"/>
  <c r="I90" i="34" s="1"/>
  <c r="J90" i="34" s="1"/>
  <c r="K90" i="34" s="1"/>
  <c r="L90" i="34" s="1"/>
  <c r="M90" i="34" s="1"/>
  <c r="F27" i="34"/>
  <c r="S27" i="34"/>
  <c r="AC43" i="39"/>
  <c r="W43" i="39"/>
  <c r="S43" i="39"/>
  <c r="AA19" i="39"/>
  <c r="G96" i="37"/>
  <c r="H96" i="37" s="1"/>
  <c r="I96" i="37" s="1"/>
  <c r="J96" i="37" s="1"/>
  <c r="K96" i="37" s="1"/>
  <c r="L96" i="37" s="1"/>
  <c r="M96" i="37" s="1"/>
  <c r="F32" i="37"/>
  <c r="S32" i="37"/>
  <c r="U11" i="35"/>
  <c r="AB11" i="35"/>
  <c r="S46" i="34"/>
  <c r="U32" i="34"/>
  <c r="U14" i="34"/>
  <c r="AC14" i="34"/>
  <c r="U12" i="34"/>
  <c r="AB13" i="33"/>
  <c r="F17" i="34"/>
  <c r="AA17" i="34" s="1"/>
  <c r="J17" i="34"/>
  <c r="H11" i="34"/>
  <c r="J35" i="33"/>
  <c r="S32" i="33"/>
  <c r="AC15" i="33"/>
  <c r="H11" i="33"/>
  <c r="U11" i="33" s="1"/>
  <c r="H10" i="33"/>
  <c r="I66" i="33"/>
  <c r="J10" i="33"/>
  <c r="AC10" i="33"/>
  <c r="U11" i="37"/>
  <c r="U13" i="39"/>
  <c r="AC16" i="35"/>
  <c r="J11" i="34"/>
  <c r="W11" i="34" s="1"/>
  <c r="AC36" i="33"/>
  <c r="F25" i="40"/>
  <c r="J11" i="33"/>
  <c r="W11" i="33" s="1"/>
  <c r="H33" i="37"/>
  <c r="AB33" i="37" s="1"/>
  <c r="W15" i="34"/>
  <c r="U20" i="35"/>
  <c r="AB20" i="35"/>
  <c r="AP11" i="1"/>
  <c r="B11" i="1"/>
  <c r="E11" i="1" s="1"/>
  <c r="K11" i="1"/>
  <c r="M11" i="1" s="1"/>
  <c r="O11" i="1" s="1"/>
  <c r="P11" i="1" s="1"/>
  <c r="B9" i="1"/>
  <c r="E9" i="1"/>
  <c r="K9" i="1"/>
  <c r="M9" i="1" s="1"/>
  <c r="B7" i="1"/>
  <c r="E7" i="1" s="1"/>
  <c r="K7" i="1"/>
  <c r="M7" i="1" s="1"/>
  <c r="O7" i="1" s="1"/>
  <c r="P7" i="1" s="1"/>
  <c r="M22" i="44"/>
  <c r="S23" i="36"/>
  <c r="S8" i="36"/>
  <c r="AA26" i="36"/>
  <c r="AA28" i="36"/>
  <c r="H20" i="36"/>
  <c r="U20" i="36"/>
  <c r="F68" i="36"/>
  <c r="G68" i="36"/>
  <c r="J20" i="36"/>
  <c r="AC20" i="36"/>
  <c r="F20" i="36"/>
  <c r="S20" i="36"/>
  <c r="F62" i="36"/>
  <c r="G62" i="36"/>
  <c r="J14" i="36"/>
  <c r="H14" i="36"/>
  <c r="F14" i="36"/>
  <c r="AA14" i="36"/>
  <c r="W20" i="36"/>
  <c r="U27" i="36"/>
  <c r="AB12" i="36"/>
  <c r="U9" i="36"/>
  <c r="S33" i="36"/>
  <c r="AA27" i="36"/>
  <c r="S16" i="36"/>
  <c r="S29" i="36"/>
  <c r="AC33" i="35"/>
  <c r="AA13" i="35"/>
  <c r="S8" i="35"/>
  <c r="U33" i="35"/>
  <c r="AA20" i="35"/>
  <c r="W20" i="35"/>
  <c r="S23" i="35"/>
  <c r="AB14" i="35"/>
  <c r="U9" i="35"/>
  <c r="W13" i="35"/>
  <c r="AC18" i="35"/>
  <c r="W18" i="35"/>
  <c r="U18" i="35"/>
  <c r="AB18" i="35"/>
  <c r="S30" i="35"/>
  <c r="AA35" i="35"/>
  <c r="AB30" i="35"/>
  <c r="S27" i="35"/>
  <c r="S28" i="35"/>
  <c r="J26" i="35"/>
  <c r="F26" i="35"/>
  <c r="H26" i="35"/>
  <c r="AB9" i="37"/>
  <c r="AA9" i="37"/>
  <c r="W28" i="37"/>
  <c r="AB37" i="37"/>
  <c r="AA31" i="37"/>
  <c r="S33" i="37"/>
  <c r="AA33" i="37"/>
  <c r="U32" i="37"/>
  <c r="AA32" i="37"/>
  <c r="J33" i="37"/>
  <c r="W33" i="37"/>
  <c r="I99" i="37"/>
  <c r="J99" i="37" s="1"/>
  <c r="K99" i="37" s="1"/>
  <c r="L99" i="37" s="1"/>
  <c r="M99" i="37" s="1"/>
  <c r="J19" i="37"/>
  <c r="AC19" i="37" s="1"/>
  <c r="G75" i="37"/>
  <c r="F19" i="37"/>
  <c r="AA19" i="37"/>
  <c r="H19" i="37"/>
  <c r="J17" i="37"/>
  <c r="S15" i="37"/>
  <c r="AC10" i="37"/>
  <c r="AC21" i="37"/>
  <c r="W21" i="37"/>
  <c r="AC11" i="37"/>
  <c r="AC9" i="37"/>
  <c r="W32" i="37"/>
  <c r="U35" i="37"/>
  <c r="U8" i="37"/>
  <c r="AB21" i="37"/>
  <c r="U21" i="37"/>
  <c r="S37" i="37"/>
  <c r="S40" i="37"/>
  <c r="S10" i="37"/>
  <c r="W46" i="34"/>
  <c r="AA40" i="34"/>
  <c r="W33" i="34"/>
  <c r="U30" i="34"/>
  <c r="S32" i="34"/>
  <c r="AB33" i="34"/>
  <c r="AA12" i="34"/>
  <c r="AA30" i="34"/>
  <c r="AC32" i="34"/>
  <c r="AA33" i="34"/>
  <c r="U44" i="34"/>
  <c r="U34" i="34"/>
  <c r="U28" i="34"/>
  <c r="AA27" i="34"/>
  <c r="J25" i="34"/>
  <c r="H25" i="34"/>
  <c r="F25" i="34"/>
  <c r="J23" i="34"/>
  <c r="F86" i="34"/>
  <c r="G86" i="34"/>
  <c r="F23" i="34"/>
  <c r="H23" i="34"/>
  <c r="W10" i="34"/>
  <c r="U10" i="34"/>
  <c r="W37" i="34"/>
  <c r="W44" i="34"/>
  <c r="W19" i="34"/>
  <c r="AC21" i="34"/>
  <c r="W21" i="34"/>
  <c r="AB21" i="34"/>
  <c r="U21" i="34"/>
  <c r="AB41" i="34"/>
  <c r="AA41" i="34"/>
  <c r="S9" i="34"/>
  <c r="S10" i="34"/>
  <c r="U39" i="33"/>
  <c r="U37" i="33"/>
  <c r="S35" i="33"/>
  <c r="W34" i="33"/>
  <c r="AC12" i="33"/>
  <c r="AB11" i="33"/>
  <c r="AB41" i="33"/>
  <c r="U36" i="33"/>
  <c r="S29" i="33"/>
  <c r="W31" i="33"/>
  <c r="W43"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U25" i="33"/>
  <c r="AB21" i="33"/>
  <c r="U21" i="33"/>
  <c r="AA21" i="33"/>
  <c r="S21" i="33"/>
  <c r="AA36" i="33"/>
  <c r="S44" i="21"/>
  <c r="W39" i="21"/>
  <c r="AC34" i="21"/>
  <c r="W32" i="21"/>
  <c r="U35" i="21"/>
  <c r="W43" i="21"/>
  <c r="S42" i="21"/>
  <c r="AB32" i="21"/>
  <c r="W28" i="21"/>
  <c r="AC46" i="21"/>
  <c r="AC26" i="21"/>
  <c r="F85" i="21"/>
  <c r="G85" i="21" s="1"/>
  <c r="J23" i="21"/>
  <c r="W23" i="21" s="1"/>
  <c r="F23" i="21"/>
  <c r="H23" i="21"/>
  <c r="AA17" i="21"/>
  <c r="F15" i="21"/>
  <c r="S15" i="21" s="1"/>
  <c r="F77" i="21"/>
  <c r="G77" i="21" s="1"/>
  <c r="J15" i="21"/>
  <c r="H15" i="21"/>
  <c r="AC11" i="21"/>
  <c r="AB11" i="21"/>
  <c r="AA11" i="21"/>
  <c r="AC23" i="21"/>
  <c r="AC21" i="21"/>
  <c r="W21" i="21"/>
  <c r="W44" i="21"/>
  <c r="AC19" i="21"/>
  <c r="W10" i="21"/>
  <c r="AC38" i="21"/>
  <c r="AB21" i="21"/>
  <c r="U21" i="21"/>
  <c r="AA30" i="21"/>
  <c r="W33" i="40"/>
  <c r="U33" i="40"/>
  <c r="S35" i="40"/>
  <c r="S14" i="40"/>
  <c r="S16" i="40"/>
  <c r="U21" i="40"/>
  <c r="U35" i="40"/>
  <c r="F37" i="40"/>
  <c r="S37" i="40" s="1"/>
  <c r="J37" i="40"/>
  <c r="AC37" i="40" s="1"/>
  <c r="H37" i="40"/>
  <c r="AB37" i="40" s="1"/>
  <c r="G113" i="40"/>
  <c r="H113" i="40"/>
  <c r="I113" i="40" s="1"/>
  <c r="J113" i="40" s="1"/>
  <c r="K113" i="40" s="1"/>
  <c r="L113" i="40" s="1"/>
  <c r="M113" i="40" s="1"/>
  <c r="F39" i="40"/>
  <c r="S39" i="40" s="1"/>
  <c r="H39" i="40"/>
  <c r="AB39" i="40" s="1"/>
  <c r="J39" i="40"/>
  <c r="AC39" i="40" s="1"/>
  <c r="F29" i="40"/>
  <c r="H29" i="40"/>
  <c r="J29" i="40"/>
  <c r="AC29" i="40" s="1"/>
  <c r="F19" i="40"/>
  <c r="AA19" i="40" s="1"/>
  <c r="W13" i="39"/>
  <c r="S11" i="39"/>
  <c r="AB45" i="39"/>
  <c r="S27" i="39"/>
  <c r="AA21" i="39"/>
  <c r="AC38" i="39"/>
  <c r="W29" i="39"/>
  <c r="S29" i="39"/>
  <c r="AC17" i="39"/>
  <c r="AB15" i="39"/>
  <c r="U11" i="39"/>
  <c r="U41" i="39"/>
  <c r="AB38" i="39"/>
  <c r="U31" i="39"/>
  <c r="AB31" i="39"/>
  <c r="S38" i="39"/>
  <c r="S22" i="31"/>
  <c r="D18" i="9"/>
  <c r="M44" i="9" s="1"/>
  <c r="M43" i="9"/>
  <c r="M20" i="15"/>
  <c r="A18" i="64"/>
  <c r="B74" i="63"/>
  <c r="C53" i="10"/>
  <c r="A25" i="64" s="1"/>
  <c r="A18" i="51"/>
  <c r="B14" i="63" s="1"/>
  <c r="BA16" i="3"/>
  <c r="BA17" i="3"/>
  <c r="AZ17" i="3"/>
  <c r="F3" i="35"/>
  <c r="K1" i="43"/>
  <c r="K1" i="12"/>
  <c r="G1" i="44"/>
  <c r="I4" i="6"/>
  <c r="G3" i="46" s="1"/>
  <c r="AZ15" i="3"/>
  <c r="BK5" i="3"/>
  <c r="BO5" i="3"/>
  <c r="BP5" i="3"/>
  <c r="BN5" i="3"/>
  <c r="BL18" i="3"/>
  <c r="AZ18" i="3"/>
  <c r="BC5" i="3"/>
  <c r="BD5" i="3"/>
  <c r="BR5" i="3"/>
  <c r="BS5" i="3"/>
  <c r="BQ5" i="3"/>
  <c r="BL16" i="3"/>
  <c r="BM5" i="3"/>
  <c r="BA13" i="3"/>
  <c r="G28" i="12"/>
  <c r="G26" i="12"/>
  <c r="D24" i="44"/>
  <c r="D26" i="44"/>
  <c r="G27" i="12"/>
  <c r="N8" i="46"/>
  <c r="N1" i="46"/>
  <c r="F47" i="46"/>
  <c r="H53" i="46" s="1"/>
  <c r="M9" i="46"/>
  <c r="N11" i="46"/>
  <c r="M4" i="46"/>
  <c r="M8" i="46"/>
  <c r="C6" i="46" s="1"/>
  <c r="M5" i="46"/>
  <c r="H6" i="48"/>
  <c r="H5" i="48"/>
  <c r="K17" i="46"/>
  <c r="H11" i="48"/>
  <c r="D17" i="46"/>
  <c r="D71" i="46"/>
  <c r="D84" i="46"/>
  <c r="D69" i="46"/>
  <c r="E69" i="46" s="1"/>
  <c r="B67" i="46" s="1"/>
  <c r="E58" i="46"/>
  <c r="B56" i="46" s="1"/>
  <c r="A4" i="51"/>
  <c r="B6" i="63" s="1"/>
  <c r="I100" i="46"/>
  <c r="N100" i="46"/>
  <c r="H100" i="46"/>
  <c r="F108" i="46"/>
  <c r="E100" i="46"/>
  <c r="G100" i="46"/>
  <c r="C100" i="46"/>
  <c r="J100" i="46"/>
  <c r="M100" i="46"/>
  <c r="AA12" i="36"/>
  <c r="U12" i="35"/>
  <c r="AB12" i="35"/>
  <c r="AA11" i="35"/>
  <c r="S14" i="37"/>
  <c r="C24" i="9"/>
  <c r="C25" i="9"/>
  <c r="L5" i="54"/>
  <c r="B39" i="63" s="1"/>
  <c r="K5" i="54"/>
  <c r="B38" i="63" s="1"/>
  <c r="T41" i="4"/>
  <c r="A17" i="64" s="1"/>
  <c r="B46" i="50"/>
  <c r="B4" i="63" s="1"/>
  <c r="C52" i="37"/>
  <c r="D52" i="37" s="1"/>
  <c r="E52" i="37" s="1"/>
  <c r="F52" i="37" s="1"/>
  <c r="G52" i="37" s="1"/>
  <c r="H52" i="37" s="1"/>
  <c r="I52" i="37" s="1"/>
  <c r="J52" i="37" s="1"/>
  <c r="K52" i="37" s="1"/>
  <c r="O19" i="46"/>
  <c r="K10" i="1"/>
  <c r="M10" i="1" s="1"/>
  <c r="O10" i="1" s="1"/>
  <c r="P10" i="1" s="1"/>
  <c r="S11" i="1"/>
  <c r="R11" i="1"/>
  <c r="S13" i="1"/>
  <c r="R13" i="1"/>
  <c r="B6" i="1"/>
  <c r="E6" i="1" s="1"/>
  <c r="B10" i="1"/>
  <c r="E10" i="1" s="1"/>
  <c r="S10" i="1"/>
  <c r="B8" i="1"/>
  <c r="E8" i="1"/>
  <c r="B12" i="1"/>
  <c r="E12" i="1"/>
  <c r="S12" i="1"/>
  <c r="K6" i="1"/>
  <c r="M6" i="1" s="1"/>
  <c r="G1" i="15"/>
  <c r="F66" i="36"/>
  <c r="H18" i="36"/>
  <c r="U16" i="36"/>
  <c r="AA34" i="36"/>
  <c r="U23" i="36"/>
  <c r="AC27" i="36"/>
  <c r="W28" i="36"/>
  <c r="AA32" i="36"/>
  <c r="U13" i="36"/>
  <c r="AA22" i="36"/>
  <c r="U10" i="36"/>
  <c r="AA13" i="36"/>
  <c r="W29" i="36"/>
  <c r="W9" i="36"/>
  <c r="S9" i="36"/>
  <c r="W8" i="36"/>
  <c r="AC30" i="35"/>
  <c r="W32" i="35"/>
  <c r="AA33" i="35"/>
  <c r="U32" i="35"/>
  <c r="W22" i="35"/>
  <c r="S32" i="35"/>
  <c r="W35" i="37"/>
  <c r="AC33" i="37"/>
  <c r="U33" i="37"/>
  <c r="AC15" i="37"/>
  <c r="S12" i="37"/>
  <c r="W36" i="37"/>
  <c r="U26" i="37"/>
  <c r="AB28" i="37"/>
  <c r="S28" i="37"/>
  <c r="S26" i="37"/>
  <c r="AB35" i="34"/>
  <c r="S19" i="34"/>
  <c r="S8" i="34"/>
  <c r="AA19" i="33"/>
  <c r="AC25" i="33"/>
  <c r="S43" i="33"/>
  <c r="AB42" i="33"/>
  <c r="AB14" i="33"/>
  <c r="S26" i="33"/>
  <c r="AB12" i="33"/>
  <c r="S15" i="33"/>
  <c r="S9" i="33"/>
  <c r="S39" i="21"/>
  <c r="AB25" i="21"/>
  <c r="W25" i="21"/>
  <c r="AA25" i="21"/>
  <c r="AC37" i="21"/>
  <c r="AA15" i="21"/>
  <c r="W30" i="40"/>
  <c r="S34"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A29" i="40"/>
  <c r="S29" i="40"/>
  <c r="B20" i="31"/>
  <c r="R22" i="31"/>
  <c r="B21" i="31" s="1"/>
  <c r="AT6" i="3"/>
  <c r="BA5" i="3"/>
  <c r="G29" i="6"/>
  <c r="E29" i="6" s="1"/>
  <c r="K15" i="1" s="1"/>
  <c r="AZ16" i="3"/>
  <c r="A9" i="64"/>
  <c r="A9" i="51"/>
  <c r="B9" i="63" s="1"/>
  <c r="A3" i="55"/>
  <c r="B56" i="63" s="1"/>
  <c r="E4" i="4"/>
  <c r="B21" i="55" s="1"/>
  <c r="B72" i="63" s="1"/>
  <c r="C4" i="4"/>
  <c r="B20" i="55" s="1"/>
  <c r="B70" i="63" s="1"/>
  <c r="G66" i="36"/>
  <c r="J18" i="36"/>
  <c r="AE8" i="1"/>
  <c r="AE7" i="1"/>
  <c r="W18" i="36"/>
  <c r="AC18" i="36"/>
  <c r="AG6" i="1"/>
  <c r="L20" i="6"/>
  <c r="S7" i="1"/>
  <c r="S8" i="1"/>
  <c r="S9" i="1"/>
  <c r="R9" i="1"/>
  <c r="R7" i="1"/>
  <c r="R8" i="1"/>
  <c r="C44" i="9"/>
  <c r="N69" i="9" s="1"/>
  <c r="K29" i="9"/>
  <c r="K30" i="9" s="1"/>
  <c r="N76" i="9"/>
  <c r="C46" i="9"/>
  <c r="K33" i="9" s="1"/>
  <c r="K34" i="9" s="1"/>
  <c r="O41" i="9"/>
  <c r="R8" i="54" s="1"/>
  <c r="B54" i="63" s="1"/>
  <c r="F38" i="46"/>
  <c r="D20" i="59"/>
  <c r="C19" i="59"/>
  <c r="D19" i="59"/>
  <c r="U17" i="59"/>
  <c r="F20" i="59"/>
  <c r="F19" i="59" s="1"/>
  <c r="F18" i="59" s="1"/>
  <c r="F17" i="59" s="1"/>
  <c r="H1" i="65"/>
  <c r="X7" i="46"/>
  <c r="M17" i="46"/>
  <c r="P13" i="1"/>
  <c r="P12" i="1"/>
  <c r="F35" i="46"/>
  <c r="H66" i="46"/>
  <c r="D100" i="46"/>
  <c r="H62" i="46"/>
  <c r="AF12" i="46"/>
  <c r="K100" i="46"/>
  <c r="AB12" i="46"/>
  <c r="AJ12" i="46"/>
  <c r="E10" i="46"/>
  <c r="E9" i="46"/>
  <c r="E11" i="46"/>
  <c r="E8" i="46"/>
  <c r="C7" i="46" s="1"/>
  <c r="AD12" i="46"/>
  <c r="AH12" i="46"/>
  <c r="C18" i="59"/>
  <c r="C17" i="59" s="1"/>
  <c r="B18" i="59"/>
  <c r="B17" i="59" s="1"/>
  <c r="D18" i="59"/>
  <c r="F39" i="44"/>
  <c r="F10" i="67"/>
  <c r="N5" i="65"/>
  <c r="B9" i="67"/>
  <c r="F15" i="44"/>
  <c r="J15" i="15"/>
  <c r="F8" i="15"/>
  <c r="L49" i="44"/>
  <c r="F9" i="67"/>
  <c r="M11" i="44"/>
  <c r="J6" i="65"/>
  <c r="E13" i="67"/>
  <c r="M8" i="15"/>
  <c r="F14" i="67"/>
  <c r="I4" i="65"/>
  <c r="F13" i="67"/>
  <c r="M23" i="15"/>
  <c r="F13" i="15"/>
  <c r="F45" i="44"/>
  <c r="F38" i="44"/>
  <c r="N7" i="65"/>
  <c r="N6" i="65"/>
  <c r="M10" i="44"/>
  <c r="F7" i="15"/>
  <c r="E14" i="67"/>
  <c r="F28" i="44"/>
  <c r="M29" i="44"/>
  <c r="M24" i="15"/>
  <c r="M22" i="15"/>
  <c r="J7" i="65"/>
  <c r="B8" i="67"/>
  <c r="F9" i="15"/>
  <c r="F40" i="44"/>
  <c r="F10" i="44"/>
  <c r="E11" i="67"/>
  <c r="F26" i="15"/>
  <c r="L48" i="15"/>
  <c r="L47" i="15"/>
  <c r="J17" i="44"/>
  <c r="F43" i="15"/>
  <c r="F18" i="44"/>
  <c r="L48" i="44"/>
  <c r="F12" i="67"/>
  <c r="J4" i="65"/>
  <c r="M30" i="44"/>
  <c r="F11" i="44"/>
  <c r="M26" i="44"/>
  <c r="E10" i="67"/>
  <c r="F9" i="44"/>
  <c r="M24" i="44"/>
  <c r="F37" i="15"/>
  <c r="M25" i="44"/>
  <c r="F8" i="44"/>
  <c r="N3" i="65"/>
  <c r="M27" i="15"/>
  <c r="F6" i="15"/>
  <c r="B12" i="67"/>
  <c r="F42" i="15"/>
  <c r="J36" i="15"/>
  <c r="I7" i="65"/>
  <c r="F46" i="44"/>
  <c r="B13" i="67"/>
  <c r="M28" i="44"/>
  <c r="N4" i="65"/>
  <c r="F43" i="44"/>
  <c r="M8" i="44"/>
  <c r="I6" i="65"/>
  <c r="F40" i="15"/>
  <c r="E8" i="67"/>
  <c r="B14" i="67"/>
  <c r="M31" i="44"/>
  <c r="F8" i="67"/>
  <c r="I5" i="65"/>
  <c r="I3" i="65"/>
  <c r="B11" i="67"/>
  <c r="M29" i="15"/>
  <c r="M26" i="15"/>
  <c r="J5" i="65"/>
  <c r="M28" i="15"/>
  <c r="F38" i="15"/>
  <c r="M6" i="15"/>
  <c r="J3" i="65"/>
  <c r="F36" i="15"/>
  <c r="E12" i="67"/>
  <c r="B10" i="67"/>
  <c r="F16" i="15"/>
  <c r="F11" i="67"/>
  <c r="M9" i="15"/>
  <c r="E9" i="67"/>
  <c r="C42" i="1" l="1"/>
  <c r="G19" i="73"/>
  <c r="E20" i="73"/>
  <c r="U38" i="40"/>
  <c r="W38" i="40"/>
  <c r="AA42" i="40"/>
  <c r="S42" i="40"/>
  <c r="J42" i="40"/>
  <c r="H42" i="40"/>
  <c r="F86" i="40"/>
  <c r="G86" i="40" s="1"/>
  <c r="F17" i="40"/>
  <c r="AA17" i="40" s="1"/>
  <c r="J17" i="40"/>
  <c r="H17" i="40"/>
  <c r="AB17" i="40" s="1"/>
  <c r="F102" i="40"/>
  <c r="G102" i="40" s="1"/>
  <c r="H102" i="40" s="1"/>
  <c r="I102" i="40" s="1"/>
  <c r="J102" i="40" s="1"/>
  <c r="K102" i="40" s="1"/>
  <c r="L102" i="40" s="1"/>
  <c r="M102" i="40" s="1"/>
  <c r="J32" i="40"/>
  <c r="F32" i="40"/>
  <c r="AA32" i="40" s="1"/>
  <c r="H32" i="40"/>
  <c r="U32" i="40" s="1"/>
  <c r="F88" i="40"/>
  <c r="G88" i="40" s="1"/>
  <c r="H19" i="40"/>
  <c r="U19" i="40" s="1"/>
  <c r="J19" i="40"/>
  <c r="W19" i="40" s="1"/>
  <c r="AB19" i="40"/>
  <c r="S19" i="40"/>
  <c r="W29" i="40"/>
  <c r="U39" i="40"/>
  <c r="AA39" i="40"/>
  <c r="AA40" i="40"/>
  <c r="S40" i="40"/>
  <c r="W37" i="40"/>
  <c r="AA37" i="40"/>
  <c r="W39" i="40"/>
  <c r="U37" i="40"/>
  <c r="S32" i="40"/>
  <c r="AB34" i="40"/>
  <c r="W35" i="40"/>
  <c r="S30" i="40"/>
  <c r="F27" i="40"/>
  <c r="AA27" i="40" s="1"/>
  <c r="F96" i="40"/>
  <c r="G96" i="40" s="1"/>
  <c r="J27" i="40"/>
  <c r="AC27" i="40" s="1"/>
  <c r="H27" i="40"/>
  <c r="W27" i="40"/>
  <c r="S27" i="40"/>
  <c r="U25" i="40"/>
  <c r="W25" i="40"/>
  <c r="AB23" i="40"/>
  <c r="AA23" i="40"/>
  <c r="W23" i="40"/>
  <c r="W21" i="40"/>
  <c r="AA21" i="40"/>
  <c r="AC19" i="40"/>
  <c r="S17" i="40"/>
  <c r="S15" i="40"/>
  <c r="AA15" i="40"/>
  <c r="W11" i="40"/>
  <c r="H16" i="40"/>
  <c r="J16" i="40"/>
  <c r="J15" i="40"/>
  <c r="AA13" i="40"/>
  <c r="AB13" i="40"/>
  <c r="U10" i="40"/>
  <c r="S10" i="40"/>
  <c r="J86" i="46"/>
  <c r="E80" i="46"/>
  <c r="B78" i="46" s="1"/>
  <c r="C24" i="46" s="1"/>
  <c r="N17" i="46"/>
  <c r="H113" i="46"/>
  <c r="C17" i="46"/>
  <c r="F80" i="46"/>
  <c r="H10" i="48"/>
  <c r="H13" i="48"/>
  <c r="H14" i="48"/>
  <c r="H15" i="48"/>
  <c r="M3" i="46"/>
  <c r="M12" i="46"/>
  <c r="N9" i="46"/>
  <c r="M2" i="46"/>
  <c r="N4" i="46"/>
  <c r="N6" i="46"/>
  <c r="M11" i="46"/>
  <c r="N2" i="46"/>
  <c r="M6" i="46"/>
  <c r="H9" i="48"/>
  <c r="H55" i="46"/>
  <c r="I17" i="46"/>
  <c r="H50" i="46"/>
  <c r="L17" i="46"/>
  <c r="O17" i="46"/>
  <c r="E17" i="46"/>
  <c r="H51" i="46"/>
  <c r="F37" i="46"/>
  <c r="F34" i="46"/>
  <c r="J17" i="46"/>
  <c r="F39" i="46"/>
  <c r="F36" i="46"/>
  <c r="F69" i="46"/>
  <c r="H52" i="46"/>
  <c r="H59" i="46"/>
  <c r="H63" i="46"/>
  <c r="H49" i="46"/>
  <c r="H47" i="46"/>
  <c r="H54" i="46"/>
  <c r="H65" i="46"/>
  <c r="H60" i="46"/>
  <c r="H64" i="46"/>
  <c r="H48" i="46"/>
  <c r="H58" i="46"/>
  <c r="C23" i="40"/>
  <c r="G11" i="1"/>
  <c r="C51" i="10"/>
  <c r="A4" i="64"/>
  <c r="G12" i="1"/>
  <c r="I14" i="66"/>
  <c r="B8" i="66" s="1"/>
  <c r="M86" i="9"/>
  <c r="N86" i="9" s="1"/>
  <c r="M84" i="9"/>
  <c r="N84" i="9" s="1"/>
  <c r="M88" i="9"/>
  <c r="N88" i="9" s="1"/>
  <c r="M87" i="9"/>
  <c r="N87" i="9" s="1"/>
  <c r="M85" i="9"/>
  <c r="N85" i="9" s="1"/>
  <c r="M83" i="9"/>
  <c r="N83" i="9" s="1"/>
  <c r="N89" i="9" s="1"/>
  <c r="O89" i="9" s="1"/>
  <c r="AC31" i="39"/>
  <c r="G14" i="66"/>
  <c r="B6" i="66" s="1"/>
  <c r="O39" i="9"/>
  <c r="R6" i="54" s="1"/>
  <c r="B50" i="63" s="1"/>
  <c r="F30" i="6"/>
  <c r="AB11" i="34"/>
  <c r="U11" i="34"/>
  <c r="AB23" i="39"/>
  <c r="U23" i="39"/>
  <c r="AB15" i="34"/>
  <c r="U15" i="34"/>
  <c r="W13" i="40"/>
  <c r="AC13" i="40"/>
  <c r="U40" i="40"/>
  <c r="AB40" i="40"/>
  <c r="AA47" i="39"/>
  <c r="S47" i="39"/>
  <c r="AA25" i="39"/>
  <c r="S25" i="39"/>
  <c r="AA41" i="40"/>
  <c r="S41" i="40"/>
  <c r="AB15" i="40"/>
  <c r="U15" i="40"/>
  <c r="S41" i="33"/>
  <c r="AA41" i="33"/>
  <c r="AA38" i="40"/>
  <c r="S38" i="40"/>
  <c r="A17" i="51"/>
  <c r="B13" i="63" s="1"/>
  <c r="AC11" i="34"/>
  <c r="AA25" i="40"/>
  <c r="S25" i="40"/>
  <c r="S17" i="34"/>
  <c r="U10" i="33"/>
  <c r="AB10" i="33"/>
  <c r="W35" i="33"/>
  <c r="AC35" i="33"/>
  <c r="AC17" i="34"/>
  <c r="W17" i="34"/>
  <c r="AC47" i="39"/>
  <c r="AB47" i="39"/>
  <c r="U47" i="39"/>
  <c r="AB41" i="40"/>
  <c r="U41" i="40"/>
  <c r="U16" i="39"/>
  <c r="AB16" i="39"/>
  <c r="AA14" i="39"/>
  <c r="S14" i="39"/>
  <c r="AB22" i="35"/>
  <c r="U22" i="35"/>
  <c r="S30" i="33"/>
  <c r="AA30" i="33"/>
  <c r="AZ544" i="3"/>
  <c r="AZ493" i="3"/>
  <c r="AZ492" i="3"/>
  <c r="W11" i="35"/>
  <c r="AC21" i="39"/>
  <c r="AC19" i="39"/>
  <c r="AC44" i="39"/>
  <c r="W17" i="21"/>
  <c r="AB37" i="21"/>
  <c r="AA37" i="21"/>
  <c r="U19" i="34"/>
  <c r="AC40" i="34"/>
  <c r="AC35" i="34"/>
  <c r="AA11" i="37"/>
  <c r="S29" i="37"/>
  <c r="S17" i="37"/>
  <c r="W12" i="37"/>
  <c r="AC10" i="35"/>
  <c r="S16" i="35"/>
  <c r="U32" i="36"/>
  <c r="U40" i="21"/>
  <c r="AB44" i="39"/>
  <c r="AB29" i="39"/>
  <c r="W29" i="35"/>
  <c r="U17" i="21"/>
  <c r="AA11" i="34"/>
  <c r="AA29" i="35"/>
  <c r="AC36" i="21"/>
  <c r="F11" i="36"/>
  <c r="H11" i="36"/>
  <c r="S9" i="35"/>
  <c r="H27" i="34"/>
  <c r="AB10" i="35"/>
  <c r="AC5" i="3"/>
  <c r="U43" i="21"/>
  <c r="AB15" i="37"/>
  <c r="W9" i="33"/>
  <c r="U12" i="37"/>
  <c r="AA23" i="37"/>
  <c r="AC23" i="37"/>
  <c r="AC12" i="35"/>
  <c r="H24" i="35"/>
  <c r="F24" i="35"/>
  <c r="AC28" i="33"/>
  <c r="AC14" i="21"/>
  <c r="J14" i="33"/>
  <c r="J32" i="36"/>
  <c r="U30" i="21"/>
  <c r="AB30" i="21"/>
  <c r="AC42" i="21"/>
  <c r="W42" i="21"/>
  <c r="AA42" i="34"/>
  <c r="U24" i="36"/>
  <c r="AC24" i="36"/>
  <c r="AA22" i="35"/>
  <c r="S22" i="35"/>
  <c r="AA12" i="33"/>
  <c r="W38" i="33"/>
  <c r="G572" i="3"/>
  <c r="H5" i="3"/>
  <c r="BH5" i="3"/>
  <c r="BF5" i="3"/>
  <c r="H13" i="21"/>
  <c r="J13" i="21"/>
  <c r="F13" i="21"/>
  <c r="H27" i="21"/>
  <c r="J27" i="21"/>
  <c r="F27" i="21"/>
  <c r="J29" i="21"/>
  <c r="H29" i="21"/>
  <c r="F29" i="21"/>
  <c r="J31" i="21"/>
  <c r="H31" i="21"/>
  <c r="F31" i="21"/>
  <c r="J45" i="21"/>
  <c r="F45" i="21"/>
  <c r="H45" i="21"/>
  <c r="AC33" i="33"/>
  <c r="W33" i="33"/>
  <c r="AC40" i="33"/>
  <c r="W40" i="33"/>
  <c r="J9" i="35"/>
  <c r="AA31" i="33"/>
  <c r="S31" i="33"/>
  <c r="H44" i="33"/>
  <c r="J44" i="33"/>
  <c r="F44" i="33"/>
  <c r="AC24" i="35"/>
  <c r="U8" i="36"/>
  <c r="AB8" i="36"/>
  <c r="AB26" i="36"/>
  <c r="U26" i="36"/>
  <c r="H13" i="37"/>
  <c r="F13" i="37"/>
  <c r="J13" i="37"/>
  <c r="H27" i="37"/>
  <c r="F27" i="37"/>
  <c r="J27" i="37"/>
  <c r="H38" i="37"/>
  <c r="J38" i="37"/>
  <c r="F38" i="37"/>
  <c r="H25" i="37"/>
  <c r="J25" i="37"/>
  <c r="F25" i="37"/>
  <c r="AA40" i="33"/>
  <c r="S40" i="33"/>
  <c r="G553" i="3"/>
  <c r="G548" i="3"/>
  <c r="AB30" i="33"/>
  <c r="U30" i="33"/>
  <c r="AB9" i="21"/>
  <c r="U9" i="21"/>
  <c r="B70" i="46"/>
  <c r="C23" i="39"/>
  <c r="F9" i="21"/>
  <c r="J9" i="21"/>
  <c r="AB33" i="33"/>
  <c r="U33" i="33"/>
  <c r="AA38" i="33"/>
  <c r="S38" i="33"/>
  <c r="H27" i="33"/>
  <c r="J27" i="33"/>
  <c r="F27" i="33"/>
  <c r="AC39" i="34"/>
  <c r="W39" i="34"/>
  <c r="J46" i="33"/>
  <c r="F46" i="33"/>
  <c r="H46" i="33"/>
  <c r="H13" i="34"/>
  <c r="J13" i="34"/>
  <c r="F13" i="34"/>
  <c r="J29" i="34"/>
  <c r="F29" i="34"/>
  <c r="H29" i="34"/>
  <c r="J31" i="34"/>
  <c r="H31" i="34"/>
  <c r="F31" i="34"/>
  <c r="H45" i="34"/>
  <c r="J45" i="34"/>
  <c r="F45" i="34"/>
  <c r="H47" i="34"/>
  <c r="F47" i="34"/>
  <c r="J47" i="34"/>
  <c r="J34" i="35"/>
  <c r="H34" i="35"/>
  <c r="F34" i="35"/>
  <c r="AC23" i="36"/>
  <c r="W23" i="36"/>
  <c r="J25" i="36"/>
  <c r="F25" i="36"/>
  <c r="H25" i="36"/>
  <c r="AC39" i="37"/>
  <c r="W39" i="37"/>
  <c r="U41" i="21"/>
  <c r="AB41" i="21"/>
  <c r="AB34" i="37"/>
  <c r="U34" i="37"/>
  <c r="E8" i="6"/>
  <c r="F27" i="6" s="1"/>
  <c r="BT5" i="3"/>
  <c r="G28" i="6" s="1"/>
  <c r="BI5" i="3"/>
  <c r="BG5" i="3"/>
  <c r="G528" i="3"/>
  <c r="G520" i="3"/>
  <c r="G511" i="3"/>
  <c r="G500" i="3"/>
  <c r="G490" i="3"/>
  <c r="G482" i="3"/>
  <c r="G5" i="3" s="1"/>
  <c r="B3" i="3" s="1"/>
  <c r="AZ392" i="3"/>
  <c r="AZ397" i="3"/>
  <c r="AZ408" i="3"/>
  <c r="AZ413" i="3"/>
  <c r="AZ424" i="3"/>
  <c r="AZ437" i="3"/>
  <c r="AZ451" i="3"/>
  <c r="AZ457" i="3"/>
  <c r="AZ473" i="3"/>
  <c r="AZ318" i="3"/>
  <c r="AZ334" i="3"/>
  <c r="AZ350" i="3"/>
  <c r="AZ211" i="3"/>
  <c r="AZ227" i="3"/>
  <c r="AZ432" i="3"/>
  <c r="AZ447" i="3"/>
  <c r="AZ465" i="3"/>
  <c r="AZ387" i="3"/>
  <c r="AZ219" i="3"/>
  <c r="A30" i="64"/>
  <c r="A30" i="51"/>
  <c r="B22" i="63" s="1"/>
  <c r="AZ235" i="3"/>
  <c r="AZ240" i="3"/>
  <c r="AZ243" i="3"/>
  <c r="AZ256" i="3"/>
  <c r="AZ259" i="3"/>
  <c r="AZ279" i="3"/>
  <c r="AZ294" i="3"/>
  <c r="AZ113" i="3"/>
  <c r="AZ116" i="3"/>
  <c r="AZ129" i="3"/>
  <c r="AZ132" i="3"/>
  <c r="AZ145" i="3"/>
  <c r="AZ148" i="3"/>
  <c r="AZ251" i="3"/>
  <c r="AZ267" i="3"/>
  <c r="AZ271" i="3"/>
  <c r="AZ283" i="3"/>
  <c r="AZ287" i="3"/>
  <c r="AZ21" i="3"/>
  <c r="AZ28" i="3"/>
  <c r="AZ34" i="3"/>
  <c r="AZ37" i="3"/>
  <c r="AZ44" i="3"/>
  <c r="AZ50" i="3"/>
  <c r="AZ53" i="3"/>
  <c r="AZ60" i="3"/>
  <c r="AZ72" i="3"/>
  <c r="AZ77" i="3"/>
  <c r="AZ80" i="3"/>
  <c r="AZ83" i="3"/>
  <c r="AZ96" i="3"/>
  <c r="AZ100" i="3"/>
  <c r="AZ103" i="3"/>
  <c r="O63" i="59"/>
  <c r="D73" i="59"/>
  <c r="C72" i="59"/>
  <c r="Q65" i="59"/>
  <c r="C60" i="59"/>
  <c r="AA27" i="59"/>
  <c r="AB30" i="59"/>
  <c r="F31" i="59"/>
  <c r="F32" i="59" s="1"/>
  <c r="F33" i="59" s="1"/>
  <c r="V33" i="59" s="1"/>
  <c r="AB3" i="59"/>
  <c r="X5" i="59"/>
  <c r="AA5" i="59"/>
  <c r="C40" i="59"/>
  <c r="D39" i="59"/>
  <c r="AA12" i="46"/>
  <c r="AI12" i="46"/>
  <c r="G8" i="1"/>
  <c r="B54" i="46"/>
  <c r="C27" i="40"/>
  <c r="D57" i="59"/>
  <c r="T57" i="59"/>
  <c r="D51" i="59"/>
  <c r="C52" i="59"/>
  <c r="D85" i="59"/>
  <c r="C84" i="59"/>
  <c r="S25" i="59"/>
  <c r="B24" i="59"/>
  <c r="B23" i="59" s="1"/>
  <c r="A28" i="64"/>
  <c r="N16" i="4"/>
  <c r="X26" i="59"/>
  <c r="Y27" i="59"/>
  <c r="Z27" i="59" s="1"/>
  <c r="AB27" i="59"/>
  <c r="Y28" i="59"/>
  <c r="Z28" i="59" s="1"/>
  <c r="AB28" i="59"/>
  <c r="Y29" i="59"/>
  <c r="Z29" i="59" s="1"/>
  <c r="AB29" i="59"/>
  <c r="X30" i="59"/>
  <c r="X31" i="59"/>
  <c r="AA31" i="59"/>
  <c r="X32" i="59"/>
  <c r="AA32" i="59"/>
  <c r="X33" i="59"/>
  <c r="AA33" i="59"/>
  <c r="X34" i="59"/>
  <c r="Y5" i="59"/>
  <c r="Z5" i="59" s="1"/>
  <c r="AB5" i="5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58" i="39"/>
  <c r="E53" i="40"/>
  <c r="AP7" i="1"/>
  <c r="G9" i="1"/>
  <c r="G10" i="1"/>
  <c r="K17" i="4"/>
  <c r="A22" i="51" s="1"/>
  <c r="B16" i="63" s="1"/>
  <c r="Q16" i="1"/>
  <c r="D70" i="39"/>
  <c r="C72" i="39"/>
  <c r="C67" i="40"/>
  <c r="D65" i="40"/>
  <c r="G17" i="46"/>
  <c r="C16" i="46" s="1"/>
  <c r="D5" i="46" s="1"/>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J109" i="46"/>
  <c r="J104" i="46"/>
  <c r="O8" i="1"/>
  <c r="P8" i="1" s="1"/>
  <c r="O6" i="1"/>
  <c r="BL5" i="3"/>
  <c r="AZ13" i="3"/>
  <c r="AZ5" i="3" s="1"/>
  <c r="E14" i="6"/>
  <c r="E13" i="6"/>
  <c r="E10" i="6"/>
  <c r="M102" i="46"/>
  <c r="M109" i="46"/>
  <c r="AP16" i="1"/>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F21" i="43"/>
  <c r="D21" i="12"/>
  <c r="C18" i="44"/>
  <c r="E3" i="65"/>
  <c r="C16" i="15"/>
  <c r="C15" i="43"/>
  <c r="E2" i="65"/>
  <c r="P24" i="73" l="1"/>
  <c r="P25" i="73"/>
  <c r="M20" i="73"/>
  <c r="O19" i="73"/>
  <c r="C19" i="73"/>
  <c r="P21" i="73"/>
  <c r="P23" i="73"/>
  <c r="P22" i="73"/>
  <c r="O28" i="73"/>
  <c r="M28" i="73"/>
  <c r="N28" i="73"/>
  <c r="P28" i="73"/>
  <c r="G20" i="73" s="1"/>
  <c r="U42" i="40"/>
  <c r="AB42" i="40"/>
  <c r="AC42" i="40"/>
  <c r="W42" i="40"/>
  <c r="U17" i="40"/>
  <c r="W17" i="40"/>
  <c r="AC17" i="40"/>
  <c r="AC32" i="40"/>
  <c r="W32" i="40"/>
  <c r="AB32" i="40"/>
  <c r="U27" i="40"/>
  <c r="AB27" i="40"/>
  <c r="AC15" i="40"/>
  <c r="W15" i="40"/>
  <c r="U16" i="40"/>
  <c r="AB16" i="40"/>
  <c r="AC16" i="40"/>
  <c r="W16" i="40"/>
  <c r="M103" i="46"/>
  <c r="M106" i="46"/>
  <c r="M105" i="46"/>
  <c r="M104" i="46"/>
  <c r="D22" i="46"/>
  <c r="H81" i="46"/>
  <c r="H86" i="46"/>
  <c r="H85" i="46"/>
  <c r="H80" i="46"/>
  <c r="H84" i="46"/>
  <c r="H82" i="46"/>
  <c r="H87" i="46"/>
  <c r="H83" i="46"/>
  <c r="C5" i="46"/>
  <c r="C21" i="12"/>
  <c r="C102" i="46"/>
  <c r="E27" i="6"/>
  <c r="F31" i="6"/>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375" i="3"/>
  <c r="E470" i="3"/>
  <c r="E409" i="3"/>
  <c r="E349" i="3"/>
  <c r="E83" i="3"/>
  <c r="E186" i="3"/>
  <c r="E124" i="3"/>
  <c r="E311" i="3"/>
  <c r="E222" i="3"/>
  <c r="E263" i="3"/>
  <c r="E388" i="3"/>
  <c r="E424" i="3"/>
  <c r="E430" i="3"/>
  <c r="E82" i="3"/>
  <c r="E146" i="3"/>
  <c r="E164" i="3"/>
  <c r="E77" i="3"/>
  <c r="E99" i="3"/>
  <c r="E434" i="3"/>
  <c r="E262" i="3"/>
  <c r="E552" i="3"/>
  <c r="E101" i="3"/>
  <c r="E57" i="3"/>
  <c r="E411"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494" i="3"/>
  <c r="E273" i="3"/>
  <c r="E542" i="3"/>
  <c r="E563" i="3"/>
  <c r="E254" i="3"/>
  <c r="E112" i="3"/>
  <c r="E341" i="3"/>
  <c r="E268" i="3"/>
  <c r="E316" i="3"/>
  <c r="E175" i="3"/>
  <c r="E318" i="3"/>
  <c r="E565" i="3"/>
  <c r="E380" i="3"/>
  <c r="E503" i="3"/>
  <c r="E206" i="3"/>
  <c r="E333" i="3"/>
  <c r="E115" i="3"/>
  <c r="E195" i="3"/>
  <c r="E321" i="3"/>
  <c r="E266" i="3"/>
  <c r="I6" i="3"/>
  <c r="Z6" i="3"/>
  <c r="AK6" i="3"/>
  <c r="E250" i="3"/>
  <c r="E41" i="3"/>
  <c r="E418" i="3"/>
  <c r="E92" i="3"/>
  <c r="E414" i="3"/>
  <c r="E202" i="3"/>
  <c r="E492" i="3"/>
  <c r="E295" i="3"/>
  <c r="E89" i="3"/>
  <c r="E201" i="3"/>
  <c r="E170" i="3"/>
  <c r="E274" i="3"/>
  <c r="E32" i="3"/>
  <c r="E547" i="3"/>
  <c r="E447" i="3"/>
  <c r="E33" i="3"/>
  <c r="Q6" i="3"/>
  <c r="E119" i="3"/>
  <c r="E97" i="3"/>
  <c r="AE6" i="3"/>
  <c r="E289"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13" i="3"/>
  <c r="M6" i="3"/>
  <c r="E241" i="3"/>
  <c r="E69" i="3"/>
  <c r="E446" i="3"/>
  <c r="E152" i="3"/>
  <c r="E437" i="3"/>
  <c r="E46" i="3"/>
  <c r="E221" i="3"/>
  <c r="E457" i="3"/>
  <c r="E31" i="3"/>
  <c r="X6" i="3"/>
  <c r="AA6" i="3"/>
  <c r="AD6" i="3"/>
  <c r="E299" i="3"/>
  <c r="E327" i="3"/>
  <c r="E103" i="3"/>
  <c r="E200" i="3"/>
  <c r="E62" i="3"/>
  <c r="E389" i="3"/>
  <c r="E230" i="3"/>
  <c r="E143" i="3"/>
  <c r="AO6" i="3"/>
  <c r="E475" i="3"/>
  <c r="E421" i="3"/>
  <c r="E132" i="3"/>
  <c r="E91" i="3"/>
  <c r="E359" i="3"/>
  <c r="E391" i="3"/>
  <c r="E127" i="3"/>
  <c r="E215" i="3"/>
  <c r="E454" i="3"/>
  <c r="E283" i="3"/>
  <c r="E535" i="3"/>
  <c r="E156" i="3"/>
  <c r="E381" i="3"/>
  <c r="E49" i="3"/>
  <c r="E427" i="3"/>
  <c r="E278" i="3"/>
  <c r="E104" i="3"/>
  <c r="E534" i="3"/>
  <c r="E387" i="3"/>
  <c r="E294" i="3"/>
  <c r="E125" i="3"/>
  <c r="AH6" i="3"/>
  <c r="P6" i="3"/>
  <c r="E343" i="3"/>
  <c r="E142" i="3"/>
  <c r="E410" i="3"/>
  <c r="E468" i="3"/>
  <c r="E109" i="3"/>
  <c r="E185" i="3"/>
  <c r="E148" i="3"/>
  <c r="E27" i="3"/>
  <c r="E412" i="3"/>
  <c r="E46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93" i="3"/>
  <c r="E94" i="3"/>
  <c r="E376" i="3"/>
  <c r="R6" i="3"/>
  <c r="E21" i="3"/>
  <c r="E64" i="3"/>
  <c r="E140" i="3"/>
  <c r="E84" i="3"/>
  <c r="AP6" i="3"/>
  <c r="E431" i="3"/>
  <c r="E70" i="3"/>
  <c r="E38" i="3"/>
  <c r="E151" i="3"/>
  <c r="E313" i="3"/>
  <c r="E53" i="3"/>
  <c r="E405" i="3"/>
  <c r="W6" i="3"/>
  <c r="H6" i="3" s="1"/>
  <c r="E293" i="3"/>
  <c r="E28" i="6"/>
  <c r="G30" i="6"/>
  <c r="G31" i="6" s="1"/>
  <c r="D84" i="59"/>
  <c r="C83" i="59"/>
  <c r="D83" i="59" s="1"/>
  <c r="D52" i="59"/>
  <c r="C53" i="59"/>
  <c r="D40" i="59"/>
  <c r="C41" i="59"/>
  <c r="E500" i="3"/>
  <c r="E520" i="3"/>
  <c r="AB25" i="36"/>
  <c r="U25" i="36"/>
  <c r="W25" i="36"/>
  <c r="AC25" i="36"/>
  <c r="AB34" i="35"/>
  <c r="U34" i="35"/>
  <c r="AC47" i="34"/>
  <c r="W47" i="34"/>
  <c r="U47" i="34"/>
  <c r="AB47" i="34"/>
  <c r="W45" i="34"/>
  <c r="AC45" i="34"/>
  <c r="S31" i="34"/>
  <c r="AA31" i="34"/>
  <c r="W31" i="34"/>
  <c r="AC31" i="34"/>
  <c r="S29" i="34"/>
  <c r="AA29" i="34"/>
  <c r="AA13" i="34"/>
  <c r="S13" i="34"/>
  <c r="U13" i="34"/>
  <c r="AB13" i="34"/>
  <c r="AA46" i="33"/>
  <c r="S46" i="33"/>
  <c r="AA27" i="33"/>
  <c r="S27" i="33"/>
  <c r="U27" i="33"/>
  <c r="AB27" i="33"/>
  <c r="S9" i="21"/>
  <c r="AA9" i="21"/>
  <c r="E548" i="3"/>
  <c r="AA25" i="37"/>
  <c r="S25" i="37"/>
  <c r="U25" i="37"/>
  <c r="AB25" i="37"/>
  <c r="AC38" i="37"/>
  <c r="W38" i="37"/>
  <c r="W27" i="37"/>
  <c r="AC27" i="37"/>
  <c r="U27" i="37"/>
  <c r="AB27" i="37"/>
  <c r="S13" i="37"/>
  <c r="AA13" i="37"/>
  <c r="AC44" i="33"/>
  <c r="W44" i="33"/>
  <c r="W9" i="35"/>
  <c r="AC9" i="35"/>
  <c r="AA45" i="21"/>
  <c r="S45" i="21"/>
  <c r="S31" i="21"/>
  <c r="AA31" i="21"/>
  <c r="AC31" i="21"/>
  <c r="W31" i="21"/>
  <c r="U29" i="21"/>
  <c r="AB29" i="21"/>
  <c r="AA27" i="21"/>
  <c r="S27" i="21"/>
  <c r="AB27" i="21"/>
  <c r="U27" i="21"/>
  <c r="AC13" i="21"/>
  <c r="W13" i="21"/>
  <c r="AC14" i="33"/>
  <c r="W14" i="33"/>
  <c r="AB24" i="35"/>
  <c r="U24" i="35"/>
  <c r="AB27" i="34"/>
  <c r="U27" i="34"/>
  <c r="AB11" i="36"/>
  <c r="U11" i="36"/>
  <c r="D60" i="59"/>
  <c r="C61" i="59"/>
  <c r="D72" i="59"/>
  <c r="C71" i="59"/>
  <c r="D71" i="59" s="1"/>
  <c r="E511" i="3"/>
  <c r="E528" i="3"/>
  <c r="AA25" i="36"/>
  <c r="S25" i="36"/>
  <c r="S34" i="35"/>
  <c r="AA34" i="35"/>
  <c r="AC34" i="35"/>
  <c r="W34" i="35"/>
  <c r="AA47" i="34"/>
  <c r="S47" i="34"/>
  <c r="AA45" i="34"/>
  <c r="S45" i="34"/>
  <c r="U45" i="34"/>
  <c r="AB45" i="34"/>
  <c r="AB31" i="34"/>
  <c r="U31" i="34"/>
  <c r="U29" i="34"/>
  <c r="AB29" i="34"/>
  <c r="AC29" i="34"/>
  <c r="W29" i="34"/>
  <c r="W13" i="34"/>
  <c r="AC13" i="34"/>
  <c r="AB46" i="33"/>
  <c r="U46" i="33"/>
  <c r="AC46" i="33"/>
  <c r="W46" i="33"/>
  <c r="AC27" i="33"/>
  <c r="W27" i="33"/>
  <c r="AC9" i="21"/>
  <c r="W9" i="21"/>
  <c r="E553" i="3"/>
  <c r="W25" i="37"/>
  <c r="AC25" i="37"/>
  <c r="AA38" i="37"/>
  <c r="S38" i="37"/>
  <c r="AB38" i="37"/>
  <c r="U38" i="37"/>
  <c r="S27" i="37"/>
  <c r="AA27" i="37"/>
  <c r="AC13" i="37"/>
  <c r="W13" i="37"/>
  <c r="AB13" i="37"/>
  <c r="U13" i="37"/>
  <c r="S44" i="33"/>
  <c r="AA44" i="33"/>
  <c r="U44" i="33"/>
  <c r="AB44" i="33"/>
  <c r="U45" i="21"/>
  <c r="AB45" i="21"/>
  <c r="AC45" i="21"/>
  <c r="W45" i="21"/>
  <c r="AB31" i="21"/>
  <c r="U31" i="21"/>
  <c r="S29" i="21"/>
  <c r="AA29" i="21"/>
  <c r="AC29" i="21"/>
  <c r="W29" i="21"/>
  <c r="W27" i="21"/>
  <c r="AC27" i="21"/>
  <c r="AA13" i="21"/>
  <c r="S13" i="21"/>
  <c r="AB13" i="21"/>
  <c r="U13" i="21"/>
  <c r="E572" i="3"/>
  <c r="AC32" i="36"/>
  <c r="W32" i="36"/>
  <c r="AA24" i="35"/>
  <c r="S24" i="35"/>
  <c r="S11" i="36"/>
  <c r="AA11" i="36"/>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D86" i="9"/>
  <c r="F71" i="9"/>
  <c r="F29" i="12"/>
  <c r="C29" i="12" s="1"/>
  <c r="G16" i="1"/>
  <c r="H12" i="39" s="1"/>
  <c r="AB12" i="39" s="1"/>
  <c r="I109" i="46"/>
  <c r="I106" i="46"/>
  <c r="B40" i="1"/>
  <c r="F20" i="43" s="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0" i="40"/>
  <c r="E65" i="39"/>
  <c r="E3" i="6"/>
  <c r="AY6" i="3"/>
  <c r="P6" i="1"/>
  <c r="E61" i="40"/>
  <c r="E66" i="39"/>
  <c r="M19" i="44"/>
  <c r="C19" i="46"/>
  <c r="F17" i="1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16" i="43"/>
  <c r="AE6" i="1"/>
  <c r="F33" i="12"/>
  <c r="E41" i="73" l="1"/>
  <c r="C41" i="73" s="1"/>
  <c r="C20" i="73"/>
  <c r="G20" i="46"/>
  <c r="E41" i="46" s="1"/>
  <c r="C41" i="46" s="1"/>
  <c r="C34" i="12"/>
  <c r="D33" i="12" s="1"/>
  <c r="C23" i="46"/>
  <c r="C21" i="46" s="1"/>
  <c r="S6" i="46"/>
  <c r="S4" i="46"/>
  <c r="S2" i="46"/>
  <c r="S5" i="46"/>
  <c r="S7" i="46"/>
  <c r="S3" i="46"/>
  <c r="D41" i="59"/>
  <c r="T41" i="59"/>
  <c r="D53" i="59"/>
  <c r="T53" i="59"/>
  <c r="D61" i="59"/>
  <c r="T61" i="59"/>
  <c r="E30" i="6"/>
  <c r="E31" i="6" s="1"/>
  <c r="K14" i="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J12" i="40"/>
  <c r="AC12" i="40" s="1"/>
  <c r="U12" i="39"/>
  <c r="J12" i="39"/>
  <c r="AC12" i="39" s="1"/>
  <c r="H12" i="40"/>
  <c r="U12" i="40" s="1"/>
  <c r="F12" i="39"/>
  <c r="S12" i="39" s="1"/>
  <c r="F12" i="40"/>
  <c r="S12" i="40" s="1"/>
  <c r="AB7" i="37"/>
  <c r="T42" i="37" s="1"/>
  <c r="G42" i="37" s="1"/>
  <c r="G47" i="37" s="1"/>
  <c r="H47" i="37" s="1"/>
  <c r="D20" i="43"/>
  <c r="E72" i="39"/>
  <c r="F70" i="39"/>
  <c r="F65" i="40"/>
  <c r="E67" i="40"/>
  <c r="C115" i="46"/>
  <c r="D113" i="46" s="1"/>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D44" i="9"/>
  <c r="D46" i="9"/>
  <c r="E6" i="6"/>
  <c r="L38" i="9"/>
  <c r="B14" i="66" s="1"/>
  <c r="B1" i="66" s="1"/>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F24" i="15"/>
  <c r="C24" i="15" s="1"/>
  <c r="F26" i="12"/>
  <c r="F26" i="44"/>
  <c r="C26" i="44" s="1"/>
  <c r="F41" i="15"/>
  <c r="D16" i="12"/>
  <c r="C15" i="12"/>
  <c r="T16" i="73" l="1"/>
  <c r="V16" i="73" s="1"/>
  <c r="T12" i="73"/>
  <c r="V12" i="73" s="1"/>
  <c r="T8" i="73"/>
  <c r="V8" i="73" s="1"/>
  <c r="T5" i="73"/>
  <c r="V5" i="73" s="1"/>
  <c r="T15" i="73"/>
  <c r="V15" i="73" s="1"/>
  <c r="T11" i="73"/>
  <c r="V11" i="73" s="1"/>
  <c r="T7" i="73"/>
  <c r="V7" i="73" s="1"/>
  <c r="T2" i="73"/>
  <c r="V2" i="73" s="1"/>
  <c r="C37" i="73"/>
  <c r="C33" i="73"/>
  <c r="C36" i="73"/>
  <c r="C29" i="73"/>
  <c r="T14" i="73"/>
  <c r="V14" i="73" s="1"/>
  <c r="T9" i="73"/>
  <c r="V9" i="73" s="1"/>
  <c r="T6" i="73"/>
  <c r="V6" i="73" s="1"/>
  <c r="T3" i="73"/>
  <c r="V3" i="73" s="1"/>
  <c r="T13" i="73"/>
  <c r="V13" i="73" s="1"/>
  <c r="T10" i="73"/>
  <c r="V10" i="73" s="1"/>
  <c r="T4" i="73"/>
  <c r="V4" i="73" s="1"/>
  <c r="C35" i="73"/>
  <c r="C34" i="73"/>
  <c r="C39" i="73"/>
  <c r="C38" i="73"/>
  <c r="F68" i="15"/>
  <c r="C20" i="46"/>
  <c r="T4" i="46" s="1"/>
  <c r="V4" i="46" s="1"/>
  <c r="C38" i="46"/>
  <c r="E38" i="46" s="1"/>
  <c r="C39" i="46"/>
  <c r="E39" i="46" s="1"/>
  <c r="W12" i="39"/>
  <c r="AA12" i="39"/>
  <c r="W12" i="40"/>
  <c r="AB12" i="40"/>
  <c r="S6" i="1"/>
  <c r="M19" i="6"/>
  <c r="K27" i="6"/>
  <c r="M14" i="1"/>
  <c r="K16" i="1"/>
  <c r="C11" i="11" s="1"/>
  <c r="C10" i="11" s="1"/>
  <c r="T33" i="59"/>
  <c r="D33" i="59"/>
  <c r="D14" i="59"/>
  <c r="C13" i="59"/>
  <c r="AA12" i="40"/>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6" i="66"/>
  <c r="C8" i="66"/>
  <c r="C22" i="4"/>
  <c r="D21" i="6"/>
  <c r="D10" i="6"/>
  <c r="H21" i="6"/>
  <c r="D6" i="6"/>
  <c r="D14" i="6"/>
  <c r="D20" i="6"/>
  <c r="H23" i="6"/>
  <c r="E68" i="39"/>
  <c r="D26" i="6"/>
  <c r="D22" i="6"/>
  <c r="D12" i="6"/>
  <c r="H25" i="6"/>
  <c r="D5" i="6"/>
  <c r="H22" i="6"/>
  <c r="H26" i="6"/>
  <c r="F46" i="9"/>
  <c r="E63" i="40"/>
  <c r="D25" i="6"/>
  <c r="H24" i="6"/>
  <c r="D28" i="6"/>
  <c r="K38" i="9"/>
  <c r="C14" i="66" s="1"/>
  <c r="B2" i="66" s="1"/>
  <c r="H20" i="6"/>
  <c r="D29" i="6"/>
  <c r="E44" i="9"/>
  <c r="D19" i="6"/>
  <c r="D13" i="6"/>
  <c r="D23" i="6"/>
  <c r="D8" i="6"/>
  <c r="F44" i="9"/>
  <c r="D24" i="6"/>
  <c r="R24" i="6" s="1"/>
  <c r="D11" i="6"/>
  <c r="D9" i="6"/>
  <c r="D15" i="6"/>
  <c r="E46" i="9"/>
  <c r="D13" i="11"/>
  <c r="C13" i="11" s="1"/>
  <c r="D19" i="12"/>
  <c r="C19" i="12" s="1"/>
  <c r="C16" i="12"/>
  <c r="C65" i="15"/>
  <c r="C59" i="15"/>
  <c r="C27" i="12"/>
  <c r="D26" i="12" s="1"/>
  <c r="C32" i="12" s="1"/>
  <c r="D30" i="12" s="1"/>
  <c r="J26" i="15"/>
  <c r="J29" i="15" s="1"/>
  <c r="J24" i="15"/>
  <c r="C38" i="15"/>
  <c r="Q58" i="44"/>
  <c r="Q67" i="44"/>
  <c r="Q49" i="44"/>
  <c r="Q55" i="44" s="1"/>
  <c r="F7" i="67"/>
  <c r="C17" i="15"/>
  <c r="C19" i="44"/>
  <c r="D22" i="12"/>
  <c r="G39" i="73" l="1"/>
  <c r="I39" i="73" s="1"/>
  <c r="E39" i="73"/>
  <c r="G35" i="73"/>
  <c r="I35" i="73" s="1"/>
  <c r="E35" i="73"/>
  <c r="E29" i="73"/>
  <c r="C30" i="73"/>
  <c r="E30" i="73" s="1"/>
  <c r="G33" i="73"/>
  <c r="I33" i="73" s="1"/>
  <c r="E33" i="73"/>
  <c r="G38" i="73"/>
  <c r="I38" i="73" s="1"/>
  <c r="E38" i="73"/>
  <c r="G34" i="73"/>
  <c r="I34" i="73" s="1"/>
  <c r="E34" i="73"/>
  <c r="G36" i="73"/>
  <c r="I36" i="73" s="1"/>
  <c r="E36" i="73"/>
  <c r="G37" i="73"/>
  <c r="I37" i="73" s="1"/>
  <c r="E37" i="73"/>
  <c r="T10" i="46"/>
  <c r="V10" i="46" s="1"/>
  <c r="T7" i="46"/>
  <c r="V7" i="46" s="1"/>
  <c r="G38" i="46"/>
  <c r="I38" i="46" s="1"/>
  <c r="C29" i="46"/>
  <c r="G39" i="46"/>
  <c r="I39" i="46" s="1"/>
  <c r="T14" i="46"/>
  <c r="V14" i="46" s="1"/>
  <c r="C33" i="46"/>
  <c r="E33" i="46" s="1"/>
  <c r="C36" i="46"/>
  <c r="T16" i="46"/>
  <c r="V16" i="46" s="1"/>
  <c r="C35" i="46"/>
  <c r="T5" i="46"/>
  <c r="V5" i="46" s="1"/>
  <c r="C37" i="46"/>
  <c r="T6" i="46"/>
  <c r="V6" i="46" s="1"/>
  <c r="T2" i="46"/>
  <c r="V2" i="46" s="1"/>
  <c r="C34" i="46"/>
  <c r="T8" i="46"/>
  <c r="V8" i="46" s="1"/>
  <c r="T13" i="46"/>
  <c r="V13" i="46" s="1"/>
  <c r="T15" i="46"/>
  <c r="V15" i="46" s="1"/>
  <c r="T3" i="46"/>
  <c r="V3" i="46" s="1"/>
  <c r="T9" i="46"/>
  <c r="V9" i="46" s="1"/>
  <c r="T11" i="46"/>
  <c r="V11" i="46" s="1"/>
  <c r="T12" i="46"/>
  <c r="V12" i="46" s="1"/>
  <c r="C22" i="12"/>
  <c r="C20" i="12" s="1"/>
  <c r="S16" i="1"/>
  <c r="T8" i="1" s="1"/>
  <c r="M16" i="1"/>
  <c r="O14" i="1"/>
  <c r="O16" i="1" s="1"/>
  <c r="T9" i="1"/>
  <c r="T11" i="1"/>
  <c r="T7" i="1"/>
  <c r="T12" i="1"/>
  <c r="T13" i="1"/>
  <c r="T10" i="1"/>
  <c r="T6" i="1"/>
  <c r="I19" i="6"/>
  <c r="M27" i="6"/>
  <c r="C12" i="59"/>
  <c r="T13" i="59"/>
  <c r="D13" i="59"/>
  <c r="F7" i="34"/>
  <c r="S7" i="34" s="1"/>
  <c r="H65" i="40"/>
  <c r="G67" i="40"/>
  <c r="H70" i="39"/>
  <c r="G72" i="39"/>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D16" i="6"/>
  <c r="D27" i="6"/>
  <c r="D30" i="6"/>
  <c r="R23" i="6"/>
  <c r="R25" i="6"/>
  <c r="R20" i="6"/>
  <c r="D6" i="66"/>
  <c r="D8" i="66"/>
  <c r="R26" i="6"/>
  <c r="A6" i="64"/>
  <c r="A20" i="64"/>
  <c r="A6" i="51"/>
  <c r="B7" i="63" s="1"/>
  <c r="A20" i="51"/>
  <c r="B15" i="63" s="1"/>
  <c r="N5" i="54"/>
  <c r="B43" i="63" s="1"/>
  <c r="R22" i="6"/>
  <c r="R21" i="6"/>
  <c r="E4" i="67"/>
  <c r="D77" i="9"/>
  <c r="N75" i="9" s="1"/>
  <c r="E7" i="67"/>
  <c r="C16" i="44"/>
  <c r="B7" i="67"/>
  <c r="C14" i="15"/>
  <c r="C26" i="73" l="1"/>
  <c r="B2" i="73" s="1"/>
  <c r="D4" i="73" s="1"/>
  <c r="C27" i="73"/>
  <c r="B4" i="73"/>
  <c r="C30" i="46"/>
  <c r="E30" i="46" s="1"/>
  <c r="E29" i="46"/>
  <c r="G33" i="46"/>
  <c r="I33" i="46" s="1"/>
  <c r="G36" i="46"/>
  <c r="I36" i="46" s="1"/>
  <c r="E36" i="46"/>
  <c r="G35" i="46"/>
  <c r="I35" i="46" s="1"/>
  <c r="E35" i="46"/>
  <c r="G37" i="46"/>
  <c r="I37" i="46" s="1"/>
  <c r="E37" i="46"/>
  <c r="E34" i="46"/>
  <c r="G34" i="46"/>
  <c r="I34" i="46" s="1"/>
  <c r="C15" i="15"/>
  <c r="C18" i="15"/>
  <c r="C20" i="44"/>
  <c r="C17" i="44"/>
  <c r="S19" i="6"/>
  <c r="S27" i="6" s="1"/>
  <c r="I27" i="6"/>
  <c r="H19" i="6"/>
  <c r="P14" i="1"/>
  <c r="P16" i="1" s="1"/>
  <c r="L16" i="1"/>
  <c r="N16" i="1"/>
  <c r="T16" i="1"/>
  <c r="C11" i="59"/>
  <c r="D12" i="59"/>
  <c r="AB7" i="34"/>
  <c r="T49" i="34" s="1"/>
  <c r="G49" i="34" s="1"/>
  <c r="I70" i="39"/>
  <c r="H72" i="39"/>
  <c r="H67" i="40"/>
  <c r="I65" i="40"/>
  <c r="G52" i="33"/>
  <c r="H52" i="33" s="1"/>
  <c r="G53" i="33"/>
  <c r="H53" i="33" s="1"/>
  <c r="R50" i="34"/>
  <c r="E49" i="34"/>
  <c r="R49" i="33"/>
  <c r="E48" i="33"/>
  <c r="R49" i="21"/>
  <c r="E48" i="21"/>
  <c r="W7" i="34"/>
  <c r="AC7" i="34"/>
  <c r="V49" i="34" s="1"/>
  <c r="I49" i="34" s="1"/>
  <c r="G53" i="34"/>
  <c r="H53" i="34" s="1"/>
  <c r="D31" i="6"/>
  <c r="E3" i="67"/>
  <c r="B2" i="67"/>
  <c r="C13" i="12"/>
  <c r="F35" i="15"/>
  <c r="M23" i="44"/>
  <c r="F22" i="43"/>
  <c r="F37" i="44"/>
  <c r="C13" i="43"/>
  <c r="M21" i="15"/>
  <c r="B3" i="73" l="1"/>
  <c r="C26" i="46"/>
  <c r="B2" i="46" s="1"/>
  <c r="C27" i="46"/>
  <c r="D4" i="46"/>
  <c r="C19" i="15"/>
  <c r="C20" i="15" s="1"/>
  <c r="C26" i="15" s="1"/>
  <c r="C21" i="44"/>
  <c r="C22" i="44" s="1"/>
  <c r="C28" i="44" s="1"/>
  <c r="C17" i="12"/>
  <c r="C14" i="12"/>
  <c r="C17" i="43"/>
  <c r="C14" i="43"/>
  <c r="R19" i="6"/>
  <c r="H27" i="6"/>
  <c r="D11" i="59"/>
  <c r="C10" i="59"/>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9"/>
  <c r="L43" i="9" l="1"/>
  <c r="B4" i="46"/>
  <c r="B3" i="46"/>
  <c r="R27" i="6"/>
  <c r="R6" i="1"/>
  <c r="R16" i="1" s="1"/>
  <c r="C23" i="15"/>
  <c r="C29" i="15" s="1"/>
  <c r="C18" i="43"/>
  <c r="C18" i="12"/>
  <c r="C23" i="12" s="1"/>
  <c r="C19" i="43"/>
  <c r="C21" i="43" s="1"/>
  <c r="C25" i="44"/>
  <c r="C31" i="44" s="1"/>
  <c r="C9" i="59"/>
  <c r="D10" i="59"/>
  <c r="K70" i="39"/>
  <c r="J72" i="39"/>
  <c r="K65" i="40"/>
  <c r="J67" i="40"/>
  <c r="C20" i="9"/>
  <c r="C21" i="9"/>
  <c r="Q50" i="15" l="1"/>
  <c r="C13" i="15"/>
  <c r="C37" i="15" s="1"/>
  <c r="J59" i="15"/>
  <c r="J60" i="15" s="1"/>
  <c r="Q49" i="15" s="1"/>
  <c r="J14" i="15"/>
  <c r="J22" i="15" s="1"/>
  <c r="C36" i="15"/>
  <c r="C33" i="15"/>
  <c r="C31" i="15" s="1"/>
  <c r="C56" i="15"/>
  <c r="C63" i="15" s="1"/>
  <c r="J19" i="15"/>
  <c r="J17" i="15" s="1"/>
  <c r="C35" i="12"/>
  <c r="C33" i="12" s="1"/>
  <c r="C28" i="12"/>
  <c r="C26" i="12" s="1"/>
  <c r="C31" i="12" s="1"/>
  <c r="C30" i="12" s="1"/>
  <c r="C20" i="43"/>
  <c r="C23" i="43" s="1"/>
  <c r="C15" i="44"/>
  <c r="Q51" i="44"/>
  <c r="C35" i="44"/>
  <c r="C33" i="44" s="1"/>
  <c r="C38" i="44"/>
  <c r="J16" i="44"/>
  <c r="J21" i="44"/>
  <c r="J19" i="44" s="1"/>
  <c r="C8" i="59"/>
  <c r="T9" i="59"/>
  <c r="D9" i="59"/>
  <c r="K67" i="40"/>
  <c r="L65" i="40"/>
  <c r="K72" i="39"/>
  <c r="L70" i="39"/>
  <c r="C60" i="15"/>
  <c r="C58" i="15" s="1"/>
  <c r="Q71" i="15" l="1"/>
  <c r="C36" i="12"/>
  <c r="B2" i="12" s="1"/>
  <c r="C30" i="15"/>
  <c r="C39" i="15" s="1"/>
  <c r="C40" i="15" s="1"/>
  <c r="Q57" i="15" s="1"/>
  <c r="J13" i="15"/>
  <c r="J23" i="15" s="1"/>
  <c r="J16" i="15" s="1"/>
  <c r="J25" i="15" s="1"/>
  <c r="J35" i="15"/>
  <c r="J39" i="15" s="1"/>
  <c r="J40" i="15" s="1"/>
  <c r="C55" i="15"/>
  <c r="C64" i="15" s="1"/>
  <c r="C57" i="15" s="1"/>
  <c r="C66" i="15" s="1"/>
  <c r="C67" i="15" s="1"/>
  <c r="C70" i="15" s="1"/>
  <c r="J24" i="44"/>
  <c r="J15" i="44"/>
  <c r="J25" i="44" s="1"/>
  <c r="Q72" i="44"/>
  <c r="C39" i="44"/>
  <c r="C32" i="44" s="1"/>
  <c r="C42" i="44" s="1"/>
  <c r="C43" i="44"/>
  <c r="D8" i="59"/>
  <c r="C7" i="59"/>
  <c r="L67" i="40"/>
  <c r="M65" i="40"/>
  <c r="M70" i="39"/>
  <c r="L72" i="39"/>
  <c r="B5" i="12"/>
  <c r="L51" i="15"/>
  <c r="L57" i="15" l="1"/>
  <c r="L60" i="15" s="1"/>
  <c r="Q58" i="15" s="1"/>
  <c r="Q63" i="15" s="1"/>
  <c r="Q68" i="15"/>
  <c r="Q70" i="15"/>
  <c r="Q69" i="15" s="1"/>
  <c r="J18" i="44"/>
  <c r="J27" i="44" s="1"/>
  <c r="C44" i="44"/>
  <c r="C45" i="44" s="1"/>
  <c r="Q71" i="44"/>
  <c r="Q70" i="44" s="1"/>
  <c r="D7" i="59"/>
  <c r="C6" i="59"/>
  <c r="C5" i="59" s="1"/>
  <c r="D5" i="59" s="1"/>
  <c r="Q66" i="15"/>
  <c r="Q48" i="15"/>
  <c r="Q54" i="15" s="1"/>
  <c r="C43" i="15"/>
  <c r="J42" i="15"/>
  <c r="J43" i="15" s="1"/>
  <c r="M72" i="39"/>
  <c r="N70" i="39"/>
  <c r="N72" i="39" s="1"/>
  <c r="J9" i="39" s="1"/>
  <c r="H9" i="39"/>
  <c r="N65" i="40"/>
  <c r="N67" i="40" s="1"/>
  <c r="M67" i="40"/>
  <c r="H9" i="40" s="1"/>
  <c r="C46" i="15"/>
  <c r="B3" i="12"/>
  <c r="B4" i="12"/>
  <c r="Q67" i="15" l="1"/>
  <c r="Q76" i="15" s="1"/>
  <c r="L46" i="15"/>
  <c r="B2" i="15" s="1"/>
  <c r="F9" i="39"/>
  <c r="L52" i="44"/>
  <c r="B2" i="44"/>
  <c r="D6" i="59"/>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B3" i="15" l="1"/>
  <c r="C10" i="43"/>
  <c r="C6" i="43" s="1"/>
  <c r="B3" i="44"/>
  <c r="B4" i="44"/>
  <c r="B5" i="44"/>
  <c r="L58" i="44"/>
  <c r="L61" i="44" s="1"/>
  <c r="Q69" i="44"/>
  <c r="W9" i="40"/>
  <c r="E49" i="39"/>
  <c r="R50" i="39"/>
  <c r="I53" i="39"/>
  <c r="J53" i="39" s="1"/>
  <c r="G53" i="39"/>
  <c r="H53" i="39" s="1"/>
  <c r="G54" i="39"/>
  <c r="H54" i="39" s="1"/>
  <c r="AA9" i="40"/>
  <c r="R44" i="40" s="1"/>
  <c r="S9" i="40"/>
  <c r="G49" i="40"/>
  <c r="H49" i="40" s="1"/>
  <c r="I48" i="40"/>
  <c r="J48" i="40" s="1"/>
  <c r="C25" i="43" l="1"/>
  <c r="C24" i="43"/>
  <c r="Q59" i="44"/>
  <c r="Q64" i="44" s="1"/>
  <c r="Q68" i="44"/>
  <c r="Q77" i="44" s="1"/>
  <c r="R45" i="40"/>
  <c r="E44" i="40"/>
  <c r="E54" i="39"/>
  <c r="F54" i="39" s="1"/>
  <c r="E53" i="39"/>
  <c r="F53" i="39" s="1"/>
  <c r="I54" i="39"/>
  <c r="J54" i="39" s="1"/>
  <c r="C49" i="39"/>
  <c r="C50" i="39"/>
  <c r="C27" i="43" l="1"/>
  <c r="B2" i="43"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8" i="11" s="1"/>
  <c r="C8" i="11" s="1"/>
  <c r="C7" i="11" s="1"/>
  <c r="E49" i="40"/>
  <c r="F49" i="40" s="1"/>
  <c r="E48" i="40"/>
  <c r="F48" i="40" s="1"/>
  <c r="I49" i="40"/>
  <c r="J49" i="40" s="1"/>
  <c r="D19" i="9"/>
  <c r="B3" i="43"/>
  <c r="C18" i="11" l="1"/>
  <c r="C17" i="11"/>
  <c r="L44" i="9"/>
  <c r="D22" i="9"/>
  <c r="G19" i="9"/>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4" i="43"/>
  <c r="B5" i="43"/>
  <c r="D20" i="9"/>
  <c r="B2" i="72" l="1"/>
  <c r="G20" i="9"/>
  <c r="C19" i="11"/>
  <c r="C20" i="11" s="1"/>
  <c r="C21" i="11" s="1"/>
  <c r="C22" i="11" s="1"/>
  <c r="C23" i="11" s="1"/>
  <c r="B2" i="11" s="1"/>
  <c r="B4" i="11" s="1"/>
  <c r="C4" i="72" s="1"/>
  <c r="N43" i="9"/>
  <c r="C32" i="9"/>
  <c r="G22" i="9"/>
  <c r="B3" i="40"/>
  <c r="B5" i="40"/>
  <c r="B4" i="40"/>
  <c r="D21" i="9"/>
  <c r="G21" i="9" l="1"/>
  <c r="B5" i="11"/>
  <c r="B3" i="11"/>
  <c r="C45" i="9"/>
  <c r="C33" i="9"/>
  <c r="O43" i="9"/>
  <c r="C35" i="9"/>
  <c r="F42" i="9" s="1"/>
  <c r="O38" i="9"/>
  <c r="C34" i="9"/>
  <c r="C42" i="9"/>
  <c r="M38" i="9" l="1"/>
  <c r="K27" i="9" s="1"/>
  <c r="E42" i="9"/>
  <c r="P5" i="54" s="1"/>
  <c r="B46" i="63" s="1"/>
  <c r="N38" i="9"/>
  <c r="K28" i="9" s="1"/>
  <c r="D42" i="9"/>
  <c r="Q5" i="54" s="1"/>
  <c r="B47" i="63" s="1"/>
  <c r="N68" i="9"/>
  <c r="D14" i="66"/>
  <c r="D63" i="9"/>
  <c r="R5" i="54"/>
  <c r="B48" i="63" s="1"/>
  <c r="K25" i="9"/>
  <c r="K26" i="9"/>
  <c r="D45" i="9"/>
  <c r="O40" i="9"/>
  <c r="E45" i="9"/>
  <c r="F45" i="9"/>
  <c r="H14" i="66"/>
  <c r="B7" i="66" s="1"/>
  <c r="R7" i="54" l="1"/>
  <c r="B52" i="63" s="1"/>
  <c r="K31" i="9"/>
  <c r="K32" i="9" s="1"/>
  <c r="B5" i="66"/>
  <c r="F14" i="66"/>
  <c r="E14" i="66"/>
  <c r="D7" i="66"/>
  <c r="C7" i="66"/>
  <c r="C82" i="9"/>
  <c r="C81" i="9" s="1"/>
  <c r="C85" i="9" s="1"/>
  <c r="C86" i="9" s="1"/>
  <c r="D72" i="9" s="1"/>
  <c r="C96" i="9"/>
  <c r="C91" i="9" s="1"/>
  <c r="C111" i="9"/>
  <c r="C104" i="9" s="1"/>
  <c r="D73" i="9"/>
  <c r="N73" i="9" s="1"/>
  <c r="D71" i="9"/>
  <c r="D66" i="9" s="1"/>
  <c r="N72" i="9" s="1"/>
  <c r="C90" i="9"/>
  <c r="D70" i="9"/>
  <c r="C103" i="9"/>
  <c r="C97" i="9" l="1"/>
  <c r="C113" i="9"/>
  <c r="C114" i="9" s="1"/>
  <c r="E114" i="9" s="1"/>
  <c r="E115" i="9" s="1"/>
  <c r="C98" i="9"/>
  <c r="E98" i="9" s="1"/>
  <c r="E99" i="9" s="1"/>
  <c r="D5" i="66"/>
  <c r="C5" i="66"/>
  <c r="C115" i="9" l="1"/>
  <c r="D76" i="9" s="1"/>
  <c r="D74" i="9" s="1"/>
  <c r="N74" i="9" s="1"/>
  <c r="O77" i="9" s="1"/>
  <c r="Q77" i="9" s="1"/>
  <c r="C99" i="9"/>
  <c r="O79" i="9" l="1"/>
  <c r="O81" i="9" s="1"/>
  <c r="O78" i="9"/>
  <c r="O80" i="9" l="1"/>
  <c r="A5" i="72" l="1"/>
  <c r="B5" i="72" l="1"/>
  <c r="C2" i="72"/>
  <c r="D2" i="72" s="1"/>
  <c r="F3" i="72" s="1"/>
  <c r="D9" i="72" l="1"/>
  <c r="D16" i="72" s="1"/>
  <c r="E5" i="72"/>
  <c r="G3" i="72" l="1"/>
  <c r="D17" i="72"/>
  <c r="D18" i="72" s="1"/>
  <c r="D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9CACC152-DDD0-42EF-9688-22FF981D0036}">
      <text>
        <r>
          <rPr>
            <b/>
            <sz val="9"/>
            <color indexed="81"/>
            <rFont val="宋体"/>
            <family val="3"/>
            <charset val="134"/>
          </rPr>
          <t>对应区片地价表</t>
        </r>
        <r>
          <rPr>
            <sz val="9"/>
            <color indexed="81"/>
            <rFont val="宋体"/>
            <family val="3"/>
            <charset val="134"/>
          </rPr>
          <t xml:space="preserve">
</t>
        </r>
      </text>
    </comment>
    <comment ref="Y9" authorId="1" shapeId="0" xr:uid="{658542B7-9177-4598-8B22-5AA6A3262DE6}">
      <text>
        <r>
          <rPr>
            <sz val="11"/>
            <color indexed="81"/>
            <rFont val="宋体"/>
            <family val="3"/>
            <charset val="134"/>
          </rPr>
          <t xml:space="preserve">录入层数，将对应的结果录入至左侧相应层的楼层修正系数单元格中
</t>
        </r>
      </text>
    </comment>
    <comment ref="Z9" authorId="0" shapeId="0" xr:uid="{B0FC62CE-305A-4AD5-A4C1-E4271E32B7B6}">
      <text>
        <r>
          <rPr>
            <b/>
            <sz val="9"/>
            <color indexed="81"/>
            <rFont val="宋体"/>
            <family val="3"/>
            <charset val="134"/>
          </rPr>
          <t xml:space="preserve">所在楼层
</t>
        </r>
        <r>
          <rPr>
            <sz val="9"/>
            <color indexed="81"/>
            <rFont val="宋体"/>
            <family val="3"/>
            <charset val="134"/>
          </rPr>
          <t xml:space="preserve">
</t>
        </r>
      </text>
    </comment>
    <comment ref="AA9" authorId="0" shapeId="0" xr:uid="{5A62F4E6-07AC-4F7A-AECD-EAF0F75A5E2C}">
      <text>
        <r>
          <rPr>
            <b/>
            <sz val="9"/>
            <color indexed="81"/>
            <rFont val="宋体"/>
            <family val="3"/>
            <charset val="134"/>
          </rPr>
          <t xml:space="preserve">所在楼层
</t>
        </r>
        <r>
          <rPr>
            <sz val="9"/>
            <color indexed="81"/>
            <rFont val="宋体"/>
            <family val="3"/>
            <charset val="134"/>
          </rPr>
          <t xml:space="preserve">
</t>
        </r>
      </text>
    </comment>
    <comment ref="AB9" authorId="0" shapeId="0" xr:uid="{3ECB5E05-1D44-413F-9B58-43C69D4868D3}">
      <text>
        <r>
          <rPr>
            <b/>
            <sz val="9"/>
            <color indexed="81"/>
            <rFont val="宋体"/>
            <family val="3"/>
            <charset val="134"/>
          </rPr>
          <t xml:space="preserve">所在楼层
</t>
        </r>
        <r>
          <rPr>
            <sz val="9"/>
            <color indexed="81"/>
            <rFont val="宋体"/>
            <family val="3"/>
            <charset val="134"/>
          </rPr>
          <t xml:space="preserve">
</t>
        </r>
      </text>
    </comment>
    <comment ref="AC9" authorId="0" shapeId="0" xr:uid="{B5FCFE40-44B2-4862-A259-1890AB63D901}">
      <text>
        <r>
          <rPr>
            <b/>
            <sz val="9"/>
            <color indexed="81"/>
            <rFont val="宋体"/>
            <family val="3"/>
            <charset val="134"/>
          </rPr>
          <t xml:space="preserve">所在楼层
</t>
        </r>
        <r>
          <rPr>
            <sz val="9"/>
            <color indexed="81"/>
            <rFont val="宋体"/>
            <family val="3"/>
            <charset val="134"/>
          </rPr>
          <t xml:space="preserve">
</t>
        </r>
      </text>
    </comment>
    <comment ref="AD9" authorId="0" shapeId="0" xr:uid="{6DD98C64-5B06-4232-9AEC-B179993ABD00}">
      <text>
        <r>
          <rPr>
            <b/>
            <sz val="9"/>
            <color indexed="81"/>
            <rFont val="宋体"/>
            <family val="3"/>
            <charset val="134"/>
          </rPr>
          <t xml:space="preserve">所在楼层
</t>
        </r>
        <r>
          <rPr>
            <sz val="9"/>
            <color indexed="81"/>
            <rFont val="宋体"/>
            <family val="3"/>
            <charset val="134"/>
          </rPr>
          <t xml:space="preserve">
</t>
        </r>
      </text>
    </comment>
    <comment ref="AE9" authorId="0" shapeId="0" xr:uid="{8574F00A-5556-4C21-81D8-A3671BDE4D28}">
      <text>
        <r>
          <rPr>
            <b/>
            <sz val="9"/>
            <color indexed="81"/>
            <rFont val="宋体"/>
            <family val="3"/>
            <charset val="134"/>
          </rPr>
          <t xml:space="preserve">所在楼层
</t>
        </r>
        <r>
          <rPr>
            <sz val="9"/>
            <color indexed="81"/>
            <rFont val="宋体"/>
            <family val="3"/>
            <charset val="134"/>
          </rPr>
          <t xml:space="preserve">
</t>
        </r>
      </text>
    </comment>
    <comment ref="AF9" authorId="0" shapeId="0" xr:uid="{07317BA4-234C-4DF2-9B03-408B2B5F3E75}">
      <text>
        <r>
          <rPr>
            <b/>
            <sz val="9"/>
            <color indexed="81"/>
            <rFont val="宋体"/>
            <family val="3"/>
            <charset val="134"/>
          </rPr>
          <t xml:space="preserve">所在楼层
</t>
        </r>
        <r>
          <rPr>
            <sz val="9"/>
            <color indexed="81"/>
            <rFont val="宋体"/>
            <family val="3"/>
            <charset val="134"/>
          </rPr>
          <t xml:space="preserve">
</t>
        </r>
      </text>
    </comment>
    <comment ref="AG9" authorId="0" shapeId="0" xr:uid="{A4F611E1-276B-4976-92BB-D0AD4E206630}">
      <text>
        <r>
          <rPr>
            <b/>
            <sz val="9"/>
            <color indexed="81"/>
            <rFont val="宋体"/>
            <family val="3"/>
            <charset val="134"/>
          </rPr>
          <t xml:space="preserve">所在楼层
</t>
        </r>
        <r>
          <rPr>
            <sz val="9"/>
            <color indexed="81"/>
            <rFont val="宋体"/>
            <family val="3"/>
            <charset val="134"/>
          </rPr>
          <t xml:space="preserve">
</t>
        </r>
      </text>
    </comment>
    <comment ref="AH9" authorId="0" shapeId="0" xr:uid="{D2F3A2E6-1BC7-4139-A546-648ED59501A5}">
      <text>
        <r>
          <rPr>
            <b/>
            <sz val="9"/>
            <color indexed="81"/>
            <rFont val="宋体"/>
            <family val="3"/>
            <charset val="134"/>
          </rPr>
          <t xml:space="preserve">所在楼层
</t>
        </r>
        <r>
          <rPr>
            <sz val="9"/>
            <color indexed="81"/>
            <rFont val="宋体"/>
            <family val="3"/>
            <charset val="134"/>
          </rPr>
          <t xml:space="preserve">
</t>
        </r>
      </text>
    </comment>
    <comment ref="AI9" authorId="0" shapeId="0" xr:uid="{5ADFC774-1603-4501-BDC8-A16877453D86}">
      <text>
        <r>
          <rPr>
            <b/>
            <sz val="9"/>
            <color indexed="81"/>
            <rFont val="宋体"/>
            <family val="3"/>
            <charset val="134"/>
          </rPr>
          <t xml:space="preserve">所在楼层
</t>
        </r>
        <r>
          <rPr>
            <sz val="9"/>
            <color indexed="81"/>
            <rFont val="宋体"/>
            <family val="3"/>
            <charset val="134"/>
          </rPr>
          <t xml:space="preserve">
</t>
        </r>
      </text>
    </comment>
    <comment ref="AJ9" authorId="0" shapeId="0" xr:uid="{4FFEFE46-9988-4DB7-83DC-AA3C212999A2}">
      <text>
        <r>
          <rPr>
            <b/>
            <sz val="9"/>
            <color indexed="81"/>
            <rFont val="宋体"/>
            <family val="3"/>
            <charset val="134"/>
          </rPr>
          <t xml:space="preserve">所在楼层
</t>
        </r>
        <r>
          <rPr>
            <sz val="9"/>
            <color indexed="81"/>
            <rFont val="宋体"/>
            <family val="3"/>
            <charset val="134"/>
          </rPr>
          <t xml:space="preserve">
</t>
        </r>
      </text>
    </comment>
    <comment ref="Y12" authorId="0" shapeId="0" xr:uid="{663C999B-52A3-499B-BEB2-DD13187DE56C}">
      <text>
        <r>
          <rPr>
            <b/>
            <sz val="9"/>
            <color indexed="81"/>
            <rFont val="宋体"/>
            <family val="3"/>
            <charset val="134"/>
          </rPr>
          <t xml:space="preserve">所在楼层
</t>
        </r>
        <r>
          <rPr>
            <sz val="9"/>
            <color indexed="81"/>
            <rFont val="宋体"/>
            <family val="3"/>
            <charset val="134"/>
          </rPr>
          <t xml:space="preserve">
</t>
        </r>
      </text>
    </comment>
    <comment ref="Z12" authorId="0" shapeId="0" xr:uid="{DA565DC6-6A48-47B2-964F-440935BF848B}">
      <text>
        <r>
          <rPr>
            <b/>
            <sz val="9"/>
            <color indexed="81"/>
            <rFont val="宋体"/>
            <family val="3"/>
            <charset val="134"/>
          </rPr>
          <t xml:space="preserve">所在楼层
</t>
        </r>
        <r>
          <rPr>
            <sz val="9"/>
            <color indexed="81"/>
            <rFont val="宋体"/>
            <family val="3"/>
            <charset val="134"/>
          </rPr>
          <t xml:space="preserve">
</t>
        </r>
      </text>
    </comment>
    <comment ref="AA12" authorId="0" shapeId="0" xr:uid="{B78809C0-9516-48D7-9B01-5708EC8982B9}">
      <text>
        <r>
          <rPr>
            <b/>
            <sz val="9"/>
            <color indexed="81"/>
            <rFont val="宋体"/>
            <family val="3"/>
            <charset val="134"/>
          </rPr>
          <t xml:space="preserve">所在楼层
</t>
        </r>
        <r>
          <rPr>
            <sz val="9"/>
            <color indexed="81"/>
            <rFont val="宋体"/>
            <family val="3"/>
            <charset val="134"/>
          </rPr>
          <t xml:space="preserve">
</t>
        </r>
      </text>
    </comment>
    <comment ref="AB12" authorId="0" shapeId="0" xr:uid="{EB1B6872-B69C-42B3-A111-CDB95C49DCBB}">
      <text>
        <r>
          <rPr>
            <b/>
            <sz val="9"/>
            <color indexed="81"/>
            <rFont val="宋体"/>
            <family val="3"/>
            <charset val="134"/>
          </rPr>
          <t xml:space="preserve">所在楼层
</t>
        </r>
        <r>
          <rPr>
            <sz val="9"/>
            <color indexed="81"/>
            <rFont val="宋体"/>
            <family val="3"/>
            <charset val="134"/>
          </rPr>
          <t xml:space="preserve">
</t>
        </r>
      </text>
    </comment>
    <comment ref="AC12" authorId="0" shapeId="0" xr:uid="{3C2A56D2-71F1-432D-8A70-90419434038A}">
      <text>
        <r>
          <rPr>
            <b/>
            <sz val="9"/>
            <color indexed="81"/>
            <rFont val="宋体"/>
            <family val="3"/>
            <charset val="134"/>
          </rPr>
          <t xml:space="preserve">所在楼层
</t>
        </r>
        <r>
          <rPr>
            <sz val="9"/>
            <color indexed="81"/>
            <rFont val="宋体"/>
            <family val="3"/>
            <charset val="134"/>
          </rPr>
          <t xml:space="preserve">
</t>
        </r>
      </text>
    </comment>
    <comment ref="AD12" authorId="0" shapeId="0" xr:uid="{B71610F0-7156-4FD5-A836-4063D9D4D317}">
      <text>
        <r>
          <rPr>
            <b/>
            <sz val="9"/>
            <color indexed="81"/>
            <rFont val="宋体"/>
            <family val="3"/>
            <charset val="134"/>
          </rPr>
          <t xml:space="preserve">所在楼层
</t>
        </r>
        <r>
          <rPr>
            <sz val="9"/>
            <color indexed="81"/>
            <rFont val="宋体"/>
            <family val="3"/>
            <charset val="134"/>
          </rPr>
          <t xml:space="preserve">
</t>
        </r>
      </text>
    </comment>
    <comment ref="AE12" authorId="0" shapeId="0" xr:uid="{0384827B-1884-4CCC-BB0B-01A43E936F49}">
      <text>
        <r>
          <rPr>
            <b/>
            <sz val="9"/>
            <color indexed="81"/>
            <rFont val="宋体"/>
            <family val="3"/>
            <charset val="134"/>
          </rPr>
          <t xml:space="preserve">所在楼层
</t>
        </r>
        <r>
          <rPr>
            <sz val="9"/>
            <color indexed="81"/>
            <rFont val="宋体"/>
            <family val="3"/>
            <charset val="134"/>
          </rPr>
          <t xml:space="preserve">
</t>
        </r>
      </text>
    </comment>
    <comment ref="AF12" authorId="0" shapeId="0" xr:uid="{9343C2F8-965C-41E9-964E-71913C962771}">
      <text>
        <r>
          <rPr>
            <b/>
            <sz val="9"/>
            <color indexed="81"/>
            <rFont val="宋体"/>
            <family val="3"/>
            <charset val="134"/>
          </rPr>
          <t xml:space="preserve">所在楼层
</t>
        </r>
        <r>
          <rPr>
            <sz val="9"/>
            <color indexed="81"/>
            <rFont val="宋体"/>
            <family val="3"/>
            <charset val="134"/>
          </rPr>
          <t xml:space="preserve">
</t>
        </r>
      </text>
    </comment>
    <comment ref="AG12" authorId="0" shapeId="0" xr:uid="{2DBF0760-D023-46ED-A160-585BF1D9A4C6}">
      <text>
        <r>
          <rPr>
            <b/>
            <sz val="9"/>
            <color indexed="81"/>
            <rFont val="宋体"/>
            <family val="3"/>
            <charset val="134"/>
          </rPr>
          <t xml:space="preserve">所在楼层
</t>
        </r>
        <r>
          <rPr>
            <sz val="9"/>
            <color indexed="81"/>
            <rFont val="宋体"/>
            <family val="3"/>
            <charset val="134"/>
          </rPr>
          <t xml:space="preserve">
</t>
        </r>
      </text>
    </comment>
    <comment ref="AH12" authorId="0" shapeId="0" xr:uid="{0B94505E-29F8-4EA2-A8ED-D74DCFFCB7BA}">
      <text>
        <r>
          <rPr>
            <b/>
            <sz val="9"/>
            <color indexed="81"/>
            <rFont val="宋体"/>
            <family val="3"/>
            <charset val="134"/>
          </rPr>
          <t xml:space="preserve">所在楼层
</t>
        </r>
        <r>
          <rPr>
            <sz val="9"/>
            <color indexed="81"/>
            <rFont val="宋体"/>
            <family val="3"/>
            <charset val="134"/>
          </rPr>
          <t xml:space="preserve">
</t>
        </r>
      </text>
    </comment>
    <comment ref="AI12" authorId="0" shapeId="0" xr:uid="{F37C4B29-D548-4883-8D4B-5C6657C582C5}">
      <text>
        <r>
          <rPr>
            <b/>
            <sz val="9"/>
            <color indexed="81"/>
            <rFont val="宋体"/>
            <family val="3"/>
            <charset val="134"/>
          </rPr>
          <t xml:space="preserve">所在楼层
</t>
        </r>
        <r>
          <rPr>
            <sz val="9"/>
            <color indexed="81"/>
            <rFont val="宋体"/>
            <family val="3"/>
            <charset val="134"/>
          </rPr>
          <t xml:space="preserve">
</t>
        </r>
      </text>
    </comment>
    <comment ref="AJ12" authorId="0" shapeId="0" xr:uid="{18DFB9D7-8712-444E-B0EF-0A4E97D6DA83}">
      <text>
        <r>
          <rPr>
            <b/>
            <sz val="9"/>
            <color indexed="81"/>
            <rFont val="宋体"/>
            <family val="3"/>
            <charset val="134"/>
          </rPr>
          <t xml:space="preserve">所在楼层
</t>
        </r>
        <r>
          <rPr>
            <sz val="9"/>
            <color indexed="81"/>
            <rFont val="宋体"/>
            <family val="3"/>
            <charset val="134"/>
          </rPr>
          <t xml:space="preserve">
</t>
        </r>
      </text>
    </comment>
    <comment ref="D17" authorId="2" shapeId="0" xr:uid="{975942E5-8EEC-40F6-9D38-44D83F5C285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1C54E425-CBED-40EC-A3D0-54C8EE057EED}">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2024ECEB-EF09-4A88-87E9-CF72575E5543}">
      <text>
        <r>
          <rPr>
            <sz val="10"/>
            <color indexed="81"/>
            <rFont val="宋体"/>
            <family val="3"/>
            <charset val="134"/>
          </rPr>
          <t xml:space="preserve">需在此处填写剩余土地年限
</t>
        </r>
      </text>
    </comment>
    <comment ref="C99" authorId="0" shapeId="0" xr:uid="{845B38EC-CCC6-4951-8559-CEA39D3C78F4}">
      <text>
        <r>
          <rPr>
            <b/>
            <sz val="9"/>
            <color indexed="81"/>
            <rFont val="宋体"/>
            <family val="3"/>
            <charset val="134"/>
          </rPr>
          <t xml:space="preserve">所在楼层
</t>
        </r>
        <r>
          <rPr>
            <sz val="9"/>
            <color indexed="81"/>
            <rFont val="宋体"/>
            <family val="3"/>
            <charset val="134"/>
          </rPr>
          <t xml:space="preserve">
</t>
        </r>
      </text>
    </comment>
    <comment ref="D99" authorId="0" shapeId="0" xr:uid="{5A9DA1CB-1E19-4FC2-8C73-2A7FCF6F22D5}">
      <text>
        <r>
          <rPr>
            <b/>
            <sz val="9"/>
            <color indexed="81"/>
            <rFont val="宋体"/>
            <family val="3"/>
            <charset val="134"/>
          </rPr>
          <t xml:space="preserve">所在楼层
</t>
        </r>
        <r>
          <rPr>
            <sz val="9"/>
            <color indexed="81"/>
            <rFont val="宋体"/>
            <family val="3"/>
            <charset val="134"/>
          </rPr>
          <t xml:space="preserve">
</t>
        </r>
      </text>
    </comment>
    <comment ref="E99" authorId="0" shapeId="0" xr:uid="{94439DF4-EEE0-4D0E-82C8-224B418D8091}">
      <text>
        <r>
          <rPr>
            <b/>
            <sz val="9"/>
            <color indexed="81"/>
            <rFont val="宋体"/>
            <family val="3"/>
            <charset val="134"/>
          </rPr>
          <t xml:space="preserve">所在楼层
</t>
        </r>
        <r>
          <rPr>
            <sz val="9"/>
            <color indexed="81"/>
            <rFont val="宋体"/>
            <family val="3"/>
            <charset val="134"/>
          </rPr>
          <t xml:space="preserve">
</t>
        </r>
      </text>
    </comment>
    <comment ref="F99" authorId="0" shapeId="0" xr:uid="{90CE2030-65D8-47EB-8E82-85E61B295834}">
      <text>
        <r>
          <rPr>
            <b/>
            <sz val="9"/>
            <color indexed="81"/>
            <rFont val="宋体"/>
            <family val="3"/>
            <charset val="134"/>
          </rPr>
          <t xml:space="preserve">所在楼层
</t>
        </r>
        <r>
          <rPr>
            <sz val="9"/>
            <color indexed="81"/>
            <rFont val="宋体"/>
            <family val="3"/>
            <charset val="134"/>
          </rPr>
          <t xml:space="preserve">
</t>
        </r>
      </text>
    </comment>
    <comment ref="G99" authorId="0" shapeId="0" xr:uid="{0C354CA8-C567-430A-BE9D-5EB96F76EF3B}">
      <text>
        <r>
          <rPr>
            <b/>
            <sz val="9"/>
            <color indexed="81"/>
            <rFont val="宋体"/>
            <family val="3"/>
            <charset val="134"/>
          </rPr>
          <t xml:space="preserve">所在楼层
</t>
        </r>
        <r>
          <rPr>
            <sz val="9"/>
            <color indexed="81"/>
            <rFont val="宋体"/>
            <family val="3"/>
            <charset val="134"/>
          </rPr>
          <t xml:space="preserve">
</t>
        </r>
      </text>
    </comment>
    <comment ref="H99" authorId="0" shapeId="0" xr:uid="{5188FDD1-EAFA-4347-9E9B-88439D414B2C}">
      <text>
        <r>
          <rPr>
            <b/>
            <sz val="9"/>
            <color indexed="81"/>
            <rFont val="宋体"/>
            <family val="3"/>
            <charset val="134"/>
          </rPr>
          <t xml:space="preserve">所在楼层
</t>
        </r>
        <r>
          <rPr>
            <sz val="9"/>
            <color indexed="81"/>
            <rFont val="宋体"/>
            <family val="3"/>
            <charset val="134"/>
          </rPr>
          <t xml:space="preserve">
</t>
        </r>
      </text>
    </comment>
    <comment ref="I99" authorId="0" shapeId="0" xr:uid="{EF1522E4-9CF3-435B-8ECF-008633604336}">
      <text>
        <r>
          <rPr>
            <b/>
            <sz val="9"/>
            <color indexed="81"/>
            <rFont val="宋体"/>
            <family val="3"/>
            <charset val="134"/>
          </rPr>
          <t xml:space="preserve">所在楼层
</t>
        </r>
        <r>
          <rPr>
            <sz val="9"/>
            <color indexed="81"/>
            <rFont val="宋体"/>
            <family val="3"/>
            <charset val="134"/>
          </rPr>
          <t xml:space="preserve">
</t>
        </r>
      </text>
    </comment>
    <comment ref="J99" authorId="0" shapeId="0" xr:uid="{1164DF3E-0EF0-41FB-BB57-E79CDEFAD12A}">
      <text>
        <r>
          <rPr>
            <b/>
            <sz val="9"/>
            <color indexed="81"/>
            <rFont val="宋体"/>
            <family val="3"/>
            <charset val="134"/>
          </rPr>
          <t xml:space="preserve">所在楼层
</t>
        </r>
        <r>
          <rPr>
            <sz val="9"/>
            <color indexed="81"/>
            <rFont val="宋体"/>
            <family val="3"/>
            <charset val="134"/>
          </rPr>
          <t xml:space="preserve">
</t>
        </r>
      </text>
    </comment>
    <comment ref="K99" authorId="0" shapeId="0" xr:uid="{D5A71DD3-0CF3-41B1-A31E-0055C8A5C060}">
      <text>
        <r>
          <rPr>
            <b/>
            <sz val="9"/>
            <color indexed="81"/>
            <rFont val="宋体"/>
            <family val="3"/>
            <charset val="134"/>
          </rPr>
          <t xml:space="preserve">所在楼层
</t>
        </r>
        <r>
          <rPr>
            <sz val="9"/>
            <color indexed="81"/>
            <rFont val="宋体"/>
            <family val="3"/>
            <charset val="134"/>
          </rPr>
          <t xml:space="preserve">
</t>
        </r>
      </text>
    </comment>
    <comment ref="L99" authorId="0" shapeId="0" xr:uid="{97FB38AB-7422-426F-B3C5-C7FF6B39C53B}">
      <text>
        <r>
          <rPr>
            <b/>
            <sz val="9"/>
            <color indexed="81"/>
            <rFont val="宋体"/>
            <family val="3"/>
            <charset val="134"/>
          </rPr>
          <t xml:space="preserve">所在楼层
</t>
        </r>
        <r>
          <rPr>
            <sz val="9"/>
            <color indexed="81"/>
            <rFont val="宋体"/>
            <family val="3"/>
            <charset val="134"/>
          </rPr>
          <t xml:space="preserve">
</t>
        </r>
      </text>
    </comment>
    <comment ref="M99" authorId="0" shapeId="0" xr:uid="{1CE7D631-A892-4E52-93BB-7DDA0351F7C1}">
      <text>
        <r>
          <rPr>
            <b/>
            <sz val="9"/>
            <color indexed="81"/>
            <rFont val="宋体"/>
            <family val="3"/>
            <charset val="134"/>
          </rPr>
          <t xml:space="preserve">所在楼层
</t>
        </r>
        <r>
          <rPr>
            <sz val="9"/>
            <color indexed="81"/>
            <rFont val="宋体"/>
            <family val="3"/>
            <charset val="134"/>
          </rPr>
          <t xml:space="preserve">
</t>
        </r>
      </text>
    </comment>
    <comment ref="N99" authorId="0" shapeId="0" xr:uid="{0A79BC38-333B-48D7-BC33-7C0ECBFE5617}">
      <text>
        <r>
          <rPr>
            <b/>
            <sz val="9"/>
            <color indexed="81"/>
            <rFont val="宋体"/>
            <family val="3"/>
            <charset val="134"/>
          </rPr>
          <t xml:space="preserve">所在楼层
</t>
        </r>
        <r>
          <rPr>
            <sz val="9"/>
            <color indexed="81"/>
            <rFont val="宋体"/>
            <family val="3"/>
            <charset val="134"/>
          </rPr>
          <t xml:space="preserve">
</t>
        </r>
      </text>
    </comment>
    <comment ref="C101" authorId="0" shapeId="0" xr:uid="{9DB4126C-BF92-444E-AD6D-9E012CF79301}">
      <text>
        <r>
          <rPr>
            <b/>
            <sz val="9"/>
            <color indexed="81"/>
            <rFont val="宋体"/>
            <family val="3"/>
            <charset val="134"/>
          </rPr>
          <t xml:space="preserve">容积率
</t>
        </r>
      </text>
    </comment>
    <comment ref="D101" authorId="0" shapeId="0" xr:uid="{92A72781-9941-4FF0-AA94-D65ACBCF18ED}">
      <text>
        <r>
          <rPr>
            <b/>
            <sz val="9"/>
            <color indexed="81"/>
            <rFont val="宋体"/>
            <family val="3"/>
            <charset val="134"/>
          </rPr>
          <t xml:space="preserve">容积率
</t>
        </r>
      </text>
    </comment>
    <comment ref="E101" authorId="0" shapeId="0" xr:uid="{636B3667-744B-4372-8EE8-5CD80EDA2BD1}">
      <text>
        <r>
          <rPr>
            <b/>
            <sz val="9"/>
            <color indexed="81"/>
            <rFont val="宋体"/>
            <family val="3"/>
            <charset val="134"/>
          </rPr>
          <t xml:space="preserve">容积率
</t>
        </r>
      </text>
    </comment>
    <comment ref="F101" authorId="0" shapeId="0" xr:uid="{B3B3B778-EC08-4CA9-98FE-C82B63B76288}">
      <text>
        <r>
          <rPr>
            <b/>
            <sz val="9"/>
            <color indexed="81"/>
            <rFont val="宋体"/>
            <family val="3"/>
            <charset val="134"/>
          </rPr>
          <t xml:space="preserve">容积率
</t>
        </r>
      </text>
    </comment>
    <comment ref="G101" authorId="0" shapeId="0" xr:uid="{718C8BD6-A818-41C0-B640-C7244EF0A387}">
      <text>
        <r>
          <rPr>
            <b/>
            <sz val="9"/>
            <color indexed="81"/>
            <rFont val="宋体"/>
            <family val="3"/>
            <charset val="134"/>
          </rPr>
          <t xml:space="preserve">容积率
</t>
        </r>
      </text>
    </comment>
    <comment ref="H101" authorId="0" shapeId="0" xr:uid="{882C4239-7FD0-4E29-8C3D-0DB0A6C5D469}">
      <text>
        <r>
          <rPr>
            <b/>
            <sz val="9"/>
            <color indexed="81"/>
            <rFont val="宋体"/>
            <family val="3"/>
            <charset val="134"/>
          </rPr>
          <t xml:space="preserve">容积率
</t>
        </r>
      </text>
    </comment>
    <comment ref="I101" authorId="0" shapeId="0" xr:uid="{916E9245-7CEC-4DC2-B901-88C873280189}">
      <text>
        <r>
          <rPr>
            <b/>
            <sz val="9"/>
            <color indexed="81"/>
            <rFont val="宋体"/>
            <family val="3"/>
            <charset val="134"/>
          </rPr>
          <t xml:space="preserve">容积率
</t>
        </r>
      </text>
    </comment>
    <comment ref="J101" authorId="0" shapeId="0" xr:uid="{93145241-7B1C-442B-A065-70C3BCDD387D}">
      <text>
        <r>
          <rPr>
            <b/>
            <sz val="9"/>
            <color indexed="81"/>
            <rFont val="宋体"/>
            <family val="3"/>
            <charset val="134"/>
          </rPr>
          <t xml:space="preserve">容积率
</t>
        </r>
      </text>
    </comment>
    <comment ref="K101" authorId="0" shapeId="0" xr:uid="{3DFCCF8D-83C3-4349-8D87-43C004868548}">
      <text>
        <r>
          <rPr>
            <b/>
            <sz val="9"/>
            <color indexed="81"/>
            <rFont val="宋体"/>
            <family val="3"/>
            <charset val="134"/>
          </rPr>
          <t xml:space="preserve">容积率
</t>
        </r>
      </text>
    </comment>
    <comment ref="L101" authorId="0" shapeId="0" xr:uid="{4D39EDD1-A226-4F22-8FB2-5EDC7BA19031}">
      <text>
        <r>
          <rPr>
            <b/>
            <sz val="9"/>
            <color indexed="81"/>
            <rFont val="宋体"/>
            <family val="3"/>
            <charset val="134"/>
          </rPr>
          <t xml:space="preserve">容积率
</t>
        </r>
      </text>
    </comment>
    <comment ref="M101" authorId="0" shapeId="0" xr:uid="{F19F5A32-1136-4DAA-AC75-CA73BBEA16F7}">
      <text>
        <r>
          <rPr>
            <b/>
            <sz val="9"/>
            <color indexed="81"/>
            <rFont val="宋体"/>
            <family val="3"/>
            <charset val="134"/>
          </rPr>
          <t xml:space="preserve">容积率
</t>
        </r>
      </text>
    </comment>
    <comment ref="N101" authorId="0" shapeId="0" xr:uid="{351D6FDC-81B7-40C1-B6DF-8E7F2C14F4C4}">
      <text>
        <r>
          <rPr>
            <b/>
            <sz val="9"/>
            <color indexed="81"/>
            <rFont val="宋体"/>
            <family val="3"/>
            <charset val="134"/>
          </rPr>
          <t xml:space="preserve">容积率
</t>
        </r>
      </text>
    </comment>
    <comment ref="C108" authorId="0" shapeId="0" xr:uid="{4695E3AF-7BC9-4912-A39E-5BE66AB877E1}">
      <text>
        <r>
          <rPr>
            <b/>
            <sz val="9"/>
            <color indexed="81"/>
            <rFont val="宋体"/>
            <family val="3"/>
            <charset val="134"/>
          </rPr>
          <t xml:space="preserve">所在楼层
</t>
        </r>
        <r>
          <rPr>
            <sz val="9"/>
            <color indexed="81"/>
            <rFont val="宋体"/>
            <family val="3"/>
            <charset val="134"/>
          </rPr>
          <t xml:space="preserve">
</t>
        </r>
      </text>
    </comment>
    <comment ref="D108" authorId="0" shapeId="0" xr:uid="{AFB8498A-8608-4438-BEED-22CBDBE062CE}">
      <text>
        <r>
          <rPr>
            <b/>
            <sz val="9"/>
            <color indexed="81"/>
            <rFont val="宋体"/>
            <family val="3"/>
            <charset val="134"/>
          </rPr>
          <t xml:space="preserve">所在楼层
</t>
        </r>
        <r>
          <rPr>
            <sz val="9"/>
            <color indexed="81"/>
            <rFont val="宋体"/>
            <family val="3"/>
            <charset val="134"/>
          </rPr>
          <t xml:space="preserve">
</t>
        </r>
      </text>
    </comment>
    <comment ref="E108" authorId="0" shapeId="0" xr:uid="{03F3B3F4-1111-4A89-9D73-32DA315C8150}">
      <text>
        <r>
          <rPr>
            <b/>
            <sz val="9"/>
            <color indexed="81"/>
            <rFont val="宋体"/>
            <family val="3"/>
            <charset val="134"/>
          </rPr>
          <t xml:space="preserve">所在楼层
</t>
        </r>
        <r>
          <rPr>
            <sz val="9"/>
            <color indexed="81"/>
            <rFont val="宋体"/>
            <family val="3"/>
            <charset val="134"/>
          </rPr>
          <t xml:space="preserve">
</t>
        </r>
      </text>
    </comment>
    <comment ref="F108" authorId="0" shapeId="0" xr:uid="{65E47FD4-367B-4222-80DA-CCE76B05F868}">
      <text>
        <r>
          <rPr>
            <b/>
            <sz val="9"/>
            <color indexed="81"/>
            <rFont val="宋体"/>
            <family val="3"/>
            <charset val="134"/>
          </rPr>
          <t xml:space="preserve">所在楼层
</t>
        </r>
        <r>
          <rPr>
            <sz val="9"/>
            <color indexed="81"/>
            <rFont val="宋体"/>
            <family val="3"/>
            <charset val="134"/>
          </rPr>
          <t xml:space="preserve">
</t>
        </r>
      </text>
    </comment>
    <comment ref="G108" authorId="0" shapeId="0" xr:uid="{071FA692-23B0-4E4E-BFB0-A065337B6293}">
      <text>
        <r>
          <rPr>
            <b/>
            <sz val="9"/>
            <color indexed="81"/>
            <rFont val="宋体"/>
            <family val="3"/>
            <charset val="134"/>
          </rPr>
          <t xml:space="preserve">所在楼层
</t>
        </r>
        <r>
          <rPr>
            <sz val="9"/>
            <color indexed="81"/>
            <rFont val="宋体"/>
            <family val="3"/>
            <charset val="134"/>
          </rPr>
          <t xml:space="preserve">
</t>
        </r>
      </text>
    </comment>
    <comment ref="H108" authorId="0" shapeId="0" xr:uid="{E205FDBB-F16B-4BD8-815D-D0C6F977DB15}">
      <text>
        <r>
          <rPr>
            <b/>
            <sz val="9"/>
            <color indexed="81"/>
            <rFont val="宋体"/>
            <family val="3"/>
            <charset val="134"/>
          </rPr>
          <t xml:space="preserve">所在楼层
</t>
        </r>
        <r>
          <rPr>
            <sz val="9"/>
            <color indexed="81"/>
            <rFont val="宋体"/>
            <family val="3"/>
            <charset val="134"/>
          </rPr>
          <t xml:space="preserve">
</t>
        </r>
      </text>
    </comment>
    <comment ref="I108" authorId="0" shapeId="0" xr:uid="{4CB9C7C6-0FAA-4219-8033-CCF971AD62B6}">
      <text>
        <r>
          <rPr>
            <b/>
            <sz val="9"/>
            <color indexed="81"/>
            <rFont val="宋体"/>
            <family val="3"/>
            <charset val="134"/>
          </rPr>
          <t xml:space="preserve">所在楼层
</t>
        </r>
        <r>
          <rPr>
            <sz val="9"/>
            <color indexed="81"/>
            <rFont val="宋体"/>
            <family val="3"/>
            <charset val="134"/>
          </rPr>
          <t xml:space="preserve">
</t>
        </r>
      </text>
    </comment>
    <comment ref="J108" authorId="0" shapeId="0" xr:uid="{5B070875-6805-4CA7-AA37-5FD82B16DFAA}">
      <text>
        <r>
          <rPr>
            <b/>
            <sz val="9"/>
            <color indexed="81"/>
            <rFont val="宋体"/>
            <family val="3"/>
            <charset val="134"/>
          </rPr>
          <t xml:space="preserve">所在楼层
</t>
        </r>
        <r>
          <rPr>
            <sz val="9"/>
            <color indexed="81"/>
            <rFont val="宋体"/>
            <family val="3"/>
            <charset val="134"/>
          </rPr>
          <t xml:space="preserve">
</t>
        </r>
      </text>
    </comment>
    <comment ref="K108" authorId="0" shapeId="0" xr:uid="{21B93BD2-4796-49F0-A5AF-B7CAFE10187F}">
      <text>
        <r>
          <rPr>
            <b/>
            <sz val="9"/>
            <color indexed="81"/>
            <rFont val="宋体"/>
            <family val="3"/>
            <charset val="134"/>
          </rPr>
          <t xml:space="preserve">所在楼层
</t>
        </r>
        <r>
          <rPr>
            <sz val="9"/>
            <color indexed="81"/>
            <rFont val="宋体"/>
            <family val="3"/>
            <charset val="134"/>
          </rPr>
          <t xml:space="preserve">
</t>
        </r>
      </text>
    </comment>
    <comment ref="L108" authorId="0" shapeId="0" xr:uid="{71B95741-5A3E-44C4-8998-96901B9AA723}">
      <text>
        <r>
          <rPr>
            <b/>
            <sz val="9"/>
            <color indexed="81"/>
            <rFont val="宋体"/>
            <family val="3"/>
            <charset val="134"/>
          </rPr>
          <t xml:space="preserve">所在楼层
</t>
        </r>
        <r>
          <rPr>
            <sz val="9"/>
            <color indexed="81"/>
            <rFont val="宋体"/>
            <family val="3"/>
            <charset val="134"/>
          </rPr>
          <t xml:space="preserve">
</t>
        </r>
      </text>
    </comment>
    <comment ref="M108" authorId="0" shapeId="0" xr:uid="{78295C97-98F0-4195-AAC9-A289445A3CFA}">
      <text>
        <r>
          <rPr>
            <b/>
            <sz val="9"/>
            <color indexed="81"/>
            <rFont val="宋体"/>
            <family val="3"/>
            <charset val="134"/>
          </rPr>
          <t xml:space="preserve">所在楼层
</t>
        </r>
        <r>
          <rPr>
            <sz val="9"/>
            <color indexed="81"/>
            <rFont val="宋体"/>
            <family val="3"/>
            <charset val="134"/>
          </rPr>
          <t xml:space="preserve">
</t>
        </r>
      </text>
    </comment>
    <comment ref="N108" authorId="0" shapeId="0" xr:uid="{7E483382-B62B-445E-A0BB-FA0E4D20917F}">
      <text>
        <r>
          <rPr>
            <b/>
            <sz val="9"/>
            <color indexed="81"/>
            <rFont val="宋体"/>
            <family val="3"/>
            <charset val="134"/>
          </rPr>
          <t xml:space="preserve">所在楼层
</t>
        </r>
        <r>
          <rPr>
            <sz val="9"/>
            <color indexed="81"/>
            <rFont val="宋体"/>
            <family val="3"/>
            <charset val="134"/>
          </rPr>
          <t xml:space="preserve">
</t>
        </r>
      </text>
    </comment>
    <comment ref="D113" authorId="0" shapeId="0" xr:uid="{AEF9E76E-C6C8-49C7-AA97-7913E8CF40C3}">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<sst xmlns="http://schemas.openxmlformats.org/spreadsheetml/2006/main" count="7785" uniqueCount="3382">
  <si>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</si>
  <si>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</si>
  <si>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</si>
  <si>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</si>
  <si>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</si>
  <si>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</si>
  <si>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</si>
  <si>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</si>
  <si>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</si>
  <si>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</si>
  <si>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</si>
  <si>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</si>
  <si>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</si>
  <si>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</si>
  <si>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</si>
  <si>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</si>
  <si>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</si>
  <si>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</si>
  <si>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</si>
  <si>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</si>
  <si>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</si>
  <si>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</si>
  <si>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</si>
  <si>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</si>
  <si>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</si>
  <si>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</si>
  <si>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</si>
  <si>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</si>
  <si>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</si>
  <si>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</si>
  <si>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</si>
  <si>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</si>
  <si>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</si>
  <si>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</si>
  <si>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</si>
  <si>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</si>
  <si>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</si>
  <si>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</si>
  <si>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</si>
  <si>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</si>
  <si>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</si>
  <si>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</si>
  <si>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</si>
  <si>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</si>
  <si>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</si>
  <si>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</si>
  <si>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</si>
  <si>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</si>
  <si>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</si>
  <si>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</si>
  <si>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</si>
  <si>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</si>
  <si>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</si>
  <si>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</si>
  <si>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</si>
  <si>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</si>
  <si>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</si>
  <si>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</si>
  <si>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</si>
  <si>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</si>
  <si>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</si>
  <si>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</si>
  <si>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</si>
  <si>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</si>
  <si>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</si>
  <si>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</si>
  <si>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</si>
  <si>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</si>
  <si>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</si>
  <si>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</si>
  <si>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</si>
  <si>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</si>
  <si>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</si>
  <si>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</si>
  <si>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</si>
  <si>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</si>
  <si>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</si>
  <si>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</si>
  <si>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</si>
  <si>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</si>
  <si>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</si>
  <si>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</si>
  <si>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</si>
  <si>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</si>
  <si>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</si>
  <si>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</si>
  <si>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</si>
  <si>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</si>
  <si>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</si>
  <si>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</si>
  <si>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</si>
  <si>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</si>
  <si>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</si>
  <si>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</si>
  <si>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</si>
  <si>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</si>
  <si>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</si>
  <si>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</si>
  <si>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</si>
  <si>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</si>
  <si>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</si>
  <si>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</si>
  <si>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</si>
  <si>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</si>
  <si>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</si>
  <si>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</si>
  <si>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</si>
  <si>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</si>
  <si>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</si>
  <si>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</si>
  <si>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</si>
  <si>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</si>
  <si>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</si>
  <si>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</si>
  <si>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</si>
  <si>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</si>
  <si>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</si>
  <si>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</si>
  <si>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</si>
  <si>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</si>
  <si>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</si>
  <si>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</si>
  <si>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</si>
  <si>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</si>
  <si>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</si>
  <si>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</si>
  <si>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</si>
  <si>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</si>
  <si>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</si>
  <si>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</si>
  <si>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</si>
  <si>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</si>
  <si>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</si>
  <si>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</si>
  <si>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</si>
  <si>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</si>
  <si>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</si>
  <si>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</si>
  <si>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</si>
  <si>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</si>
  <si>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</si>
  <si>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</si>
  <si>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</si>
  <si>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</si>
  <si>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</si>
  <si>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</si>
  <si>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</si>
  <si>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</si>
  <si>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</si>
  <si>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</si>
  <si>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</si>
  <si>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</si>
  <si>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</si>
  <si>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</si>
  <si>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</si>
  <si>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</si>
  <si>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</si>
  <si>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</si>
  <si>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</si>
  <si>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</si>
  <si>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</si>
  <si>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</si>
  <si>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</si>
  <si>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</si>
  <si>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</si>
  <si>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</si>
  <si>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</si>
  <si>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</si>
  <si>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</si>
  <si>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</si>
  <si>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</si>
  <si>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</si>
  <si>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</si>
  <si>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</si>
  <si>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</si>
  <si>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</si>
  <si>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</si>
  <si>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</si>
  <si>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</si>
  <si>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</si>
  <si>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</si>
  <si>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</si>
  <si>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</si>
  <si>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</si>
  <si>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</si>
  <si>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</si>
  <si>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</si>
  <si>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</si>
  <si>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</si>
  <si>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</si>
  <si>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</si>
  <si>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</si>
  <si>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</si>
  <si>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</si>
  <si>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</si>
  <si>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</si>
  <si>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</si>
  <si>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</si>
  <si>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</si>
  <si>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</si>
  <si>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</si>
  <si>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</si>
  <si>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</si>
  <si>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</si>
  <si>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</si>
  <si>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</si>
  <si>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</si>
  <si>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</si>
  <si>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</si>
  <si>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</si>
  <si>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</si>
  <si>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</si>
  <si>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</si>
  <si>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</si>
  <si>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</si>
  <si>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</si>
  <si>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</si>
  <si>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</si>
  <si>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</si>
  <si>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</si>
  <si>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</si>
  <si>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</si>
  <si>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</si>
  <si>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</si>
  <si>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</si>
  <si>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</si>
  <si>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</si>
  <si>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</si>
  <si>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</si>
  <si>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</si>
  <si>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</si>
  <si>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</si>
  <si>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</si>
  <si>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</si>
  <si>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</si>
  <si>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</si>
  <si>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</si>
  <si>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</si>
  <si>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</si>
  <si>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</si>
  <si>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</si>
  <si>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</si>
  <si>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</si>
  <si>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</si>
  <si>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</si>
  <si>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</si>
  <si>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</si>
  <si>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</si>
  <si>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</si>
  <si>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</si>
  <si>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</si>
  <si>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</si>
  <si>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</si>
  <si>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</si>
  <si>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</si>
  <si>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</si>
  <si>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</si>
  <si>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</si>
  <si>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</si>
  <si>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</si>
  <si>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</si>
  <si>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</si>
  <si>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</si>
  <si>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</si>
  <si>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</si>
  <si>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</si>
  <si>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</si>
  <si>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</si>
  <si>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</si>
  <si>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</si>
  <si>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</si>
  <si>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</si>
  <si>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</si>
  <si>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</si>
  <si>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</si>
  <si>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</si>
  <si>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</si>
  <si>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</si>
  <si>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</si>
  <si>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</si>
  <si>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</si>
  <si>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</si>
  <si>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</si>
  <si>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</si>
  <si>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</si>
  <si>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</si>
  <si>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</si>
  <si>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</si>
  <si>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</si>
  <si>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</si>
  <si>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</si>
  <si>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</si>
  <si>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</si>
  <si>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</si>
  <si>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</si>
  <si>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</si>
  <si>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</si>
  <si>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</si>
  <si>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</si>
  <si>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</si>
  <si>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</si>
  <si>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</si>
  <si>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</si>
  <si>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</si>
  <si>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</si>
  <si>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</si>
  <si>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</si>
  <si>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</si>
  <si>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</si>
  <si>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</si>
  <si>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</si>
  <si>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</si>
  <si>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</si>
  <si>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</si>
  <si>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</si>
  <si>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</si>
  <si>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</si>
  <si>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</si>
  <si>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</si>
  <si>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</si>
  <si>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</si>
  <si>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</si>
  <si>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</si>
  <si>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</si>
  <si>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</si>
  <si>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</si>
  <si>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</si>
  <si>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</si>
  <si>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</si>
  <si>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</si>
  <si>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</si>
  <si>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</si>
  <si>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</si>
  <si>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</si>
  <si>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</si>
  <si>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</si>
  <si>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</si>
  <si>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</si>
  <si>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</si>
  <si>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</si>
  <si>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</si>
  <si>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</si>
  <si>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</si>
  <si>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</si>
  <si>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</si>
  <si>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</si>
  <si>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</si>
  <si>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</si>
  <si>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</si>
  <si>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</si>
  <si>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</si>
  <si>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</si>
  <si>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</si>
  <si>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</si>
  <si>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</si>
  <si>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</si>
  <si>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</si>
  <si>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</si>
  <si>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</si>
  <si>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</si>
  <si>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</si>
  <si>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</si>
  <si>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</si>
  <si>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</si>
  <si>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</si>
  <si>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</si>
  <si>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</si>
  <si>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</si>
  <si>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</si>
  <si>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</si>
  <si>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</si>
  <si>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</si>
  <si>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</si>
  <si>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</si>
  <si>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</si>
  <si>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</si>
  <si>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</si>
  <si>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</si>
  <si>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</si>
  <si>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</si>
  <si>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</si>
  <si>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</si>
  <si>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</si>
  <si>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</si>
  <si>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</si>
  <si>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</si>
  <si>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</si>
  <si>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</si>
  <si>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</si>
  <si>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</si>
  <si>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</si>
  <si>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</si>
  <si>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</si>
  <si>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</si>
  <si>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</si>
  <si>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</si>
  <si>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</si>
  <si>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</si>
  <si>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</si>
  <si>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</si>
  <si>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</si>
  <si>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</si>
  <si>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</si>
  <si>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</si>
  <si>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</si>
  <si>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</si>
  <si>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</si>
  <si>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</si>
  <si>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</si>
  <si>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</si>
  <si>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</si>
  <si>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</si>
  <si>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</si>
  <si>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</si>
  <si>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</si>
  <si>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</si>
  <si>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</si>
  <si>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</si>
  <si>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</si>
  <si>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</si>
  <si>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</si>
  <si>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</si>
  <si>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</si>
  <si>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</si>
  <si>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</si>
  <si>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</si>
  <si>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</si>
  <si>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</si>
  <si>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</si>
  <si>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</si>
  <si>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</si>
  <si>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</si>
  <si>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</si>
  <si>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</si>
  <si>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</si>
  <si>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</si>
  <si>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</si>
  <si>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</si>
  <si>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</si>
  <si>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</si>
  <si>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</si>
  <si>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</si>
  <si>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</si>
  <si>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</si>
  <si>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</si>
  <si>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</si>
  <si>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</si>
  <si>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</si>
  <si>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</si>
  <si>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</si>
  <si>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</si>
  <si>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</si>
  <si>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</si>
  <si>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</si>
  <si>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</si>
  <si>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</si>
  <si>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</si>
  <si>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</si>
  <si>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</si>
  <si>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</si>
  <si>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</si>
  <si>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</si>
  <si>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</si>
  <si>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</si>
  <si>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</si>
  <si>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</si>
  <si>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</si>
  <si>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</si>
  <si>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</si>
  <si>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</si>
  <si>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</si>
  <si>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</si>
  <si>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</si>
  <si>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</si>
  <si>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</si>
  <si>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</si>
  <si>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</si>
  <si>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</si>
  <si>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</si>
  <si>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</si>
  <si>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</si>
  <si>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</si>
  <si>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</si>
  <si>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</si>
  <si>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</si>
  <si>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</si>
  <si>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</si>
  <si>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</si>
  <si>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</si>
  <si>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</si>
  <si>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</si>
  <si>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</si>
  <si>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</si>
  <si>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</si>
  <si>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</si>
  <si>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</si>
  <si>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</si>
  <si>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</si>
  <si>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</si>
  <si>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</si>
  <si>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</si>
  <si>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</si>
  <si>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</si>
  <si>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</si>
  <si>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</si>
  <si>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</si>
  <si>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</si>
  <si>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</si>
  <si>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</si>
  <si>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</si>
  <si>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</si>
  <si>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</si>
  <si>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</si>
  <si>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</si>
  <si>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</si>
  <si>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</si>
  <si>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</si>
  <si>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</si>
  <si>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</si>
  <si>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</si>
  <si>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</si>
  <si>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</si>
  <si>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</si>
  <si>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</si>
  <si>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</si>
  <si>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</si>
  <si>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</si>
  <si>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</si>
  <si>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</si>
  <si>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</si>
  <si>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</si>
  <si>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</si>
  <si>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</si>
  <si>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</si>
  <si>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</si>
  <si>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</si>
  <si>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</si>
  <si>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</si>
  <si>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</si>
  <si>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</si>
  <si>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</si>
  <si>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</si>
  <si>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</si>
  <si>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</si>
  <si>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</si>
  <si>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</si>
  <si>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</si>
  <si>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</si>
  <si>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</si>
  <si>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</si>
  <si>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</si>
  <si>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</si>
  <si>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</si>
  <si>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</si>
  <si>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</si>
  <si>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</si>
  <si>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</si>
  <si>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</si>
  <si>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</si>
  <si>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</si>
  <si>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</si>
  <si>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</si>
  <si>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</si>
  <si>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</si>
  <si>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</si>
  <si>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</si>
  <si>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</si>
  <si>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</si>
  <si>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</si>
  <si>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</si>
  <si>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</si>
  <si>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</si>
  <si>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</si>
  <si>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</si>
  <si>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</si>
  <si>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</si>
  <si>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</si>
  <si>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</si>
  <si>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</si>
  <si>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</si>
  <si>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</si>
  <si>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</si>
  <si>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</si>
  <si>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</si>
  <si>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</si>
  <si>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</si>
  <si>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</si>
  <si>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</si>
  <si>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</si>
  <si>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</si>
  <si>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</si>
  <si>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</si>
  <si>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</si>
  <si>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</si>
  <si>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</si>
  <si>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</si>
  <si>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</si>
  <si>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</si>
  <si>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</si>
  <si>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</si>
  <si>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</si>
  <si>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</si>
  <si>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</si>
  <si>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</si>
  <si>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</si>
  <si>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</si>
  <si>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</si>
  <si>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</si>
  <si>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</si>
  <si>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</si>
  <si>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</si>
  <si>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</si>
  <si>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</si>
  <si>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</si>
  <si>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</si>
  <si>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</si>
  <si>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</si>
  <si>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</si>
  <si>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</si>
  <si>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</si>
  <si>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</si>
  <si>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</si>
  <si>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</si>
  <si>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</si>
  <si>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</si>
  <si>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</si>
  <si>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</si>
  <si>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</si>
  <si>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</si>
  <si>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</si>
  <si>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</si>
  <si>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</si>
  <si>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</si>
  <si>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</si>
  <si>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</si>
  <si>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</si>
  <si>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</si>
  <si>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</si>
  <si>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</si>
  <si>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</si>
  <si>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</si>
  <si>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</si>
  <si>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</si>
  <si>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</si>
  <si>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</si>
  <si>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</si>
  <si>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</si>
  <si>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</si>
  <si>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</si>
  <si>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</si>
  <si>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</si>
  <si>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</si>
  <si>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</si>
  <si>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</si>
  <si>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</si>
  <si>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</si>
  <si>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</si>
  <si>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</si>
  <si>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</si>
  <si>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</si>
  <si>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</si>
  <si>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</si>
  <si>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</si>
  <si>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</si>
  <si>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</si>
  <si>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</si>
  <si>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</si>
  <si>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</si>
  <si>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</si>
  <si>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</si>
  <si>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</si>
  <si>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</si>
  <si>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</si>
  <si>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</si>
  <si>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</si>
  <si>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</si>
  <si>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</si>
  <si>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</si>
  <si>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</si>
  <si>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</si>
  <si>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</si>
  <si>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</si>
  <si>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</si>
  <si>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</si>
  <si>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</si>
  <si>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</si>
  <si>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</si>
  <si>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</si>
  <si>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</si>
  <si>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</si>
  <si>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</si>
  <si>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</si>
  <si>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</si>
  <si>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</si>
  <si>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</si>
  <si>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</si>
  <si>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</si>
  <si>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</si>
  <si>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</si>
  <si>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</si>
  <si>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</si>
  <si>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</si>
  <si>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</si>
  <si>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</si>
  <si>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</si>
  <si>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</si>
  <si>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</si>
  <si>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</si>
  <si>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</si>
  <si>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</si>
  <si>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</si>
  <si>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</si>
  <si>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</si>
  <si>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</si>
  <si>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</si>
  <si>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</si>
  <si>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</si>
  <si>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</si>
  <si>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</si>
  <si>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</si>
  <si>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</si>
  <si>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</si>
  <si>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</si>
  <si>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</si>
  <si>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</si>
  <si>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</si>
  <si>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</si>
  <si>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</si>
  <si>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</si>
  <si>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</si>
  <si>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</si>
  <si>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</si>
  <si>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</si>
  <si>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</si>
  <si>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</si>
  <si>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</si>
  <si>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</si>
  <si>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</si>
  <si>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</si>
  <si>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</si>
  <si>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</si>
  <si>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</si>
  <si>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</si>
  <si>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</si>
  <si>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</si>
  <si>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</si>
  <si>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</si>
  <si>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</si>
  <si>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</si>
  <si>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</si>
  <si>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</si>
  <si>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</si>
  <si>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</si>
  <si>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</si>
  <si>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</si>
  <si>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</si>
  <si>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</si>
  <si>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</si>
  <si>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</si>
  <si>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</si>
  <si>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</si>
  <si>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</si>
  <si>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</si>
  <si>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</si>
  <si>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</si>
  <si>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</si>
  <si>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</si>
  <si>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</si>
  <si>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</si>
  <si>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</si>
  <si>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</si>
  <si>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</si>
  <si>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</si>
  <si>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</si>
  <si>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</si>
  <si>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</si>
  <si>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</si>
  <si>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</si>
  <si>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</si>
  <si>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</si>
  <si>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</si>
  <si>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</si>
  <si>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</si>
  <si>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</si>
  <si>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</si>
  <si>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</si>
  <si>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</si>
  <si>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</si>
  <si>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</si>
  <si>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</si>
  <si>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</si>
  <si>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</si>
  <si>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</si>
  <si>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</si>
  <si>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</si>
  <si>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</si>
  <si>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</si>
  <si>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</si>
  <si>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</si>
  <si>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</si>
  <si>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</si>
  <si>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</si>
  <si>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</si>
  <si>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</si>
  <si>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</si>
  <si>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</si>
  <si>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</si>
  <si>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</si>
  <si>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</si>
  <si>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</si>
  <si>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</si>
  <si>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</si>
  <si>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</si>
  <si>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</si>
  <si>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</si>
  <si>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</si>
  <si>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</si>
  <si>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</si>
  <si>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</si>
  <si>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</si>
  <si>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</si>
  <si>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</si>
  <si>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</si>
  <si>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</si>
  <si>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</si>
  <si>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</si>
  <si>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</si>
  <si>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</si>
  <si>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</si>
  <si>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</si>
  <si>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</si>
  <si>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</si>
  <si>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</si>
  <si>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</si>
  <si>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</si>
  <si>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</si>
  <si>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</si>
  <si>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</si>
  <si>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</si>
  <si>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</si>
  <si>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</si>
  <si>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</si>
  <si>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</si>
  <si>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</si>
  <si>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</si>
  <si>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</si>
  <si>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</si>
  <si>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</si>
  <si>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</si>
  <si>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</si>
  <si>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</si>
  <si>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</si>
  <si>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</si>
  <si>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</si>
  <si>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</si>
  <si>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</si>
  <si>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</si>
  <si>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</si>
  <si>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</si>
  <si>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</si>
  <si>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</si>
  <si>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</si>
  <si>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</si>
  <si>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</si>
  <si>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</si>
  <si>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</si>
  <si>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</si>
  <si>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</si>
  <si>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</si>
  <si>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</si>
  <si>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</si>
  <si>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</si>
  <si>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</si>
  <si>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</si>
  <si>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</si>
  <si>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</si>
  <si>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</si>
  <si>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</si>
  <si>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</si>
  <si>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</si>
  <si>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</si>
  <si>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</si>
  <si>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</si>
  <si>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</si>
  <si>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</si>
  <si>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</si>
  <si>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</si>
  <si>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</si>
  <si>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</si>
  <si>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</si>
  <si>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</si>
  <si>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</si>
  <si>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</si>
  <si>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</si>
  <si>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</si>
  <si>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</si>
  <si>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</si>
  <si>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</si>
  <si>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</si>
  <si>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</si>
  <si>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</si>
  <si>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</si>
  <si>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</si>
  <si>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</si>
  <si>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</si>
  <si>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</si>
  <si>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</si>
  <si>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</si>
  <si>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</si>
  <si>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</si>
  <si>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</si>
  <si>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</si>
  <si>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</si>
  <si>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</si>
  <si>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</si>
  <si>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</si>
  <si>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</si>
  <si>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</si>
  <si>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</si>
  <si>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</si>
  <si>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</si>
  <si>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</si>
  <si>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</si>
  <si>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</si>
  <si>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</si>
  <si>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</si>
  <si>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</si>
  <si>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</si>
  <si>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</si>
  <si>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</si>
  <si>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</si>
  <si>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</si>
  <si>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</si>
  <si>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</si>
  <si>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</si>
  <si>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</si>
  <si>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</si>
  <si>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</si>
  <si>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</si>
  <si>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</si>
  <si>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</si>
  <si>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</si>
  <si>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</si>
  <si>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</si>
  <si>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</si>
  <si>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</si>
  <si>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</si>
  <si>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</si>
  <si>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</si>
  <si>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</si>
  <si>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</si>
  <si>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</si>
  <si>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</si>
  <si>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</si>
  <si>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</si>
  <si>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</si>
  <si>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</si>
  <si>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</si>
  <si>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</si>
  <si>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</si>
  <si>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</si>
  <si>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</si>
  <si>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</si>
  <si>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</si>
  <si>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</si>
  <si>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</si>
  <si>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</si>
  <si>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</si>
  <si>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</si>
  <si>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</si>
  <si>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</si>
  <si>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</si>
  <si>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</si>
  <si>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</si>
  <si>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</si>
  <si>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</si>
  <si>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</si>
  <si>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</si>
  <si>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</si>
  <si>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</si>
  <si>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</si>
  <si>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</si>
  <si>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</si>
  <si>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</si>
  <si>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</si>
  <si>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</si>
  <si>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</si>
  <si>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</si>
  <si>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</si>
  <si>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</si>
  <si>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</si>
  <si>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</si>
  <si>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</si>
  <si>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</si>
  <si>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</si>
  <si>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</si>
  <si>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</si>
  <si>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</si>
  <si>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</si>
  <si>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</si>
  <si>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</si>
  <si>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</si>
  <si>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</si>
  <si>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</si>
  <si>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</si>
  <si>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</si>
  <si>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</si>
  <si>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</si>
  <si>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</si>
  <si>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</si>
  <si>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</si>
  <si>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</si>
  <si>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</si>
  <si>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</si>
  <si>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</si>
  <si>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</si>
  <si>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</si>
  <si>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</si>
  <si>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</si>
  <si>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</si>
  <si>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</si>
  <si>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</si>
  <si>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</si>
  <si>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</si>
  <si>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</si>
  <si>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</si>
  <si>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</si>
  <si>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</si>
  <si>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</si>
  <si>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</si>
  <si>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</si>
  <si>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</si>
  <si>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</si>
  <si>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</si>
  <si>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</si>
  <si>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</si>
  <si>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</si>
  <si>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</si>
  <si>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</si>
  <si>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</si>
  <si>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</si>
  <si>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</si>
  <si>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</si>
  <si>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</si>
  <si>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</si>
  <si>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</si>
  <si>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</si>
  <si>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</si>
  <si>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</si>
  <si>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</si>
  <si>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</si>
  <si>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</si>
  <si>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</si>
  <si>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</si>
  <si>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</si>
  <si>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</si>
  <si>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</si>
  <si>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</si>
  <si>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</si>
  <si>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</si>
  <si>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</si>
  <si>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</si>
  <si>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</si>
  <si>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</si>
  <si>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</si>
  <si>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</si>
  <si>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</si>
  <si>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</si>
  <si>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</si>
  <si>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</si>
  <si>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</si>
  <si>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</si>
  <si>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</si>
  <si>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</si>
  <si>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</si>
  <si>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</si>
  <si>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</si>
  <si>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</si>
  <si>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</si>
  <si>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</si>
  <si>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</si>
  <si>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</si>
  <si>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</si>
  <si>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</si>
  <si>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</si>
  <si>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</si>
  <si>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</si>
  <si>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</si>
  <si>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</si>
  <si>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</si>
  <si>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</si>
  <si>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</si>
  <si>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</si>
  <si>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</si>
  <si>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</si>
  <si>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</si>
  <si>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</si>
  <si>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</si>
  <si>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</si>
  <si>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</si>
  <si>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</si>
  <si>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</si>
  <si>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</si>
  <si>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</si>
  <si>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</si>
  <si>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</si>
  <si>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</si>
  <si>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</si>
  <si>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</si>
  <si>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</si>
  <si>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</si>
  <si>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</si>
  <si>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</si>
  <si>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</si>
  <si>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</si>
  <si>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</si>
  <si>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</si>
  <si>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</si>
  <si>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</si>
  <si>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</si>
  <si>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</si>
  <si>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</si>
  <si>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</si>
  <si>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</si>
  <si>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</si>
  <si>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</si>
  <si>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</si>
  <si>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</si>
  <si>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</si>
  <si>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</si>
  <si>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</si>
  <si>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</si>
  <si>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</si>
  <si>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</si>
  <si>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</si>
  <si>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</si>
  <si>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</si>
  <si>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</si>
  <si>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</si>
  <si>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</si>
  <si>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</si>
  <si>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</si>
  <si>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</si>
  <si>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</si>
  <si>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</si>
  <si>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</si>
  <si>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</si>
  <si>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</si>
  <si>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</si>
  <si>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</si>
  <si>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</si>
  <si>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</si>
  <si>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</si>
  <si>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</si>
  <si>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</si>
  <si>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</si>
  <si>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</si>
  <si>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</si>
  <si>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</si>
  <si>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</si>
  <si>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</si>
  <si>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</si>
  <si>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</si>
  <si>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</si>
  <si>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</si>
  <si>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</si>
  <si>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</si>
  <si>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</si>
  <si>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</si>
  <si>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</si>
  <si>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</si>
  <si>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</si>
  <si>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</si>
  <si>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</si>
  <si>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</si>
  <si>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</si>
  <si>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</si>
  <si>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</si>
  <si>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</si>
  <si>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</si>
  <si>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</si>
  <si>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</si>
  <si>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</si>
  <si>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</si>
  <si>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</si>
  <si>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</si>
  <si>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</si>
  <si>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</si>
  <si>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</si>
  <si>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</si>
  <si>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</si>
  <si>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</si>
  <si>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</si>
  <si>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</si>
  <si>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</si>
  <si>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</si>
  <si>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</si>
  <si>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</si>
  <si>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</si>
  <si>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</si>
  <si>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</si>
  <si>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</si>
  <si>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</si>
  <si>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</si>
  <si>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</si>
  <si>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</si>
  <si>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</si>
  <si>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</si>
  <si>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</si>
  <si>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</si>
  <si>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</si>
  <si>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</si>
  <si>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</si>
  <si>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</si>
  <si>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</si>
  <si>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</si>
  <si>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</si>
  <si>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</si>
  <si>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</si>
  <si>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</si>
  <si>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</si>
  <si>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</si>
  <si>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</si>
  <si>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</si>
  <si>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</si>
  <si>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</si>
  <si>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</si>
  <si>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</si>
  <si>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</si>
  <si>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</si>
  <si>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</si>
  <si>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</si>
  <si>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</si>
  <si>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</si>
  <si>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</si>
  <si>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</si>
  <si>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</si>
  <si>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</si>
  <si>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</si>
  <si>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</si>
  <si>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</si>
  <si>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</si>
  <si>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</si>
  <si>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</si>
  <si>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</si>
  <si>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</si>
  <si>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</si>
  <si>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</si>
  <si>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</si>
  <si>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</si>
  <si>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</si>
  <si>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</si>
  <si>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</si>
  <si>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</si>
  <si>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</si>
  <si>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</si>
  <si>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</si>
  <si>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</si>
  <si>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</si>
  <si>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</si>
  <si>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</si>
  <si>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</si>
  <si>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</si>
  <si>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</si>
  <si>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</si>
  <si>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</si>
  <si>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</si>
  <si>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</si>
  <si>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</si>
  <si>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</si>
  <si>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</si>
  <si>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</si>
  <si>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</si>
  <si>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</si>
  <si>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</si>
  <si>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</si>
  <si>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</si>
  <si>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</si>
  <si>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</si>
  <si>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</si>
  <si>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</si>
  <si>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</si>
  <si>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</si>
  <si>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</si>
  <si>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</si>
  <si>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</si>
  <si>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</si>
  <si>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</si>
  <si>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</si>
  <si>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</si>
  <si>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</si>
  <si>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</si>
  <si>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</si>
  <si>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</si>
  <si>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</si>
  <si>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</si>
  <si>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</si>
  <si>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</si>
  <si>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</si>
  <si>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</si>
  <si>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</si>
  <si>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</si>
  <si>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</si>
  <si>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</si>
  <si>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</si>
  <si>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</si>
  <si>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</si>
  <si>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</si>
  <si>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</si>
  <si>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</si>
  <si>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</si>
  <si>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</si>
  <si>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</si>
  <si>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</si>
  <si>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</si>
  <si>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</si>
  <si>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</si>
  <si>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</si>
  <si>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</si>
  <si>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</si>
  <si>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</si>
  <si>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</si>
  <si>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</si>
  <si>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</si>
  <si>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</si>
  <si>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</si>
  <si>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</si>
  <si>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</si>
  <si>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</si>
  <si>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</si>
  <si>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</si>
  <si>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</si>
  <si>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</si>
  <si>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</si>
  <si>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</si>
  <si>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</si>
  <si>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</si>
  <si>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</si>
  <si>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</si>
  <si>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</si>
  <si>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</si>
  <si>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</si>
  <si>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</si>
  <si>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</si>
  <si>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</si>
  <si>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</si>
  <si>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</si>
  <si>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</si>
  <si>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</si>
  <si>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</si>
  <si>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</si>
  <si>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</si>
  <si>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</si>
  <si>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</si>
  <si>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</si>
  <si>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</si>
  <si>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</si>
  <si>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</si>
  <si>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</si>
  <si>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</si>
  <si>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</si>
  <si>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</si>
  <si>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</si>
  <si>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</si>
  <si>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</si>
  <si>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</si>
  <si>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</si>
  <si>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</si>
  <si>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</si>
  <si>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</si>
  <si>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</si>
  <si>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</si>
  <si>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</si>
  <si>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</si>
  <si>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</si>
  <si>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</si>
  <si>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</si>
  <si>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</si>
  <si>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</si>
  <si>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</si>
  <si>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</si>
  <si>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</si>
  <si>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</si>
  <si>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</si>
  <si>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</si>
  <si>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</si>
  <si>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</si>
  <si>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</si>
  <si>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</si>
  <si>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</si>
  <si>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</si>
  <si>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</si>
  <si>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</si>
  <si>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</si>
  <si>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</si>
  <si>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</si>
  <si>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</si>
  <si>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</si>
  <si>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</si>
  <si>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</si>
  <si>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</si>
  <si>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</si>
  <si>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</si>
  <si>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</si>
  <si>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</si>
  <si>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</si>
  <si>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</si>
  <si>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</si>
  <si>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</si>
  <si>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</si>
  <si>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</si>
  <si>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</si>
  <si>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</si>
  <si>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</si>
  <si>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</si>
  <si>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</si>
  <si>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</si>
  <si>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</si>
  <si>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</si>
  <si>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</si>
  <si>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</si>
  <si>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</si>
  <si>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</si>
  <si>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</si>
  <si>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</si>
  <si>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</si>
  <si>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</si>
  <si>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</si>
  <si>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</si>
  <si>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</si>
  <si>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</si>
  <si>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</si>
  <si>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</si>
  <si>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</si>
  <si>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</si>
  <si>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</si>
  <si>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</si>
  <si>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</si>
  <si>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</si>
  <si>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</si>
  <si>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</si>
  <si>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</si>
  <si>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</si>
  <si>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</si>
  <si>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</si>
  <si>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</si>
  <si>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</si>
  <si>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</si>
  <si>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</si>
  <si>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</si>
  <si>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</si>
  <si>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</si>
  <si>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</si>
  <si>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</si>
  <si>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</si>
  <si>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</si>
  <si>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</si>
  <si>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</si>
  <si>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</si>
  <si>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</si>
  <si>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</si>
  <si>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</si>
  <si>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</si>
  <si>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</si>
  <si>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</si>
  <si>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</si>
  <si>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</si>
  <si>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</si>
  <si>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</si>
  <si>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</si>
  <si>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</si>
  <si>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</si>
  <si>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</si>
  <si>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</si>
  <si>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</si>
  <si>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</si>
  <si>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</si>
  <si>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</si>
  <si>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</si>
  <si>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</si>
  <si>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</si>
  <si>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</si>
  <si>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</si>
  <si>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</si>
  <si>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</si>
  <si>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</si>
  <si>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</si>
  <si>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</si>
  <si>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</si>
  <si>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</si>
  <si>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</si>
  <si>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</si>
  <si>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</si>
  <si>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</si>
  <si>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</si>
  <si>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</si>
  <si>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</si>
  <si>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</si>
  <si>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</si>
  <si>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</si>
  <si>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</si>
  <si>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</si>
  <si>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</si>
  <si>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</si>
  <si>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</si>
  <si>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</si>
  <si>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</si>
  <si>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</si>
  <si>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</si>
  <si>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</si>
  <si>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</si>
  <si>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</si>
  <si>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</si>
  <si>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</si>
  <si>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</si>
  <si>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</si>
  <si>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</si>
  <si>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</si>
  <si>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</si>
  <si>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</si>
  <si>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</si>
  <si>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</si>
  <si>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</si>
  <si>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</si>
  <si>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</si>
  <si>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</si>
  <si>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</si>
  <si>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</si>
  <si>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</si>
  <si>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</si>
  <si>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</si>
  <si>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</si>
  <si>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</si>
  <si>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</si>
  <si>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</si>
  <si>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</si>
  <si>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</si>
  <si>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</si>
  <si>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</si>
  <si>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</si>
  <si>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</si>
  <si>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</si>
  <si>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</si>
  <si>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</si>
  <si>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</si>
  <si>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</si>
  <si>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</si>
  <si>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</si>
  <si>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</si>
  <si>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</si>
  <si>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</si>
  <si>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</si>
  <si>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</si>
  <si>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</si>
  <si>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</si>
  <si>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</si>
  <si>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</si>
  <si>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</si>
  <si>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</si>
  <si>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</si>
  <si>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</si>
  <si>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</si>
  <si>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</si>
  <si>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</si>
  <si>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</si>
  <si>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</si>
  <si>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</si>
  <si>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</si>
  <si>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</si>
  <si>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</si>
  <si>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</si>
  <si>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</si>
  <si>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</si>
  <si>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</si>
  <si>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</si>
  <si>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</si>
  <si>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</si>
  <si>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</si>
  <si>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</si>
  <si>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</si>
  <si>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</si>
  <si>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</si>
  <si>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</si>
  <si>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</si>
  <si>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</si>
  <si>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</si>
  <si>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</si>
  <si>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</si>
  <si>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</si>
  <si>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</si>
  <si>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</si>
  <si>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</si>
  <si>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</si>
  <si>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</si>
  <si>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</si>
  <si>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</si>
  <si>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</si>
  <si>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</si>
  <si>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</si>
  <si>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</si>
  <si>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</si>
  <si>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</si>
  <si>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</si>
  <si>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</si>
  <si>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</si>
  <si>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</si>
  <si>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</si>
  <si>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</si>
  <si>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</si>
  <si>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</si>
  <si>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</si>
  <si>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</si>
  <si>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</si>
  <si>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</si>
  <si>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</si>
  <si>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</si>
  <si>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</si>
  <si>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</si>
  <si>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</si>
  <si>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</si>
  <si>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</si>
  <si>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</si>
  <si>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</si>
  <si>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</si>
  <si>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</si>
  <si>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</si>
  <si>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</si>
  <si>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</si>
  <si>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</si>
  <si>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</si>
  <si>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</si>
  <si>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</si>
  <si>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</si>
  <si>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</si>
  <si>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</si>
  <si>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</si>
  <si>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</si>
  <si>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</si>
  <si>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</si>
  <si>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</si>
  <si>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</si>
  <si>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</si>
  <si>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</si>
  <si>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</si>
  <si>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</si>
  <si>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</si>
  <si>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</si>
  <si>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</si>
  <si>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</si>
  <si>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</si>
  <si>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</si>
  <si>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</si>
  <si>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</si>
  <si>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</si>
  <si>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</si>
  <si>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</si>
  <si>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</si>
  <si>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</si>
  <si>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</si>
  <si>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</si>
  <si>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</si>
  <si>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</si>
  <si>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</si>
  <si>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</si>
  <si>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</si>
  <si>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</si>
  <si>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</si>
  <si>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</si>
  <si>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</si>
  <si>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</si>
  <si>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</si>
  <si>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</si>
  <si>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</si>
  <si>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</si>
  <si>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</si>
  <si>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</si>
  <si>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</si>
  <si>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</si>
  <si>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</si>
  <si>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</si>
  <si>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</si>
  <si>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</si>
  <si>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</si>
  <si>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</si>
  <si>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</si>
  <si>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</si>
  <si>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</si>
  <si>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</si>
  <si>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</si>
  <si>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</si>
  <si>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</si>
  <si>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</si>
  <si>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</si>
  <si>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</si>
  <si>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</si>
  <si>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</si>
  <si>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</si>
  <si>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</si>
  <si>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</si>
  <si>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</si>
  <si>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</si>
  <si>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</si>
  <si>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</si>
  <si>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</si>
  <si>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</si>
  <si>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</si>
  <si>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</si>
  <si>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</si>
  <si>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</si>
  <si>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</si>
  <si>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</si>
  <si>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</si>
  <si>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</si>
  <si>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</si>
  <si>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</si>
  <si>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</si>
  <si>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</si>
  <si>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</si>
  <si>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</si>
  <si>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</si>
  <si>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</si>
  <si>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</si>
  <si>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</si>
  <si>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</si>
  <si>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</si>
  <si>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</si>
  <si>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</si>
  <si>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</si>
  <si>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</si>
  <si>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</si>
  <si>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</si>
  <si>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</si>
  <si>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</si>
  <si>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</si>
  <si>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</si>
  <si>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</si>
  <si>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</si>
  <si>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</si>
  <si>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</si>
  <si>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</si>
  <si>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</si>
  <si>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</si>
  <si>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</si>
  <si>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</si>
  <si>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</si>
  <si>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</si>
  <si>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</si>
  <si>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</si>
  <si>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</si>
  <si>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</si>
  <si>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</si>
  <si>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</si>
  <si>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</si>
  <si>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</si>
  <si>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</si>
  <si>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</si>
  <si>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</si>
  <si>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</si>
  <si>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</si>
  <si>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</si>
  <si>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</si>
  <si>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</si>
  <si>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</si>
  <si>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</si>
  <si>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</si>
  <si>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</si>
  <si>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</si>
  <si>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</si>
  <si>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</si>
  <si>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</si>
  <si>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</si>
  <si>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</si>
  <si>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</si>
  <si>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</si>
  <si>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</si>
  <si>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</si>
  <si>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</si>
  <si>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</si>
  <si>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</si>
  <si>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</si>
  <si>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</si>
  <si>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</si>
  <si>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</si>
  <si>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</si>
  <si>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</si>
  <si>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</si>
  <si>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</si>
  <si>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</si>
  <si>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</si>
  <si>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</si>
  <si>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</si>
  <si>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</si>
  <si>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</si>
  <si>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</si>
  <si>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</si>
  <si>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</si>
  <si>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</si>
  <si>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</si>
  <si>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</si>
  <si>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</si>
  <si>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</si>
  <si>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</si>
  <si>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</si>
  <si>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</si>
  <si>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</si>
  <si>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</si>
  <si>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</si>
  <si>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</si>
  <si>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</si>
  <si>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</si>
  <si>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</si>
  <si>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</si>
  <si>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</si>
  <si>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</si>
  <si>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</si>
  <si>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</si>
  <si>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</si>
  <si>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</si>
  <si>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</si>
  <si>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</si>
  <si>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</si>
  <si>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</si>
  <si>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</si>
  <si>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</si>
  <si>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</si>
  <si>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</si>
  <si>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</si>
  <si>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</si>
  <si>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</si>
  <si>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</si>
  <si>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</si>
  <si>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</si>
  <si>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</si>
  <si>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</si>
  <si>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</si>
  <si>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</si>
  <si>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</si>
  <si>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</si>
  <si>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</si>
  <si>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</si>
  <si>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</si>
  <si>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</si>
  <si>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</si>
  <si>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</si>
  <si>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</si>
  <si>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</si>
  <si>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</si>
  <si>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</si>
  <si>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</si>
  <si>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</si>
  <si>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</si>
  <si>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</si>
  <si>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</si>
  <si>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</si>
  <si>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</si>
  <si>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</si>
  <si>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</si>
  <si>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</si>
  <si>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</si>
  <si>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</si>
  <si>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</si>
  <si>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</si>
  <si>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</si>
  <si>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</si>
  <si>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</si>
  <si>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</si>
  <si>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</si>
  <si>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</si>
  <si>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</si>
  <si>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</si>
  <si>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</si>
  <si>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</si>
  <si>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</si>
  <si>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</si>
  <si>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</si>
  <si>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</si>
  <si>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</si>
  <si>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</si>
  <si>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</si>
  <si>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</si>
  <si>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</si>
  <si>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</si>
  <si>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</si>
  <si>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</si>
  <si>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</si>
  <si>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</si>
  <si>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</si>
  <si>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</si>
  <si>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</si>
  <si>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</si>
  <si>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</si>
  <si>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</si>
  <si>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</si>
  <si>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</si>
  <si>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</si>
  <si>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</si>
  <si>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</si>
  <si>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</si>
  <si>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</si>
  <si>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</si>
  <si>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</si>
  <si>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</si>
  <si>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</si>
  <si>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</si>
  <si>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</si>
  <si>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</si>
  <si>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</si>
  <si>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</si>
  <si>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</si>
  <si>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</si>
  <si>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</si>
  <si>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</si>
  <si>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</si>
  <si>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</si>
  <si>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</si>
  <si>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</si>
  <si>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</si>
  <si>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</si>
  <si>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</si>
  <si>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</si>
  <si>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</si>
  <si>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</si>
  <si>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</si>
  <si>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</si>
  <si>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</si>
  <si>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</si>
  <si>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</si>
  <si>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</si>
  <si>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</si>
  <si>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</si>
  <si>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</si>
  <si>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</si>
  <si>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</si>
  <si>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</si>
  <si>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</si>
  <si>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</si>
  <si>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</si>
  <si>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</si>
  <si>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</si>
  <si>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</si>
  <si>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</si>
  <si>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</si>
  <si>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</si>
  <si>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</si>
  <si>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</si>
  <si>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</si>
  <si>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</si>
  <si>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</si>
  <si>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</si>
  <si>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</si>
  <si>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</si>
  <si>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</si>
  <si>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</si>
  <si>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</si>
  <si>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</si>
  <si>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</si>
  <si>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</si>
  <si>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</si>
  <si>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</si>
  <si>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</si>
  <si>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</si>
  <si>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</si>
  <si>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</si>
  <si>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</si>
  <si>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</si>
  <si>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</si>
  <si>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</si>
  <si>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</si>
  <si>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</si>
  <si>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</si>
  <si>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</si>
  <si>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</si>
  <si>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</si>
  <si>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</si>
  <si>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</si>
  <si>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</si>
  <si>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</si>
  <si>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</si>
  <si>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</si>
  <si>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</si>
  <si>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</si>
  <si>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</si>
  <si>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</si>
  <si>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</si>
  <si>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</si>
  <si>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</si>
  <si>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</si>
  <si>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</si>
  <si>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</si>
  <si>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</si>
  <si>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</si>
  <si>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</si>
  <si>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</si>
  <si>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</si>
  <si>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</si>
  <si>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</si>
  <si>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</si>
  <si>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</si>
  <si>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</si>
  <si>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</si>
  <si>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</si>
  <si>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</si>
  <si>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</si>
  <si>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</si>
  <si>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</si>
  <si>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</si>
  <si>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</si>
  <si>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</si>
  <si>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</si>
  <si>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</si>
  <si>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</si>
  <si>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</si>
  <si>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</si>
  <si>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</si>
  <si>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</si>
  <si>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</si>
  <si>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</si>
  <si>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</si>
  <si>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</si>
  <si>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</si>
  <si>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</si>
  <si>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</si>
  <si>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</si>
  <si>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</si>
  <si>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</si>
  <si>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</si>
  <si>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</si>
  <si>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</si>
  <si>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</si>
  <si>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</si>
  <si>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</si>
  <si>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</si>
  <si>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</si>
  <si>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</si>
  <si>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</si>
  <si>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</si>
  <si>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</si>
  <si>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</si>
  <si>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</si>
  <si>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</si>
  <si>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</si>
  <si>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</si>
  <si>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</si>
  <si>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</si>
  <si>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</si>
  <si>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</si>
  <si>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</si>
  <si>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</si>
  <si>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</si>
  <si>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</si>
  <si>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</si>
  <si>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</si>
  <si>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</si>
  <si>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</si>
  <si>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</si>
  <si>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</si>
  <si>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</si>
  <si>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</si>
  <si>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</si>
  <si>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</si>
  <si>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</si>
  <si>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</si>
  <si>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</si>
  <si>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</si>
  <si>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</si>
  <si>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</si>
  <si>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</si>
  <si>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</si>
  <si>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</si>
  <si>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</si>
  <si>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</si>
  <si>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</si>
  <si>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</si>
  <si>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</si>
  <si>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</si>
  <si>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</si>
  <si>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</si>
  <si>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</si>
  <si>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</si>
  <si>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</si>
  <si>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</si>
  <si>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</si>
  <si>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</si>
  <si>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</si>
  <si>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</si>
  <si>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</si>
  <si>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</si>
  <si>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</si>
  <si>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</si>
  <si>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</si>
  <si>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</si>
  <si>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</si>
  <si>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</si>
  <si>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</si>
  <si>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</si>
  <si>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</si>
  <si>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</si>
  <si>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</si>
  <si>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</si>
  <si>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</si>
  <si>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</si>
  <si>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</si>
  <si>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</si>
  <si>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</si>
  <si>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</si>
  <si>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</si>
  <si>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</si>
  <si>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</si>
  <si>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</si>
  <si>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</si>
  <si>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</si>
  <si>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</si>
  <si>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</si>
  <si>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</si>
  <si>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</si>
  <si>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</si>
  <si>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</si>
  <si>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</si>
  <si>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</si>
  <si>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</si>
  <si>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</si>
  <si>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</si>
  <si>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</si>
  <si>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</si>
  <si>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</si>
  <si>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</si>
  <si>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</si>
  <si>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</si>
  <si>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</si>
  <si>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</si>
  <si>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</si>
  <si>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</si>
  <si>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</si>
  <si>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</si>
  <si>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</si>
  <si>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</si>
  <si>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</si>
  <si>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</si>
  <si>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</si>
  <si>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</si>
  <si>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</si>
  <si>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</si>
  <si>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</si>
  <si>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</si>
  <si>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</si>
  <si>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</si>
  <si>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</si>
  <si>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</si>
  <si>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</si>
  <si>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</si>
  <si>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</si>
  <si>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</si>
  <si>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</si>
  <si>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</si>
  <si>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</si>
  <si>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</si>
  <si>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</si>
  <si>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</si>
  <si>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</si>
  <si>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</si>
  <si>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</si>
  <si>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</si>
  <si>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</si>
  <si>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</si>
  <si>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</si>
  <si>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</si>
  <si>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</si>
  <si>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</si>
  <si>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</si>
  <si>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</si>
  <si>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</si>
  <si>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</si>
  <si>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</si>
  <si>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</si>
  <si>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</si>
  <si>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</si>
  <si>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</si>
  <si>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</si>
  <si>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</si>
  <si>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</si>
  <si>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</si>
  <si>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</si>
  <si>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</si>
  <si>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</si>
  <si>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</si>
  <si>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</si>
  <si>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</si>
  <si>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</si>
  <si>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</si>
  <si>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</si>
  <si>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</si>
  <si>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</si>
  <si>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</si>
  <si>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</si>
  <si>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</si>
  <si>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</si>
  <si>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</si>
  <si>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</si>
  <si>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</si>
  <si>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</si>
  <si>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</si>
  <si>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</si>
  <si>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</si>
  <si>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</si>
  <si>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</si>
  <si>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</si>
  <si>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</si>
  <si>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</si>
  <si>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</si>
  <si>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</si>
  <si>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</si>
  <si>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</si>
  <si>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</si>
  <si>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</si>
  <si>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</si>
  <si>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</si>
  <si>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</si>
  <si>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</si>
  <si>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</si>
  <si>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</si>
  <si>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</si>
  <si>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</si>
  <si>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</si>
  <si>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</si>
  <si>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</si>
  <si>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</si>
  <si>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</si>
  <si>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</si>
  <si>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</si>
  <si>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</si>
  <si>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</si>
  <si>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</si>
  <si>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</si>
  <si>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</si>
  <si>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</si>
  <si>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</si>
  <si>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</si>
  <si>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</si>
  <si>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</si>
  <si>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</si>
  <si>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</si>
  <si>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</si>
  <si>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</si>
  <si>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</si>
  <si>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</si>
  <si>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</si>
  <si>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</si>
  <si>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</si>
  <si>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</si>
  <si>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</si>
  <si>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</si>
  <si>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</si>
  <si>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</si>
  <si>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</si>
  <si>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</si>
  <si>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</si>
  <si>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</si>
  <si>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</si>
  <si>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</si>
  <si>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</si>
  <si>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</si>
  <si>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</si>
  <si>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</si>
  <si>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</si>
  <si>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</si>
  <si>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</si>
  <si>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</si>
  <si>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</si>
  <si>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</si>
  <si>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</si>
  <si>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</si>
  <si>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</si>
  <si>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</si>
  <si>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</si>
  <si>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</si>
  <si>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</si>
  <si>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</si>
  <si>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</si>
  <si>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</si>
  <si>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</si>
  <si>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</si>
  <si>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</si>
  <si>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</si>
  <si>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</si>
  <si>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</si>
  <si>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</si>
  <si>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</si>
  <si>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</si>
  <si>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</si>
  <si>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</si>
  <si>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</si>
  <si>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</si>
  <si>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</si>
  <si>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</si>
  <si>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</si>
  <si>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</si>
  <si>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</si>
  <si>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</si>
  <si>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</si>
  <si>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</si>
  <si>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</si>
  <si>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</si>
  <si>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</si>
  <si>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</si>
  <si>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</si>
  <si>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</si>
  <si>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</si>
  <si>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</si>
  <si>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</si>
  <si>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</si>
  <si>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</si>
  <si>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</si>
  <si>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</si>
  <si>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</si>
  <si>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</si>
  <si>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</si>
  <si>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</si>
  <si>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</si>
  <si>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</si>
  <si>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</si>
  <si>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</si>
  <si>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</si>
  <si>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</si>
  <si>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</si>
  <si>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</si>
  <si>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</si>
  <si>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</si>
  <si>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</si>
  <si>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</si>
  <si>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</si>
  <si>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</si>
  <si>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</si>
  <si>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</si>
  <si>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</si>
  <si>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</si>
  <si>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</si>
  <si>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</si>
  <si>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</si>
  <si>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</si>
  <si>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</si>
  <si>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</si>
  <si>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</si>
  <si>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</si>
  <si>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</si>
  <si>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</si>
  <si>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</si>
  <si>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</si>
  <si>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</si>
  <si>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</si>
  <si>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</si>
  <si>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</si>
  <si>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</si>
  <si>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</si>
  <si>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</si>
  <si>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</si>
  <si>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</si>
  <si>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</si>
  <si>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</si>
  <si>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</si>
  <si>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</si>
  <si>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</si>
  <si>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</si>
  <si>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</si>
  <si>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</si>
  <si>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</si>
  <si>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</si>
  <si>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</si>
  <si>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</si>
  <si>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</si>
  <si>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</si>
  <si>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</si>
  <si>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</si>
  <si>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</si>
  <si>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</si>
  <si>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</si>
  <si>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</si>
  <si>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</si>
  <si>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</si>
  <si>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</si>
  <si>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</si>
  <si>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</si>
  <si>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</si>
  <si>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</si>
  <si>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</si>
  <si>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</si>
  <si>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</si>
  <si>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</si>
  <si>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</si>
  <si>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</si>
  <si>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</si>
  <si>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</si>
  <si>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</si>
  <si>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</si>
  <si>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</si>
  <si>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</si>
  <si>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</si>
  <si>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</si>
  <si>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</si>
  <si>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</si>
  <si>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</si>
  <si>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</si>
  <si>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</si>
  <si>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</si>
  <si>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</si>
  <si>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</si>
  <si>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</si>
  <si>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</si>
  <si>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</si>
  <si>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</si>
  <si>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</si>
  <si>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</si>
  <si>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</si>
  <si>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</si>
  <si>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</si>
  <si>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</si>
  <si>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</si>
  <si>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</si>
  <si>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</si>
  <si>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</si>
  <si>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</si>
  <si>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</si>
  <si>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</si>
  <si>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</si>
  <si>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</si>
  <si>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</si>
  <si>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</si>
  <si>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</si>
  <si>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</si>
  <si>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</si>
  <si>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</si>
  <si>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</si>
  <si>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</si>
  <si>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</si>
  <si>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</si>
  <si>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</si>
  <si>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</si>
  <si>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</si>
  <si>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</si>
  <si>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</si>
  <si>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</si>
  <si>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</si>
  <si>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</si>
  <si>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</si>
  <si>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</si>
  <si>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</si>
  <si>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</si>
  <si>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</si>
  <si>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</si>
  <si>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</si>
  <si>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</si>
  <si>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</si>
  <si>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</si>
  <si>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</si>
  <si>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</si>
  <si>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</si>
  <si>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</si>
  <si>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</si>
  <si>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</si>
  <si>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</si>
  <si>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</si>
  <si>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</si>
  <si>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</si>
  <si>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</si>
  <si>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</si>
  <si>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</si>
  <si>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</si>
  <si>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</si>
  <si>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</si>
  <si>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</si>
  <si>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</si>
  <si>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</si>
  <si>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</si>
  <si>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</si>
  <si>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</si>
  <si>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</si>
  <si>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</si>
  <si>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</si>
  <si>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</si>
  <si>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</si>
  <si>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</si>
  <si>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</si>
  <si>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</si>
  <si>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</si>
  <si>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</si>
  <si>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</si>
  <si>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</si>
  <si>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</si>
  <si>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</si>
  <si>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</si>
  <si>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</si>
  <si>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</si>
  <si>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</si>
  <si>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</si>
  <si>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</si>
  <si>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</si>
  <si>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</si>
  <si>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</si>
  <si>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</si>
  <si>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</si>
  <si>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</si>
  <si>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</si>
  <si>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</si>
  <si>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</si>
  <si>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</si>
  <si>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</si>
  <si>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</si>
  <si>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</si>
  <si>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</si>
  <si>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</si>
  <si>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</si>
  <si>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</si>
  <si>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</si>
  <si>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</si>
  <si>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</si>
  <si>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</si>
  <si>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</si>
  <si>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</si>
  <si>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</si>
  <si>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</si>
  <si>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</si>
  <si>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</si>
  <si>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</si>
  <si>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</si>
  <si>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</si>
  <si>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</si>
  <si>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</si>
  <si>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</si>
  <si>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</si>
  <si>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</si>
  <si>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</si>
  <si>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</si>
  <si>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</si>
  <si>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</si>
  <si>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</si>
  <si>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</si>
  <si>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</si>
  <si>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</si>
  <si>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</si>
  <si>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</si>
  <si>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</si>
  <si>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</si>
  <si>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</si>
  <si>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</si>
  <si>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</si>
  <si>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</si>
  <si>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</si>
  <si>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</si>
  <si>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</si>
  <si>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</si>
  <si>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</si>
  <si>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</si>
  <si>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</si>
  <si>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</si>
  <si>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</si>
  <si>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</si>
  <si>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</si>
  <si>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</si>
  <si>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</si>
  <si>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</si>
  <si>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</si>
  <si>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</si>
  <si>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</si>
  <si>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</si>
  <si>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</si>
  <si>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</si>
  <si>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</si>
  <si>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</si>
  <si>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</si>
  <si>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</si>
  <si>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</si>
  <si>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</si>
  <si>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</si>
  <si>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</si>
  <si>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</si>
  <si>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</si>
  <si>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</si>
  <si>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</si>
  <si>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</si>
  <si>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</si>
  <si>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</si>
  <si>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</si>
  <si>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</si>
  <si>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</si>
  <si>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</si>
  <si>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</si>
  <si>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</si>
  <si>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</si>
  <si>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</si>
  <si>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</si>
  <si>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</si>
  <si>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</si>
  <si>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</si>
  <si>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</si>
  <si>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</si>
  <si>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</si>
  <si>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</si>
  <si>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</si>
  <si>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</si>
  <si>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</si>
  <si>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</si>
  <si>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</si>
  <si>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</si>
  <si>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</si>
  <si>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</si>
  <si>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</si>
  <si>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</si>
  <si>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</si>
  <si>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</si>
  <si>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</si>
  <si>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</si>
  <si>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</si>
  <si>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</si>
  <si>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</si>
  <si>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</si>
  <si>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</si>
  <si>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</si>
  <si>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</si>
  <si>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</si>
  <si>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</si>
  <si>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</si>
  <si>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</si>
  <si>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</si>
  <si>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</si>
  <si>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</si>
  <si>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</si>
  <si>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</si>
  <si>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</si>
  <si>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</si>
  <si>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</si>
  <si>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</si>
  <si>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</si>
  <si>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</si>
  <si>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</si>
  <si>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</si>
  <si>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</si>
  <si>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</si>
  <si>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</si>
  <si>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</si>
  <si>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</si>
  <si>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</si>
  <si>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</si>
  <si>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</si>
  <si>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</si>
  <si>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</si>
  <si>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</si>
  <si>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</si>
  <si>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</si>
  <si>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</si>
  <si>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</si>
  <si>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</si>
  <si>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</si>
  <si>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</si>
  <si>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</si>
  <si>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</si>
  <si>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</si>
  <si>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</si>
  <si>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</si>
  <si>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</si>
  <si>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</si>
  <si>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</si>
  <si>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</si>
  <si>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</si>
  <si>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</si>
  <si>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</si>
  <si>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</si>
  <si>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</si>
  <si>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</si>
  <si>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</si>
  <si>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</si>
  <si>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</si>
  <si>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</si>
  <si>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</si>
  <si>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</si>
  <si>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</si>
  <si>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</si>
  <si>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</si>
  <si>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</si>
  <si>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</si>
  <si>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</si>
  <si>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</si>
  <si>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</si>
  <si>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</si>
  <si>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</si>
  <si>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</si>
  <si>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</si>
  <si>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</si>
  <si>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</si>
  <si>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</si>
  <si>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</si>
  <si>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</si>
  <si>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</si>
  <si>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</si>
  <si>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</si>
  <si>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</si>
  <si>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</si>
  <si>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</si>
  <si>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</si>
  <si>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</si>
  <si>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</si>
  <si>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</si>
  <si>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</si>
  <si>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</si>
  <si>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</si>
  <si>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</si>
  <si>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</si>
  <si>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</si>
  <si>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</si>
  <si>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</si>
  <si>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</si>
  <si>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</si>
  <si>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</si>
  <si>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</si>
  <si>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</si>
  <si>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</si>
  <si>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</si>
  <si>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</si>
  <si>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</si>
  <si>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</si>
  <si>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</si>
  <si>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</si>
  <si>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</si>
  <si>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</si>
  <si>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</si>
  <si>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</si>
  <si>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</si>
  <si>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</si>
  <si>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</si>
  <si>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</si>
  <si>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</si>
  <si>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</si>
  <si>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</si>
  <si>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</si>
  <si>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</si>
  <si>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</si>
  <si>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</si>
  <si>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</si>
  <si>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</si>
  <si>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</si>
  <si>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</si>
  <si>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</si>
  <si>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</si>
  <si>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</si>
  <si>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</si>
  <si>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</si>
  <si>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</si>
  <si>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</si>
  <si>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</si>
  <si>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</si>
  <si>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</si>
  <si>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</si>
  <si>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</si>
  <si>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</si>
  <si>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</si>
  <si>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</si>
  <si>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</si>
  <si>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</si>
  <si>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</si>
  <si>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</si>
  <si>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</si>
  <si>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</si>
  <si>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</si>
  <si>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</si>
  <si>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</si>
  <si>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</si>
  <si>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</si>
  <si>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</si>
  <si>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</si>
  <si>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</si>
  <si>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</si>
  <si>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</si>
  <si>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</si>
  <si>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</si>
  <si>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</si>
  <si>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</si>
  <si>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</si>
  <si>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</si>
  <si>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</si>
  <si>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</si>
  <si>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</si>
  <si>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</si>
  <si>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</si>
  <si>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</si>
  <si>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</si>
  <si>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</si>
  <si>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</si>
  <si>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</si>
  <si>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</si>
  <si>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</si>
  <si>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</si>
  <si>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</si>
  <si>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</si>
  <si>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</si>
  <si>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</si>
  <si>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</si>
  <si>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</si>
  <si>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</si>
  <si>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</si>
  <si>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</si>
  <si>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</si>
  <si>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</si>
  <si>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</si>
  <si>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</si>
  <si>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</si>
  <si>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</si>
  <si>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</si>
  <si>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</si>
  <si>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</si>
  <si>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</si>
  <si>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</si>
  <si>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</si>
  <si>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</si>
  <si>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</si>
  <si>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</si>
  <si>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</si>
  <si>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</si>
  <si>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</si>
  <si>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</si>
  <si>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</si>
  <si>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</si>
  <si>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</si>
  <si>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</si>
  <si>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</si>
  <si>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</si>
  <si>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</si>
  <si>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</si>
  <si>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</si>
  <si>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</si>
  <si>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</si>
  <si>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</si>
  <si>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</si>
  <si>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</si>
  <si>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</si>
  <si>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</si>
  <si>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</si>
  <si>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</si>
  <si>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</si>
  <si>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</si>
  <si>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</si>
  <si>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</si>
  <si>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</si>
  <si>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</si>
  <si>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</si>
  <si>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</si>
  <si>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</si>
  <si>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</si>
  <si>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</si>
  <si>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</si>
  <si>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</si>
  <si>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</si>
  <si>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</si>
  <si>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</si>
  <si>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</si>
  <si>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</si>
  <si>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</si>
  <si>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</si>
  <si>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</si>
  <si>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</si>
  <si>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</si>
  <si>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</si>
  <si>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</si>
  <si>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</si>
  <si>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</si>
  <si>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</si>
  <si>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</si>
  <si>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</si>
  <si>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</si>
  <si>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</si>
  <si>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</si>
  <si>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</si>
  <si>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</si>
  <si>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</si>
  <si>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</si>
  <si>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</si>
  <si>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</si>
  <si>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</si>
  <si>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</si>
  <si>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</si>
  <si>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</si>
  <si>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</si>
  <si>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</si>
  <si>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</si>
  <si>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</si>
  <si>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</si>
  <si>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</si>
  <si>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</si>
  <si>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</si>
  <si>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</si>
  <si>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</si>
  <si>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</si>
  <si>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</si>
  <si>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</si>
  <si>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</si>
  <si>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</si>
  <si>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</si>
  <si>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</si>
  <si>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</si>
  <si>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</si>
  <si>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</si>
  <si>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</si>
  <si>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</si>
  <si>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</si>
  <si>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</si>
  <si>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</si>
  <si>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</si>
  <si>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</si>
  <si>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</si>
  <si>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</si>
  <si>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</si>
  <si>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</si>
  <si>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</si>
  <si>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</si>
  <si>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</si>
  <si>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</si>
  <si>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</si>
  <si>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</si>
  <si>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</si>
  <si>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</si>
  <si>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</si>
  <si>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</si>
  <si>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</si>
  <si>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</si>
  <si>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</si>
  <si>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</si>
  <si>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</si>
  <si>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</si>
  <si>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</si>
  <si>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</si>
  <si>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</si>
  <si>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</si>
  <si>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</si>
  <si>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</si>
  <si>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</si>
  <si>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</si>
  <si>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</si>
  <si>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</si>
  <si>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</si>
  <si>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</si>
  <si>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</si>
  <si>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</si>
  <si>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</si>
  <si>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</si>
  <si>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</si>
  <si>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</si>
  <si>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</si>
  <si>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</si>
  <si>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</si>
  <si>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</si>
  <si>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</si>
  <si>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</si>
  <si>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</si>
  <si>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</si>
  <si>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</si>
  <si>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</si>
  <si>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</si>
  <si>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</si>
  <si>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</si>
  <si>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</si>
  <si>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</si>
  <si>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</si>
  <si>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</si>
  <si>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</si>
  <si>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</si>
  <si>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</si>
  <si>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</si>
  <si>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</si>
  <si>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</si>
  <si>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</si>
  <si>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</si>
  <si>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</si>
  <si>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</si>
  <si>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</si>
  <si>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</si>
  <si>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</si>
  <si>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</si>
  <si>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</si>
  <si>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</si>
  <si>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</si>
  <si>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</si>
  <si>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</si>
  <si>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</si>
  <si>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</si>
  <si>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</si>
  <si>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</si>
  <si>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</si>
  <si>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</si>
  <si>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</si>
  <si>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</si>
  <si>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</si>
  <si>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</si>
  <si>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</si>
  <si>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</si>
  <si>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</si>
  <si>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</si>
  <si>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</si>
  <si>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</si>
  <si>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</si>
  <si>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</si>
  <si>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</si>
  <si>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</si>
  <si>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</si>
  <si>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</si>
  <si>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</si>
  <si>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</si>
  <si>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</si>
  <si>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</si>
  <si>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</si>
  <si>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</si>
  <si>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</si>
  <si>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</si>
  <si>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</si>
  <si>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</si>
  <si>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</si>
  <si>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</si>
  <si>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</si>
  <si>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</si>
  <si>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</si>
  <si>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</si>
  <si>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</si>
  <si>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</si>
  <si>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</si>
  <si>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</si>
  <si>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</si>
  <si>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</si>
  <si>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</si>
  <si>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</si>
  <si>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</si>
  <si>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</si>
  <si>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</si>
  <si>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</si>
  <si>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</si>
  <si>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</si>
  <si>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</si>
  <si>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</si>
  <si>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</si>
  <si>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</si>
  <si>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</si>
  <si>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</si>
  <si>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</si>
  <si>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</si>
  <si>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</si>
  <si>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</si>
  <si>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</si>
  <si>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</si>
  <si>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</si>
  <si>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</si>
  <si>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</si>
  <si>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</si>
  <si>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</si>
  <si>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</si>
  <si>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</si>
  <si>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</si>
  <si>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</si>
  <si>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</si>
  <si>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</si>
  <si>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</si>
  <si>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</si>
  <si>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</si>
  <si>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</si>
  <si>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</si>
  <si>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</si>
  <si>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</si>
  <si>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</si>
  <si>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</si>
  <si>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</si>
  <si>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</si>
  <si>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</si>
  <si>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</si>
  <si>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</si>
  <si>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</si>
  <si>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</si>
  <si>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</si>
  <si>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</si>
  <si>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</si>
  <si>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</si>
  <si>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</si>
  <si>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</si>
  <si>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</si>
  <si>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</si>
  <si>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</si>
  <si>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</si>
  <si>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</si>
  <si>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</si>
  <si>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</si>
  <si>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</si>
  <si>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</si>
  <si>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</si>
  <si>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</si>
  <si>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</si>
  <si>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</si>
  <si>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</si>
  <si>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</si>
  <si>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</si>
  <si>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</si>
  <si>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</si>
  <si>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</si>
  <si>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</si>
  <si>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</si>
  <si>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</si>
  <si>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</si>
  <si>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</si>
  <si>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</si>
  <si>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</si>
  <si>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</si>
  <si>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</si>
  <si>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</si>
  <si>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</si>
  <si>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</si>
  <si>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</si>
  <si>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</si>
  <si>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</si>
  <si>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</si>
  <si>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</si>
  <si>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</si>
  <si>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</si>
  <si>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</si>
  <si>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</si>
  <si>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已注销</t>
  </si>
  <si>
    <t>市场价格</t>
  </si>
  <si>
    <t>企业</t>
  </si>
  <si>
    <t>划拨</t>
  </si>
  <si>
    <t>京顺国用（2000）字第0176号</t>
    <phoneticPr fontId="3" type="noConversion"/>
  </si>
  <si>
    <t>京房权证顺国字第00328号</t>
    <phoneticPr fontId="3" type="noConversion"/>
  </si>
  <si>
    <t>地上</t>
  </si>
  <si>
    <t>标准厂房</t>
  </si>
  <si>
    <t>工业</t>
    <phoneticPr fontId="7" type="noConversion"/>
  </si>
  <si>
    <t>成新度</t>
  </si>
  <si>
    <t>不动产收益法</t>
  </si>
  <si>
    <r>
      <rPr>
        <sz val="11"/>
        <color indexed="53"/>
        <rFont val="仿宋_GB2312"/>
        <family val="3"/>
        <charset val="134"/>
      </rPr>
      <t>估价对象周边居住用地比例、居住小区规模和社区发展完善程度，综合评价居住社区成熟度一般</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</si>
  <si>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商圈，周边商业氛围成熟，人流量大，商业繁华度好</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</si>
  <si>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商圈，周边办公楼项目较多，入驻率高，办公集聚程度较好</t>
    </r>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</si>
  <si>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</si>
  <si>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估价对象所在区域公共配套设施齐备情况一般</t>
    <phoneticPr fontId="3" type="noConversion"/>
  </si>
  <si>
    <r>
      <rPr>
        <sz val="11"/>
        <color indexed="53"/>
        <rFont val="仿宋_GB2312"/>
        <family val="3"/>
        <charset val="134"/>
      </rPr>
      <t>估价对象所在区域基础设施水平</t>
    </r>
    <phoneticPr fontId="3" type="noConversion"/>
  </si>
  <si>
    <t>区域自然环境：小众和；人文环境：国家新闻出版广电总局研修学院；综合评价环境状况一般</t>
    <phoneticPr fontId="3" type="noConversion"/>
  </si>
  <si>
    <t>城市次干道——顺余路</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</si>
  <si>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</si>
  <si>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</si>
  <si>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区域自然环境：小众河；人文环境：国家新闻出版广电总局研修学院；综合评价环境状况一般</t>
    <phoneticPr fontId="3" type="noConversion"/>
  </si>
  <si>
    <t>Ⅷ-顺1</t>
  </si>
  <si>
    <t>押一</t>
  </si>
  <si>
    <t>按租金收入计税</t>
  </si>
  <si>
    <t>钢混</t>
  </si>
  <si>
    <t>较好</t>
  </si>
  <si>
    <t>一般</t>
  </si>
  <si>
    <t>工业用地</t>
  </si>
  <si>
    <t>自定义容积率</t>
  </si>
  <si>
    <t>与级别开发程度一致</t>
  </si>
  <si>
    <t>按公示增长率计算</t>
  </si>
  <si>
    <t>容积率修正</t>
  </si>
  <si>
    <t>土地开发补偿费</t>
  </si>
  <si>
    <t>正常</t>
  </si>
  <si>
    <t>昌平、大兴、房山、顺义、怀柔近三年土地一级开发项目</t>
    <phoneticPr fontId="3" type="noConversion"/>
  </si>
  <si>
    <t>1公顷=15亩</t>
    <phoneticPr fontId="225" type="noConversion"/>
  </si>
  <si>
    <t>年度</t>
    <phoneticPr fontId="3" type="noConversion"/>
  </si>
  <si>
    <t>会期</t>
    <phoneticPr fontId="286"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</si>
  <si>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</si>
  <si>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</si>
  <si>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</si>
  <si>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</si>
  <si>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</si>
  <si>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</si>
  <si>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</si>
  <si>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</si>
  <si>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</si>
  <si>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</si>
  <si>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</si>
  <si>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</si>
  <si>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</si>
  <si>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</si>
  <si>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</si>
  <si>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</si>
  <si>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</si>
  <si>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</si>
  <si>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</si>
  <si>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</si>
  <si>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</si>
  <si>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</si>
  <si>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</si>
  <si>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</si>
  <si>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</si>
  <si>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</si>
  <si>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</si>
  <si>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</si>
  <si>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</si>
  <si>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</si>
  <si>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</si>
  <si>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</si>
  <si>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</si>
  <si>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</si>
  <si>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</si>
  <si>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</si>
  <si>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</si>
  <si>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</si>
  <si>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</si>
  <si>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</si>
  <si>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</si>
  <si>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</si>
  <si>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</si>
  <si>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</si>
  <si>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</si>
  <si>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</si>
  <si>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</si>
  <si>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</si>
  <si>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</si>
  <si>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</si>
  <si>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</si>
  <si>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</si>
  <si>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</si>
  <si>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</si>
  <si>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</si>
  <si>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</si>
  <si>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</si>
  <si>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</si>
  <si>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</si>
  <si>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</si>
  <si>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</si>
  <si>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</si>
  <si>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</si>
  <si>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</si>
  <si>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</si>
  <si>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</si>
  <si>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</si>
  <si>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</si>
  <si>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</si>
  <si>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</si>
  <si>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</si>
  <si>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</si>
  <si>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</si>
  <si>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</si>
  <si>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</si>
  <si>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</si>
  <si>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</si>
  <si>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</si>
  <si>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</si>
  <si>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</si>
  <si>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</si>
  <si>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</si>
  <si>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</si>
  <si>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</si>
  <si>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</si>
  <si>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</si>
  <si>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</si>
  <si>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</si>
  <si>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</si>
  <si>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</si>
  <si>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</si>
  <si>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</si>
  <si>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</si>
  <si>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</si>
  <si>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</si>
  <si>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</si>
  <si>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</si>
  <si>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</si>
  <si>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</si>
  <si>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</si>
  <si>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</si>
  <si>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6"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</si>
  <si>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</si>
  <si>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</si>
  <si>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</si>
  <si>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</si>
  <si>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6"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</si>
  <si>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</si>
  <si>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</si>
  <si>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</si>
  <si>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</si>
  <si>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</si>
  <si>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</si>
  <si>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</si>
  <si>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</si>
  <si>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</si>
  <si>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</si>
  <si>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5"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</si>
  <si>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</si>
  <si>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</si>
  <si>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6" type="noConversion"/>
  </si>
  <si>
    <t>第8期</t>
    <phoneticPr fontId="286"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</si>
  <si>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</si>
  <si>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</si>
  <si>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</si>
  <si>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</si>
  <si>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6" type="noConversion"/>
  </si>
  <si>
    <t>大兴区三海子郊野公园居住用地土地储备项目YZ00-0801-0015、16、17、18、19、24、25、26地块、DX05-0102-6101、6102地块</t>
    <phoneticPr fontId="225"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</si>
  <si>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</si>
  <si>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</si>
  <si>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</si>
  <si>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6"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</si>
  <si>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</si>
  <si>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</si>
  <si>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</si>
  <si>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</si>
  <si>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</si>
  <si>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</si>
  <si>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</si>
  <si>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</si>
  <si>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</si>
  <si>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</si>
  <si>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</si>
  <si>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</si>
  <si>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</si>
  <si>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</si>
  <si>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</si>
  <si>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</si>
  <si>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</si>
  <si>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</si>
  <si>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</si>
  <si>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</si>
  <si>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</si>
  <si>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</si>
  <si>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</si>
  <si>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</si>
  <si>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</si>
  <si>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</si>
  <si>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</si>
  <si>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</si>
  <si>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</si>
  <si>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</si>
  <si>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</si>
  <si>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</si>
  <si>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</si>
  <si>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</si>
  <si>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</si>
  <si>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</si>
  <si>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</si>
  <si>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</si>
  <si>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</si>
  <si>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</si>
  <si>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</si>
  <si>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</si>
  <si>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</si>
  <si>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</si>
  <si>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</si>
  <si>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</si>
  <si>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昌平区六环路土城出口土城新村改造
土地一级开发项目核A-04、A-05、A-07地块</t>
    <phoneticPr fontId="225" type="noConversion"/>
  </si>
  <si>
    <t>顺义北小营</t>
    <phoneticPr fontId="28" type="noConversion"/>
  </si>
  <si>
    <t>五通</t>
  </si>
  <si>
    <t>六通</t>
  </si>
  <si>
    <t>六级</t>
    <phoneticPr fontId="28" type="noConversion"/>
  </si>
  <si>
    <t>七级</t>
    <phoneticPr fontId="28" type="noConversion"/>
  </si>
  <si>
    <t>八级</t>
    <phoneticPr fontId="28" type="noConversion"/>
  </si>
  <si>
    <t>九级</t>
    <phoneticPr fontId="28" type="noConversion"/>
  </si>
  <si>
    <t>十级</t>
    <phoneticPr fontId="28" type="noConversion"/>
  </si>
  <si>
    <t>较规则</t>
  </si>
  <si>
    <t>较规则</t>
    <phoneticPr fontId="28" type="noConversion"/>
  </si>
  <si>
    <t>较好</t>
    <phoneticPr fontId="28" type="noConversion"/>
  </si>
  <si>
    <t>2019-1</t>
    <phoneticPr fontId="28" type="noConversion"/>
  </si>
  <si>
    <t>2018-4</t>
    <phoneticPr fontId="28" type="noConversion"/>
  </si>
  <si>
    <t>2018-3</t>
    <phoneticPr fontId="28" type="noConversion"/>
  </si>
  <si>
    <t>2018-2</t>
    <phoneticPr fontId="28" type="noConversion"/>
  </si>
  <si>
    <t>2018-1</t>
    <phoneticPr fontId="28" type="noConversion"/>
  </si>
  <si>
    <t>基准地价</t>
  </si>
  <si>
    <t>剩余法-现房</t>
  </si>
  <si>
    <t>基准地价</t>
    <phoneticPr fontId="225" type="noConversion"/>
  </si>
  <si>
    <t>剩余法</t>
    <phoneticPr fontId="225" type="noConversion"/>
  </si>
  <si>
    <t>扣除增值收益率单价</t>
    <phoneticPr fontId="225" type="noConversion"/>
  </si>
  <si>
    <t>权重</t>
    <phoneticPr fontId="225" type="noConversion"/>
  </si>
  <si>
    <t>单价</t>
    <phoneticPr fontId="225" type="noConversion"/>
  </si>
  <si>
    <t>亩</t>
    <phoneticPr fontId="225" type="noConversion"/>
  </si>
  <si>
    <t>成本逼近</t>
    <phoneticPr fontId="225" type="noConversion"/>
  </si>
  <si>
    <t>评估结果一览表</t>
    <phoneticPr fontId="225" type="noConversion"/>
  </si>
  <si>
    <t>序号</t>
    <phoneticPr fontId="225" type="noConversion"/>
  </si>
  <si>
    <t>价格（万元）</t>
    <phoneticPr fontId="225" type="noConversion"/>
  </si>
  <si>
    <t>土地使用权(划拨）</t>
    <phoneticPr fontId="225" type="noConversion"/>
  </si>
  <si>
    <t>建筑物</t>
    <phoneticPr fontId="225" type="noConversion"/>
  </si>
  <si>
    <t>附属物</t>
    <phoneticPr fontId="225" type="noConversion"/>
  </si>
  <si>
    <t>无法恢复使用的设施设备补偿价</t>
    <phoneticPr fontId="225"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</si>
  <si>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</si>
  <si>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5" type="noConversion"/>
  </si>
  <si>
    <t>因土地收购造成的停产停业损失补偿费用</t>
    <phoneticPr fontId="225"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</si>
  <si>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</si>
  <si>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5" type="noConversion"/>
  </si>
  <si>
    <t>合计</t>
    <phoneticPr fontId="225" type="noConversion"/>
  </si>
  <si>
    <t>三通</t>
    <phoneticPr fontId="28" type="noConversion"/>
  </si>
  <si>
    <t>四通</t>
    <phoneticPr fontId="28" type="noConversion"/>
  </si>
  <si>
    <t>五通</t>
    <phoneticPr fontId="28" type="noConversion"/>
  </si>
  <si>
    <t>六通</t>
    <phoneticPr fontId="28" type="noConversion"/>
  </si>
  <si>
    <t>大兴区黄村镇三合庄改造区土地一级开发项目DX00-0202-6008、6009
地块</t>
    <phoneticPr fontId="225" type="noConversion"/>
  </si>
  <si>
    <t>商业</t>
  </si>
  <si>
    <t>不临58条商业街</t>
  </si>
  <si>
    <t>批发零售用地</t>
  </si>
  <si>
    <t>原基准地价1580</t>
    <phoneticPr fontId="225" type="noConversion"/>
  </si>
  <si>
    <t>无限年期</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</si>
</sst>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0"/>
      <color indexed="8"/>
      <name val="楷体_GB2312"/>
      <charset val="134"/>
    </font>
    <font>
      <sz val="11"/>
      <color indexed="53"/>
      <name val="仿宋_GB2312"/>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848587"/>
        <bgColor indexed="64"/>
      </patternFill>
    </fill>
    <fill>
      <patternFill patternType="solid">
        <fgColor rgb="FFF2F2F2"/>
        <bgColor indexed="64"/>
      </patternFill>
    </fill>
    <fill>
      <patternFill patternType="solid">
        <fgColor theme="9" tint="0.59999389629810485"/>
        <bgColor indexed="64"/>
      </patternFill>
    </fill>
    <fill>
      <patternFill patternType="solid">
        <fgColor theme="5" tint="0.59999389629810485"/>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78" fillId="0" borderId="0">
      <alignment vertical="center"/>
    </xf>
    <xf numFmtId="0" fontId="281" fillId="0" borderId="0">
      <alignment vertical="center"/>
    </xf>
    <xf numFmtId="0" fontId="78" fillId="0" borderId="0">
      <alignment vertical="center"/>
    </xf>
  </cellStyleXfs>
  <cellXfs count="39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282" fillId="0" borderId="2" xfId="0" applyFont="1" applyBorder="1" applyAlignment="1" applyProtection="1">
      <alignment horizontal="center" vertical="center" wrapText="1"/>
      <protection locked="0"/>
    </xf>
    <xf numFmtId="49" fontId="259" fillId="0" borderId="7" xfId="0" applyNumberFormat="1" applyFont="1" applyBorder="1" applyAlignment="1" applyProtection="1">
      <alignment horizontal="left" vertical="center" wrapText="1"/>
      <protection locked="0"/>
    </xf>
    <xf numFmtId="49" fontId="259" fillId="0" borderId="12" xfId="0" applyNumberFormat="1" applyFont="1" applyBorder="1" applyAlignment="1" applyProtection="1">
      <alignment horizontal="left" vertical="center" wrapText="1"/>
      <protection locked="0"/>
    </xf>
    <xf numFmtId="0" fontId="283" fillId="0" borderId="12" xfId="0" applyFont="1" applyBorder="1" applyAlignment="1" applyProtection="1">
      <alignment horizontal="left" vertical="center" wrapText="1"/>
      <protection locked="0"/>
    </xf>
    <xf numFmtId="49" fontId="283" fillId="0" borderId="12" xfId="0" applyNumberFormat="1" applyFont="1" applyBorder="1" applyAlignment="1" applyProtection="1">
      <alignment horizontal="left" vertical="center" wrapText="1"/>
      <protection locked="0"/>
    </xf>
    <xf numFmtId="0" fontId="284" fillId="0" borderId="46" xfId="0" applyFont="1" applyBorder="1" applyAlignment="1" applyProtection="1">
      <alignment horizontal="left" vertical="center"/>
      <protection locked="0"/>
    </xf>
    <xf numFmtId="0" fontId="283" fillId="0" borderId="51" xfId="0" applyFont="1" applyBorder="1" applyAlignment="1" applyProtection="1">
      <alignment horizontal="left" vertical="center" wrapText="1"/>
      <protection locked="0"/>
    </xf>
    <xf numFmtId="0" fontId="283" fillId="0" borderId="46" xfId="0" applyFont="1" applyBorder="1" applyAlignment="1" applyProtection="1">
      <alignment horizontal="left" vertical="center" wrapText="1"/>
      <protection locked="0"/>
    </xf>
    <xf numFmtId="0" fontId="286" fillId="0" borderId="0" xfId="17" applyFont="1" applyAlignment="1">
      <alignment vertical="center" wrapText="1"/>
    </xf>
    <xf numFmtId="0" fontId="142" fillId="0" borderId="0" xfId="1" applyAlignment="1">
      <alignment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0" fontId="290" fillId="0" borderId="2" xfId="17" applyFont="1" applyBorder="1" applyAlignment="1">
      <alignment horizontal="center" vertical="center" wrapText="1"/>
    </xf>
    <xf numFmtId="177" fontId="291" fillId="0" borderId="2" xfId="17" applyNumberFormat="1" applyFont="1" applyBorder="1" applyAlignment="1">
      <alignment horizontal="center" vertical="center" wrapText="1"/>
    </xf>
    <xf numFmtId="177" fontId="79" fillId="0" borderId="2" xfId="17" applyNumberFormat="1" applyFont="1" applyBorder="1" applyAlignment="1">
      <alignment horizontal="left" vertical="center" wrapText="1"/>
    </xf>
    <xf numFmtId="0" fontId="292" fillId="0" borderId="21" xfId="17" applyFont="1" applyBorder="1" applyAlignment="1">
      <alignment horizontal="center" vertical="center" wrapText="1"/>
    </xf>
    <xf numFmtId="0" fontId="292" fillId="0" borderId="0" xfId="17" applyFont="1" applyAlignment="1">
      <alignment vertical="center" wrapText="1"/>
    </xf>
    <xf numFmtId="0" fontId="292" fillId="0" borderId="2" xfId="17" applyFont="1" applyBorder="1" applyAlignment="1">
      <alignment horizontal="center" vertical="center" wrapText="1"/>
    </xf>
    <xf numFmtId="177" fontId="124" fillId="0" borderId="2" xfId="17" applyNumberFormat="1" applyFont="1" applyBorder="1" applyAlignment="1">
      <alignment horizontal="center" vertical="center" wrapText="1"/>
    </xf>
    <xf numFmtId="177" fontId="79" fillId="0" borderId="2" xfId="17" applyNumberFormat="1" applyFont="1" applyBorder="1" applyAlignment="1">
      <alignment horizontal="center" vertical="center" wrapText="1"/>
    </xf>
    <xf numFmtId="177" fontId="290" fillId="0" borderId="2" xfId="17" applyNumberFormat="1" applyFont="1" applyBorder="1" applyAlignment="1">
      <alignment horizontal="center" vertical="center" wrapText="1"/>
    </xf>
    <xf numFmtId="0" fontId="291" fillId="0" borderId="2" xfId="17" applyFont="1" applyBorder="1" applyAlignment="1">
      <alignment horizontal="center" vertical="center" wrapText="1"/>
    </xf>
    <xf numFmtId="0" fontId="289" fillId="0" borderId="0" xfId="17" applyFont="1" applyAlignment="1">
      <alignment vertical="center" wrapText="1"/>
    </xf>
    <xf numFmtId="0" fontId="289" fillId="6" borderId="2" xfId="17" applyFont="1" applyFill="1" applyBorder="1" applyAlignment="1">
      <alignment horizontal="center" vertical="center" wrapText="1"/>
    </xf>
    <xf numFmtId="0" fontId="291" fillId="6" borderId="2" xfId="17" applyFont="1" applyFill="1" applyBorder="1" applyAlignment="1">
      <alignment horizontal="center" vertical="center" wrapText="1"/>
    </xf>
    <xf numFmtId="177" fontId="290"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left" vertical="center" wrapText="1"/>
    </xf>
    <xf numFmtId="177" fontId="291" fillId="6" borderId="2" xfId="17" applyNumberFormat="1" applyFont="1" applyFill="1" applyBorder="1" applyAlignment="1">
      <alignment horizontal="center" vertical="center" wrapText="1"/>
    </xf>
    <xf numFmtId="0" fontId="289" fillId="6" borderId="0" xfId="17" applyFont="1" applyFill="1" applyAlignment="1">
      <alignment vertical="center" wrapText="1"/>
    </xf>
    <xf numFmtId="0" fontId="292" fillId="6" borderId="10" xfId="17" applyFont="1" applyFill="1" applyBorder="1" applyAlignment="1">
      <alignment horizontal="center" vertical="center" wrapText="1"/>
    </xf>
    <xf numFmtId="177" fontId="290" fillId="0" borderId="0" xfId="17" applyNumberFormat="1" applyFont="1" applyAlignment="1">
      <alignment horizontal="center" vertical="center" wrapText="1"/>
    </xf>
    <xf numFmtId="185" fontId="290" fillId="0" borderId="2" xfId="17" applyNumberFormat="1" applyFont="1" applyBorder="1" applyAlignment="1">
      <alignment horizontal="center" vertical="center" wrapText="1"/>
    </xf>
    <xf numFmtId="177" fontId="161" fillId="8" borderId="2" xfId="17" applyNumberFormat="1" applyFont="1" applyFill="1" applyBorder="1" applyAlignment="1">
      <alignment horizontal="center" vertical="center" wrapText="1"/>
    </xf>
    <xf numFmtId="177" fontId="161" fillId="0" borderId="0" xfId="17" applyNumberFormat="1" applyFont="1" applyAlignment="1">
      <alignment vertical="center" wrapText="1"/>
    </xf>
    <xf numFmtId="177" fontId="291" fillId="0" borderId="2" xfId="17" applyNumberFormat="1" applyFont="1" applyBorder="1" applyAlignment="1">
      <alignment horizontal="left" vertical="center" wrapText="1"/>
    </xf>
    <xf numFmtId="0" fontId="293" fillId="0" borderId="0" xfId="17" applyFont="1" applyAlignment="1">
      <alignment vertical="center" wrapText="1"/>
    </xf>
    <xf numFmtId="185" fontId="161" fillId="0" borderId="2" xfId="17" applyNumberFormat="1" applyFont="1" applyBorder="1" applyAlignment="1">
      <alignment horizontal="center" vertical="center" wrapText="1"/>
    </xf>
    <xf numFmtId="195" fontId="290" fillId="0" borderId="2" xfId="18" applyNumberFormat="1" applyFont="1" applyBorder="1" applyAlignment="1">
      <alignment horizontal="center" vertical="center" wrapText="1"/>
    </xf>
    <xf numFmtId="177" fontId="290" fillId="0" borderId="2" xfId="17" applyNumberFormat="1" applyFont="1" applyBorder="1" applyAlignment="1">
      <alignment horizontal="left" vertical="center" wrapText="1"/>
    </xf>
    <xf numFmtId="0" fontId="290" fillId="0" borderId="2" xfId="18" applyFont="1" applyBorder="1" applyAlignment="1">
      <alignment horizontal="center" vertical="center" wrapText="1"/>
    </xf>
    <xf numFmtId="0" fontId="161" fillId="0" borderId="0" xfId="17" applyFont="1" applyAlignment="1">
      <alignment horizontal="center" vertical="center" wrapText="1"/>
    </xf>
    <xf numFmtId="0" fontId="161" fillId="0" borderId="2" xfId="17" applyFont="1" applyBorder="1" applyAlignment="1">
      <alignment horizontal="center" vertical="center" wrapText="1"/>
    </xf>
    <xf numFmtId="0" fontId="124" fillId="0" borderId="2" xfId="17" applyFont="1" applyBorder="1" applyAlignment="1">
      <alignment horizontal="center" vertical="center" wrapText="1"/>
    </xf>
    <xf numFmtId="177" fontId="294" fillId="0" borderId="2" xfId="17" applyNumberFormat="1" applyFont="1" applyBorder="1" applyAlignment="1">
      <alignment horizontal="center" vertical="center" wrapText="1"/>
    </xf>
    <xf numFmtId="177" fontId="294"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6" borderId="2" xfId="17" applyFont="1" applyFill="1" applyBorder="1" applyAlignment="1">
      <alignment horizontal="center" vertical="center" wrapText="1"/>
    </xf>
    <xf numFmtId="185" fontId="290" fillId="6" borderId="2" xfId="17" applyNumberFormat="1" applyFont="1" applyFill="1" applyBorder="1" applyAlignment="1">
      <alignment horizontal="center" vertical="center" wrapText="1"/>
    </xf>
    <xf numFmtId="177" fontId="294"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17" applyFont="1" applyAlignment="1">
      <alignment vertical="center" wrapText="1"/>
    </xf>
    <xf numFmtId="185"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17" applyFont="1" applyBorder="1" applyAlignment="1">
      <alignment horizontal="center" vertical="center" wrapText="1"/>
    </xf>
    <xf numFmtId="195" fontId="79" fillId="0" borderId="2" xfId="18" applyNumberFormat="1" applyFont="1" applyBorder="1" applyAlignment="1">
      <alignment horizontal="center" vertical="center" wrapText="1"/>
    </xf>
    <xf numFmtId="0" fontId="286" fillId="0" borderId="0" xfId="17" applyFont="1" applyAlignment="1">
      <alignment horizontal="center" vertical="center" wrapText="1"/>
    </xf>
    <xf numFmtId="177" fontId="286" fillId="0" borderId="0" xfId="17" applyNumberFormat="1" applyFont="1" applyAlignment="1">
      <alignment horizontal="left" vertical="center" wrapText="1"/>
    </xf>
    <xf numFmtId="0" fontId="286" fillId="0" borderId="0" xfId="17" applyFont="1" applyAlignment="1">
      <alignment horizontal="left" vertical="center" wrapText="1"/>
    </xf>
    <xf numFmtId="0" fontId="288" fillId="0" borderId="0" xfId="17" applyFont="1" applyAlignment="1">
      <alignment horizontal="center" vertical="center" wrapText="1"/>
    </xf>
    <xf numFmtId="0" fontId="144" fillId="0" borderId="0" xfId="1" applyFont="1" applyAlignment="1">
      <alignment vertical="center" wrapText="1"/>
    </xf>
    <xf numFmtId="0" fontId="297" fillId="21" borderId="160" xfId="1" applyFont="1" applyFill="1" applyBorder="1" applyAlignment="1">
      <alignment horizontal="center" vertical="center" wrapText="1" readingOrder="1"/>
    </xf>
    <xf numFmtId="0" fontId="298" fillId="21" borderId="163"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301" fillId="22" borderId="165" xfId="1" applyFont="1" applyFill="1" applyBorder="1" applyAlignment="1">
      <alignment horizontal="center" vertical="center" wrapText="1" readingOrder="1"/>
    </xf>
    <xf numFmtId="0" fontId="302" fillId="22" borderId="166" xfId="1" applyFont="1" applyFill="1" applyBorder="1" applyAlignment="1">
      <alignment horizontal="center" vertical="center" wrapText="1" readingOrder="1"/>
    </xf>
    <xf numFmtId="0" fontId="301" fillId="22" borderId="166" xfId="1" applyFont="1" applyFill="1" applyBorder="1" applyAlignment="1">
      <alignment horizontal="center" vertical="center" wrapText="1" readingOrder="1"/>
    </xf>
    <xf numFmtId="31" fontId="301" fillId="22" borderId="166" xfId="1" applyNumberFormat="1" applyFont="1" applyFill="1" applyBorder="1" applyAlignment="1">
      <alignment horizontal="center" vertical="center" wrapText="1" readingOrder="1"/>
    </xf>
    <xf numFmtId="0" fontId="276" fillId="22" borderId="166" xfId="1" applyFont="1" applyFill="1" applyBorder="1" applyAlignment="1">
      <alignment horizontal="center" vertical="center" wrapText="1" readingOrder="1"/>
    </xf>
    <xf numFmtId="9" fontId="301" fillId="22" borderId="167" xfId="1" applyNumberFormat="1" applyFont="1" applyFill="1" applyBorder="1" applyAlignment="1">
      <alignment horizontal="center" vertical="center" wrapText="1" readingOrder="1"/>
    </xf>
    <xf numFmtId="0" fontId="301" fillId="0" borderId="168" xfId="1" applyFont="1" applyBorder="1" applyAlignment="1">
      <alignment horizontal="center" vertical="center" wrapText="1" readingOrder="1"/>
    </xf>
    <xf numFmtId="0" fontId="302" fillId="0" borderId="169"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31" fontId="301"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1" fillId="0" borderId="170" xfId="1" applyNumberFormat="1" applyFont="1" applyBorder="1" applyAlignment="1">
      <alignment horizontal="center" vertical="center" wrapText="1" readingOrder="1"/>
    </xf>
    <xf numFmtId="0" fontId="301" fillId="22" borderId="168" xfId="1" applyFont="1" applyFill="1" applyBorder="1" applyAlignment="1">
      <alignment horizontal="center" vertical="center" wrapText="1" readingOrder="1"/>
    </xf>
    <xf numFmtId="0" fontId="302" fillId="22" borderId="169" xfId="1" applyFont="1" applyFill="1" applyBorder="1" applyAlignment="1">
      <alignment horizontal="center" vertical="center" wrapText="1" readingOrder="1"/>
    </xf>
    <xf numFmtId="0" fontId="301" fillId="22" borderId="169" xfId="1" applyFont="1" applyFill="1" applyBorder="1" applyAlignment="1">
      <alignment horizontal="center" vertical="center" wrapText="1" readingOrder="1"/>
    </xf>
    <xf numFmtId="31" fontId="301" fillId="22" borderId="169" xfId="1" applyNumberFormat="1" applyFont="1" applyFill="1" applyBorder="1" applyAlignment="1">
      <alignment horizontal="center" vertical="center" wrapText="1" readingOrder="1"/>
    </xf>
    <xf numFmtId="0" fontId="155" fillId="22" borderId="169" xfId="1" applyFont="1" applyFill="1" applyBorder="1" applyAlignment="1">
      <alignment horizontal="center" vertical="center" wrapText="1" readingOrder="1"/>
    </xf>
    <xf numFmtId="9" fontId="301" fillId="22" borderId="170" xfId="1" applyNumberFormat="1" applyFont="1" applyFill="1" applyBorder="1" applyAlignment="1">
      <alignment horizontal="center" vertical="center" wrapText="1" readingOrder="1"/>
    </xf>
    <xf numFmtId="0" fontId="83" fillId="22" borderId="168" xfId="1" applyFont="1" applyFill="1" applyBorder="1" applyAlignment="1">
      <alignment horizontal="center" vertical="center" wrapText="1"/>
    </xf>
    <xf numFmtId="0" fontId="83" fillId="22" borderId="169" xfId="1" applyFont="1" applyFill="1" applyBorder="1" applyAlignment="1">
      <alignment horizontal="center" vertical="center" wrapText="1"/>
    </xf>
    <xf numFmtId="0" fontId="303" fillId="22" borderId="169" xfId="1" applyFont="1" applyFill="1" applyBorder="1" applyAlignment="1">
      <alignment horizontal="center" vertical="center" wrapText="1" readingOrder="1"/>
    </xf>
    <xf numFmtId="0" fontId="83" fillId="22" borderId="170" xfId="1" applyFont="1" applyFill="1" applyBorder="1" applyAlignment="1">
      <alignment horizontal="center" vertical="center" wrapText="1"/>
    </xf>
    <xf numFmtId="0" fontId="304" fillId="0" borderId="172" xfId="1" applyFont="1" applyBorder="1" applyAlignment="1">
      <alignment horizontal="center" vertical="center" wrapText="1" readingOrder="1"/>
    </xf>
    <xf numFmtId="0" fontId="304" fillId="0" borderId="177" xfId="1" applyFont="1" applyBorder="1" applyAlignment="1">
      <alignment horizontal="center" vertical="center" wrapText="1" readingOrder="1"/>
    </xf>
    <xf numFmtId="0" fontId="161" fillId="8" borderId="2" xfId="17" applyFont="1" applyFill="1" applyBorder="1" applyAlignment="1">
      <alignment horizontal="center" vertical="center" wrapText="1"/>
    </xf>
    <xf numFmtId="0" fontId="290" fillId="8" borderId="2" xfId="17" applyFont="1" applyFill="1" applyBorder="1" applyAlignment="1">
      <alignment horizontal="center" vertical="center" wrapText="1"/>
    </xf>
    <xf numFmtId="0" fontId="124"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1" fillId="8" borderId="2" xfId="17" applyFont="1" applyFill="1" applyBorder="1" applyAlignment="1">
      <alignment horizontal="center" vertical="center" wrapText="1"/>
    </xf>
    <xf numFmtId="0" fontId="292" fillId="8" borderId="0" xfId="17" applyFont="1" applyFill="1" applyAlignment="1">
      <alignment vertical="center" wrapText="1"/>
    </xf>
    <xf numFmtId="0" fontId="293" fillId="8" borderId="0" xfId="17" applyFont="1" applyFill="1" applyAlignment="1">
      <alignment vertical="center" wrapText="1"/>
    </xf>
    <xf numFmtId="0" fontId="142" fillId="8" borderId="0" xfId="1" applyFill="1" applyAlignment="1">
      <alignment vertical="center" wrapText="1"/>
    </xf>
    <xf numFmtId="0" fontId="294" fillId="8" borderId="2" xfId="17" applyFont="1" applyFill="1" applyBorder="1" applyAlignment="1">
      <alignment horizontal="center" vertical="center" wrapText="1"/>
    </xf>
    <xf numFmtId="0" fontId="79" fillId="8" borderId="2" xfId="18" applyFont="1" applyFill="1" applyBorder="1" applyAlignment="1">
      <alignment horizontal="center" vertical="center" wrapText="1"/>
    </xf>
    <xf numFmtId="0" fontId="289" fillId="8" borderId="0" xfId="17" applyFont="1" applyFill="1" applyAlignment="1">
      <alignment vertical="center" wrapText="1"/>
    </xf>
    <xf numFmtId="177" fontId="294" fillId="8" borderId="0" xfId="17" applyNumberFormat="1" applyFont="1" applyFill="1" applyAlignment="1">
      <alignment vertical="center" wrapText="1"/>
    </xf>
    <xf numFmtId="0" fontId="124" fillId="23" borderId="2" xfId="17" applyFont="1" applyFill="1" applyBorder="1" applyAlignment="1">
      <alignment horizontal="center" vertical="center" wrapText="1"/>
    </xf>
    <xf numFmtId="185" fontId="290" fillId="23" borderId="2" xfId="17" applyNumberFormat="1" applyFont="1" applyFill="1" applyBorder="1" applyAlignment="1">
      <alignment horizontal="center" vertical="center" wrapText="1"/>
    </xf>
    <xf numFmtId="177" fontId="294" fillId="23" borderId="2" xfId="17" applyNumberFormat="1" applyFont="1" applyFill="1" applyBorder="1" applyAlignment="1">
      <alignment horizontal="center" vertical="center" wrapText="1"/>
    </xf>
    <xf numFmtId="177" fontId="79" fillId="23" borderId="2" xfId="17" applyNumberFormat="1" applyFont="1" applyFill="1" applyBorder="1" applyAlignment="1">
      <alignment horizontal="center" vertical="center" wrapText="1"/>
    </xf>
    <xf numFmtId="177" fontId="79" fillId="23" borderId="2" xfId="17" applyNumberFormat="1" applyFont="1" applyFill="1" applyBorder="1" applyAlignment="1">
      <alignment horizontal="left" vertical="center" wrapText="1"/>
    </xf>
    <xf numFmtId="0" fontId="79" fillId="23" borderId="2" xfId="18" applyFont="1" applyFill="1" applyBorder="1" applyAlignment="1">
      <alignment horizontal="center" vertical="center" wrapText="1"/>
    </xf>
    <xf numFmtId="177" fontId="291" fillId="23" borderId="2" xfId="17" applyNumberFormat="1" applyFont="1" applyFill="1" applyBorder="1" applyAlignment="1">
      <alignment horizontal="center" vertical="center" wrapText="1"/>
    </xf>
    <xf numFmtId="177" fontId="294" fillId="23" borderId="0" xfId="17" applyNumberFormat="1" applyFont="1" applyFill="1" applyAlignment="1">
      <alignment vertical="center" wrapText="1"/>
    </xf>
    <xf numFmtId="0" fontId="292" fillId="23" borderId="0" xfId="17" applyFont="1" applyFill="1" applyAlignment="1">
      <alignment vertical="center" wrapText="1"/>
    </xf>
    <xf numFmtId="0" fontId="142" fillId="23" borderId="0" xfId="1" applyFill="1" applyAlignment="1">
      <alignment vertical="center" wrapText="1"/>
    </xf>
    <xf numFmtId="195" fontId="79" fillId="23" borderId="2" xfId="18" applyNumberFormat="1" applyFont="1" applyFill="1" applyBorder="1" applyAlignment="1">
      <alignment horizontal="center" vertical="center" wrapText="1"/>
    </xf>
    <xf numFmtId="0" fontId="197" fillId="23" borderId="2" xfId="17" applyFont="1" applyFill="1" applyBorder="1" applyAlignment="1">
      <alignment horizontal="center" vertical="center" wrapText="1"/>
    </xf>
    <xf numFmtId="0" fontId="79" fillId="23" borderId="21" xfId="18" applyFont="1" applyFill="1" applyBorder="1" applyAlignment="1">
      <alignment horizontal="center" vertical="center" wrapText="1"/>
    </xf>
    <xf numFmtId="185" fontId="290" fillId="8" borderId="2" xfId="17" applyNumberFormat="1" applyFont="1" applyFill="1" applyBorder="1" applyAlignment="1">
      <alignment horizontal="center" vertical="center" wrapText="1"/>
    </xf>
    <xf numFmtId="0" fontId="292" fillId="8" borderId="2" xfId="17" applyFont="1" applyFill="1" applyBorder="1" applyAlignment="1">
      <alignment horizontal="center" vertical="center" wrapText="1"/>
    </xf>
    <xf numFmtId="195" fontId="79" fillId="8" borderId="2" xfId="18" applyNumberFormat="1" applyFont="1" applyFill="1" applyBorder="1" applyAlignment="1">
      <alignment horizontal="center" vertical="center" wrapText="1"/>
    </xf>
    <xf numFmtId="177" fontId="291" fillId="8" borderId="2" xfId="17" applyNumberFormat="1" applyFont="1" applyFill="1" applyBorder="1" applyAlignment="1">
      <alignment horizontal="center" vertical="center" wrapText="1"/>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68" fillId="0" borderId="46" xfId="0" applyNumberFormat="1" applyFont="1" applyFill="1" applyBorder="1" applyAlignment="1" applyProtection="1">
      <alignment horizontal="left" vertical="center" wrapText="1"/>
      <protection locked="0"/>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142" fillId="0" borderId="2" xfId="1" applyBorder="1">
      <alignment vertical="center"/>
    </xf>
    <xf numFmtId="0" fontId="142" fillId="0" borderId="2" xfId="1" applyBorder="1" applyAlignment="1">
      <alignment horizontal="center" vertical="center"/>
    </xf>
    <xf numFmtId="0" fontId="0" fillId="0" borderId="2" xfId="1" applyFont="1" applyBorder="1">
      <alignment vertical="center"/>
    </xf>
    <xf numFmtId="0" fontId="142" fillId="0" borderId="0" xfId="1">
      <alignment vertical="center"/>
    </xf>
    <xf numFmtId="0" fontId="142" fillId="8" borderId="2" xfId="1" applyFill="1" applyBorder="1">
      <alignment vertical="center"/>
    </xf>
    <xf numFmtId="9" fontId="142" fillId="0" borderId="0" xfId="1" applyNumberFormat="1">
      <alignment vertical="center"/>
    </xf>
    <xf numFmtId="186" fontId="142" fillId="0" borderId="0" xfId="1" applyNumberFormat="1">
      <alignment vertical="center"/>
    </xf>
    <xf numFmtId="196" fontId="142" fillId="0" borderId="2" xfId="1" applyNumberFormat="1" applyBorder="1" applyAlignment="1">
      <alignment horizontal="center" vertical="center"/>
    </xf>
    <xf numFmtId="197" fontId="142" fillId="0" borderId="2" xfId="1" applyNumberFormat="1" applyBorder="1" applyAlignment="1">
      <alignment horizontal="center" vertical="center"/>
    </xf>
    <xf numFmtId="180" fontId="83" fillId="0" borderId="2" xfId="2" applyNumberFormat="1" applyFont="1" applyFill="1" applyBorder="1" applyAlignment="1" applyProtection="1">
      <alignment horizontal="center" vertical="center"/>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142" fillId="0" borderId="0" xfId="1" applyAlignment="1">
      <alignment horizontal="center"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43" fillId="24" borderId="2" xfId="1" applyFont="1" applyFill="1" applyBorder="1" applyAlignment="1">
      <alignment horizontal="center" vertical="center"/>
    </xf>
    <xf numFmtId="0" fontId="142" fillId="0" borderId="2" xfId="1" applyBorder="1" applyAlignment="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284" fillId="0" borderId="11"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85" fillId="0" borderId="17" xfId="16" applyFont="1" applyBorder="1" applyAlignment="1">
      <alignment horizontal="center" vertical="center" wrapText="1"/>
    </xf>
    <xf numFmtId="0" fontId="285" fillId="0" borderId="19" xfId="16" applyFont="1" applyBorder="1" applyAlignment="1">
      <alignment horizontal="center" vertical="center" wrapText="1"/>
    </xf>
    <xf numFmtId="0" fontId="287" fillId="0" borderId="2" xfId="18" applyFont="1" applyBorder="1" applyAlignment="1">
      <alignment horizontal="center" vertical="center" wrapText="1"/>
    </xf>
    <xf numFmtId="195" fontId="287" fillId="0" borderId="2" xfId="18" applyNumberFormat="1" applyFont="1" applyBorder="1" applyAlignment="1">
      <alignment horizontal="center" vertical="center" wrapText="1"/>
    </xf>
    <xf numFmtId="0" fontId="288" fillId="0" borderId="2" xfId="17" applyFont="1" applyBorder="1" applyAlignment="1">
      <alignment horizontal="center" vertical="center" wrapText="1"/>
    </xf>
    <xf numFmtId="0" fontId="297" fillId="21" borderId="160"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304" fillId="0" borderId="171" xfId="1" applyFont="1" applyBorder="1" applyAlignment="1">
      <alignment horizontal="center" vertical="center" wrapText="1" readingOrder="1"/>
    </xf>
    <xf numFmtId="0" fontId="304" fillId="0" borderId="176" xfId="1" applyFont="1" applyBorder="1" applyAlignment="1">
      <alignment horizontal="center" vertical="center" wrapText="1" readingOrder="1"/>
    </xf>
    <xf numFmtId="0" fontId="304" fillId="0" borderId="172" xfId="1" applyFont="1" applyBorder="1" applyAlignment="1">
      <alignment horizontal="center" vertical="center" wrapText="1" readingOrder="1"/>
    </xf>
    <xf numFmtId="0" fontId="304" fillId="0" borderId="177" xfId="1" applyFont="1" applyBorder="1" applyAlignment="1">
      <alignment horizontal="center" vertical="center" wrapText="1" readingOrder="1"/>
    </xf>
    <xf numFmtId="0" fontId="297" fillId="21" borderId="159" xfId="1" applyFont="1" applyFill="1" applyBorder="1" applyAlignment="1">
      <alignment horizontal="center" vertical="center" wrapText="1" readingOrder="1"/>
    </xf>
    <xf numFmtId="0" fontId="297" fillId="21" borderId="162" xfId="1" applyFont="1" applyFill="1" applyBorder="1" applyAlignment="1">
      <alignment horizontal="center" vertical="center" wrapText="1" readingOrder="1"/>
    </xf>
    <xf numFmtId="0" fontId="298" fillId="21" borderId="160" xfId="1" applyFont="1" applyFill="1" applyBorder="1" applyAlignment="1">
      <alignment horizontal="center" vertical="center" wrapText="1" readingOrder="1"/>
    </xf>
    <xf numFmtId="0" fontId="298" fillId="21" borderId="163" xfId="1" applyFont="1" applyFill="1" applyBorder="1" applyAlignment="1">
      <alignment horizontal="center" vertical="center" wrapText="1" readingOrder="1"/>
    </xf>
    <xf numFmtId="0" fontId="299" fillId="21" borderId="160" xfId="1" applyFont="1" applyFill="1" applyBorder="1" applyAlignment="1">
      <alignment horizontal="center" vertical="center" wrapText="1" readingOrder="1"/>
    </xf>
    <xf numFmtId="0" fontId="299" fillId="21" borderId="163" xfId="1" applyFont="1" applyFill="1" applyBorder="1" applyAlignment="1">
      <alignment horizontal="center" vertical="center" wrapText="1" readingOrder="1"/>
    </xf>
    <xf numFmtId="0" fontId="297" fillId="21" borderId="161" xfId="1" applyFont="1" applyFill="1" applyBorder="1" applyAlignment="1">
      <alignment horizontal="center" vertical="center" wrapText="1" readingOrder="1"/>
    </xf>
    <xf numFmtId="0" fontId="297" fillId="21" borderId="164" xfId="1" applyFont="1" applyFill="1" applyBorder="1" applyAlignment="1">
      <alignment horizontal="center" vertical="center" wrapText="1" readingOrder="1"/>
    </xf>
    <xf numFmtId="0" fontId="304" fillId="0" borderId="173" xfId="1" applyFont="1" applyBorder="1" applyAlignment="1">
      <alignment horizontal="center" vertical="center" wrapText="1" readingOrder="1"/>
    </xf>
    <xf numFmtId="0" fontId="304" fillId="0" borderId="175" xfId="1" applyFont="1" applyBorder="1" applyAlignment="1">
      <alignment horizontal="center" vertical="center" wrapText="1" readingOrder="1"/>
    </xf>
    <xf numFmtId="0" fontId="304" fillId="0" borderId="178" xfId="1" applyFont="1" applyBorder="1" applyAlignment="1">
      <alignment horizontal="center" vertical="center" wrapText="1" readingOrder="1"/>
    </xf>
    <xf numFmtId="0" fontId="304" fillId="0" borderId="180" xfId="1" applyFont="1" applyBorder="1" applyAlignment="1">
      <alignment horizontal="center" vertical="center" wrapText="1" readingOrder="1"/>
    </xf>
    <xf numFmtId="0" fontId="301" fillId="22" borderId="181" xfId="1" applyFont="1" applyFill="1" applyBorder="1" applyAlignment="1">
      <alignment horizontal="center" vertical="center" wrapText="1" readingOrder="1"/>
    </xf>
    <xf numFmtId="0" fontId="301" fillId="22" borderId="182" xfId="1" applyFont="1" applyFill="1" applyBorder="1" applyAlignment="1">
      <alignment horizontal="center" vertical="center" wrapText="1" readingOrder="1"/>
    </xf>
    <xf numFmtId="0" fontId="301" fillId="22" borderId="183" xfId="1" applyFont="1" applyFill="1" applyBorder="1" applyAlignment="1">
      <alignment horizontal="center" vertical="center" wrapText="1" readingOrder="1"/>
    </xf>
    <xf numFmtId="0" fontId="304" fillId="0" borderId="174" xfId="1" applyFont="1" applyBorder="1" applyAlignment="1">
      <alignment horizontal="center" vertical="center" wrapText="1" readingOrder="1"/>
    </xf>
    <xf numFmtId="0" fontId="304" fillId="0" borderId="179" xfId="1" applyFont="1" applyBorder="1" applyAlignment="1">
      <alignment horizontal="center" vertical="center" wrapText="1" readingOrder="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2" fillId="0" borderId="2" xfId="1" applyFont="1" applyBorder="1">
      <alignment vertical="center"/>
    </xf>
    <xf numFmtId="0" fontId="142" fillId="6" borderId="2" xfId="1" applyFill="1" applyBorder="1">
      <alignment vertical="center"/>
    </xf>
  </cellXfs>
  <cellStyles count="19">
    <cellStyle name="百分比 2" xfId="11" xr:uid="{00000000-0005-0000-0000-000000000000}"/>
    <cellStyle name="常规" xfId="0" builtinId="0"/>
    <cellStyle name="常规 10" xfId="17" xr:uid="{BFB81BA1-01F0-4C10-A0BE-45CB2734A293}"/>
    <cellStyle name="常规 16" xfId="1" xr:uid="{00000000-0005-0000-0000-000002000000}"/>
    <cellStyle name="常规 2" xfId="2" xr:uid="{00000000-0005-0000-0000-000003000000}"/>
    <cellStyle name="常规 2 2" xfId="3" xr:uid="{00000000-0005-0000-0000-000004000000}"/>
    <cellStyle name="常规 2 2 2" xfId="18" xr:uid="{7607BF05-E42C-42C7-A9E8-DD28394A9A55}"/>
    <cellStyle name="常规 2 2 2 2 3" xfId="12" xr:uid="{00000000-0005-0000-0000-000005000000}"/>
    <cellStyle name="常规 2 3" xfId="16" xr:uid="{EE4680E0-D743-433A-8117-5564CD65252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733425</xdr:colOff>
      <xdr:row>5</xdr:row>
      <xdr:rowOff>104775</xdr:rowOff>
    </xdr:from>
    <xdr:to>
      <xdr:col>11</xdr:col>
      <xdr:colOff>618517</xdr:colOff>
      <xdr:row>18</xdr:row>
      <xdr:rowOff>123358</xdr:rowOff>
    </xdr:to>
    <xdr:pic>
      <xdr:nvPicPr>
        <xdr:cNvPr id="2" name="图片 1">
          <a:extLst>
            <a:ext uri="{FF2B5EF4-FFF2-40B4-BE49-F238E27FC236}">
              <a16:creationId xmlns:a16="http://schemas.microsoft.com/office/drawing/2014/main" id="{6AD29FA2-D278-4CEE-8E9E-A2912A52FE29}"/>
            </a:ext>
          </a:extLst>
        </xdr:cNvPr>
        <xdr:cNvPicPr>
          <a:picLocks noChangeAspect="1"/>
        </xdr:cNvPicPr>
      </xdr:nvPicPr>
      <xdr:blipFill>
        <a:blip xmlns:r="http://schemas.openxmlformats.org/officeDocument/2006/relationships" r:embed="rId1"/>
        <a:stretch>
          <a:fillRect/>
        </a:stretch>
      </xdr:blipFill>
      <xdr:spPr>
        <a:xfrm>
          <a:off x="5867400" y="962025"/>
          <a:ext cx="4866667" cy="3733333"/>
        </a:xfrm>
        <a:prstGeom prst="rect">
          <a:avLst/>
        </a:prstGeom>
      </xdr:spPr>
    </xdr:pic>
    <xdr:clientData/>
  </xdr:twoCellAnchor>
  <xdr:twoCellAnchor editAs="oneCell">
    <xdr:from>
      <xdr:col>5</xdr:col>
      <xdr:colOff>419100</xdr:colOff>
      <xdr:row>5</xdr:row>
      <xdr:rowOff>95250</xdr:rowOff>
    </xdr:from>
    <xdr:to>
      <xdr:col>12</xdr:col>
      <xdr:colOff>551837</xdr:colOff>
      <xdr:row>18</xdr:row>
      <xdr:rowOff>94786</xdr:rowOff>
    </xdr:to>
    <xdr:pic>
      <xdr:nvPicPr>
        <xdr:cNvPr id="3" name="图片 2">
          <a:extLst>
            <a:ext uri="{FF2B5EF4-FFF2-40B4-BE49-F238E27FC236}">
              <a16:creationId xmlns:a16="http://schemas.microsoft.com/office/drawing/2014/main" id="{1334D21A-9C65-4735-9685-747323FD65D0}"/>
            </a:ext>
          </a:extLst>
        </xdr:cNvPr>
        <xdr:cNvPicPr>
          <a:picLocks noChangeAspect="1"/>
        </xdr:cNvPicPr>
      </xdr:nvPicPr>
      <xdr:blipFill>
        <a:blip xmlns:r="http://schemas.openxmlformats.org/officeDocument/2006/relationships" r:embed="rId2"/>
        <a:stretch>
          <a:fillRect/>
        </a:stretch>
      </xdr:blipFill>
      <xdr:spPr>
        <a:xfrm>
          <a:off x="6438900" y="952500"/>
          <a:ext cx="4904762" cy="3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3B4F6FA8-AC50-4A34-BF99-08C03B9EC5BB}"/>
            </a:ext>
          </a:extLst>
        </xdr:cNvPr>
        <xdr:cNvPicPr>
          <a:picLocks noChangeAspect="1"/>
        </xdr:cNvPicPr>
      </xdr:nvPicPr>
      <xdr:blipFill>
        <a:blip xmlns:r="http://schemas.openxmlformats.org/officeDocument/2006/relationships" r:embed="rId1" cstate="print"/>
        <a:stretch>
          <a:fillRect/>
        </a:stretch>
      </xdr:blipFill>
      <xdr:spPr>
        <a:xfrm>
          <a:off x="32107" y="19863371"/>
          <a:ext cx="8948529" cy="4118673"/>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389E5C49-29F1-4236-81DF-8782C33769F5}"/>
            </a:ext>
          </a:extLst>
        </xdr:cNvPr>
        <xdr:cNvPicPr>
          <a:picLocks noChangeAspect="1"/>
        </xdr:cNvPicPr>
      </xdr:nvPicPr>
      <xdr:blipFill>
        <a:blip xmlns:r="http://schemas.openxmlformats.org/officeDocument/2006/relationships" r:embed="rId2" cstate="print"/>
        <a:stretch>
          <a:fillRect/>
        </a:stretch>
      </xdr:blipFill>
      <xdr:spPr>
        <a:xfrm>
          <a:off x="28575" y="499776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3E516674-FDE3-46E4-A6E6-2B9A02964B24}"/>
            </a:ext>
          </a:extLst>
        </xdr:cNvPr>
        <xdr:cNvPicPr>
          <a:picLocks noChangeAspect="1"/>
        </xdr:cNvPicPr>
      </xdr:nvPicPr>
      <xdr:blipFill>
        <a:blip xmlns:r="http://schemas.openxmlformats.org/officeDocument/2006/relationships" r:embed="rId3"/>
        <a:stretch>
          <a:fillRect/>
        </a:stretch>
      </xdr:blipFill>
      <xdr:spPr>
        <a:xfrm>
          <a:off x="9557107" y="24625871"/>
          <a:ext cx="3885714" cy="3914286"/>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04CC2934-E278-4AB4-A353-C472986B4FE7}"/>
            </a:ext>
          </a:extLst>
        </xdr:cNvPr>
        <xdr:cNvPicPr>
          <a:picLocks noChangeAspect="1"/>
        </xdr:cNvPicPr>
      </xdr:nvPicPr>
      <xdr:blipFill>
        <a:blip xmlns:r="http://schemas.openxmlformats.org/officeDocument/2006/relationships" r:embed="rId4"/>
        <a:stretch>
          <a:fillRect/>
        </a:stretch>
      </xdr:blipFill>
      <xdr:spPr>
        <a:xfrm>
          <a:off x="11772472" y="5704298"/>
          <a:ext cx="5809524" cy="6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022&#26032;&#22522;&#20934;&#22320;&#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1335;&#27861;&#20449;&#26641;&#264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53;&#21578;&#20204;/&#22303;&#22320;/&#21271;&#20140;&#24066;&#39034;&#20041;&#21306;&#21335;&#27861;&#20449;&#21306;&#21016;&#23478;&#27827;&#26449;&#39034;&#20313;&#19996;&#36335;1&#21495;/&#12304;2021&#12305;&#23545;&#20844;&#20107;&#19994;&#37096;&#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1317</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row r="30">
          <cell r="B30">
            <v>5809839</v>
          </cell>
        </row>
      </sheetData>
      <sheetData sheetId="2"/>
      <sheetData sheetId="3"/>
      <sheetData sheetId="4"/>
      <sheetData sheetId="5"/>
      <sheetData sheetId="6">
        <row r="51">
          <cell r="G51">
            <v>442419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1" customWidth="1"/>
    <col min="2" max="2" width="78.25" style="2572" customWidth="1"/>
    <col min="3" max="18" width="9" style="2566"/>
    <col min="19" max="19" width="17.875" style="2566" customWidth="1"/>
    <col min="20" max="51" width="9" style="2566"/>
    <col min="52" max="52" width="13.25" style="2566" customWidth="1"/>
    <col min="53" max="53" width="13.5" style="2566" bestFit="1" customWidth="1"/>
    <col min="54" max="54" width="11.625" style="2566" bestFit="1" customWidth="1"/>
    <col min="55" max="55" width="13.5" style="2566" bestFit="1" customWidth="1"/>
    <col min="56" max="16384" width="9" style="2566"/>
  </cols>
  <sheetData>
    <row r="1" spans="1:55" s="2577" customFormat="1" ht="16.5" thickBot="1">
      <c r="A1" s="2575" t="s">
        <v>2609</v>
      </c>
      <c r="B1" s="2576" t="s">
        <v>2706</v>
      </c>
    </row>
    <row r="2" spans="1:55" s="2580" customFormat="1" ht="15" thickTop="1">
      <c r="A2" s="2578" t="s">
        <v>2613</v>
      </c>
      <c r="B2" s="2579" t="str">
        <f>'预评函-封皮'!B37</f>
        <v>北京市划拨国有建设用地使用权市场价格预评估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 thickBot="1">
      <c r="A5" s="2584" t="s">
        <v>2616</v>
      </c>
      <c r="B5" s="2585" t="str">
        <f>'预评函-封皮'!B49</f>
        <v>康正预评字号</v>
      </c>
    </row>
    <row r="6" spans="1:55" s="2586" customFormat="1" ht="15" thickTop="1">
      <c r="A6" s="2578" t="s">
        <v>2658</v>
      </c>
      <c r="B6" s="2579" t="str">
        <f>'预评函-1'!A4</f>
        <v>受贵公司委托，我公司对北京市划拨国有建设用地使用权市场价格进行了预评估。</v>
      </c>
      <c r="AM6" s="2587"/>
    </row>
    <row r="7" spans="1:55" s="2561" customFormat="1">
      <c r="A7" s="2562" t="s">
        <v>2610</v>
      </c>
      <c r="B7" s="2563"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本次评估为委托估价方了解标的物之市场价格提供参考依据而评估划拨国有建设用地使用权市场价格。</v>
      </c>
    </row>
    <row r="10" spans="1:55" s="2561" customFormat="1">
      <c r="A10" s="2562" t="s">
        <v>2612</v>
      </c>
      <c r="B10" s="2563" t="str">
        <f>'预评函-1'!A11</f>
        <v>2022年2月22日（评估专业人员勘察现场之日）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根据《国有土地使用证》[]，估价对象（分摊）出让国有建设用地使用权面积为22121.8平方米。根据《建设工程规划许可证》[]、《出让合同》[]，估价对象规划建筑面积为22121.8平方米。</v>
      </c>
    </row>
    <row r="16" spans="1:55" s="2561" customFormat="1">
      <c r="A16" s="2562" t="s">
        <v>2622</v>
      </c>
      <c r="B16" s="2563" t="str">
        <f>'预评函-1'!A22</f>
        <v>本次估价对象国有建设用地使用权类型为划拨，无土地使用年限限制。</v>
      </c>
    </row>
    <row r="17" spans="1:48" s="2561" customFormat="1">
      <c r="A17" s="2562" t="s">
        <v>2623</v>
      </c>
      <c r="B17" s="2563" t="str">
        <f>'预评函-1'!A23</f>
        <v/>
      </c>
    </row>
    <row r="18" spans="1:48" s="2561" customFormat="1">
      <c r="A18" s="2562" t="s">
        <v>2624</v>
      </c>
      <c r="B18" s="2563" t="str">
        <f>'预评函-1'!A25</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 thickBot="1">
      <c r="A21" s="2584" t="s">
        <v>2627</v>
      </c>
      <c r="B21" s="2585" t="str">
        <f>'预评函-1'!A28</f>
        <v>——</v>
      </c>
    </row>
    <row r="22" spans="1:48" ht="15" thickTop="1">
      <c r="A22" s="2573" t="s">
        <v>2628</v>
      </c>
      <c r="B22" s="257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62" t="s">
        <v>2629</v>
      </c>
      <c r="B23" s="2563" t="str">
        <f>'预评函-2'!K2</f>
        <v>估价期日：2022年2月22日</v>
      </c>
    </row>
    <row r="24" spans="1:48">
      <c r="A24" s="2562" t="s">
        <v>2630</v>
      </c>
      <c r="B24" s="2563" t="str">
        <f>'预评函-2'!R2</f>
        <v>估价期日的国有建设用地使用权性质：划拨</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t="str">
        <f>'预评函-2'!M5</f>
        <v>——</v>
      </c>
    </row>
    <row r="42" spans="1:2">
      <c r="A42" s="2562" t="s">
        <v>2692</v>
      </c>
      <c r="B42" s="2563" t="str">
        <f>'预评函-2'!N3</f>
        <v>（分摊）划拨国有建设用地使用权面积/㎡</v>
      </c>
    </row>
    <row r="43" spans="1:2">
      <c r="A43" s="2562" t="s">
        <v>2674</v>
      </c>
      <c r="B43" s="2563">
        <f>'预评函-2'!N5</f>
        <v>22121.8</v>
      </c>
    </row>
    <row r="44" spans="1:2">
      <c r="A44" s="2562" t="s">
        <v>2693</v>
      </c>
      <c r="B44" s="2563" t="str">
        <f>'预评函-2'!O3</f>
        <v>规划建筑面积/㎡</v>
      </c>
    </row>
    <row r="45" spans="1:2">
      <c r="A45" s="2562" t="s">
        <v>2675</v>
      </c>
      <c r="B45" s="2563">
        <f>'预评函-2'!O5</f>
        <v>22121.8</v>
      </c>
    </row>
    <row r="46" spans="1:2">
      <c r="A46" s="2562" t="s">
        <v>2676</v>
      </c>
      <c r="B46" s="2563">
        <f ca="1">'预评函-2'!P5</f>
        <v>2402</v>
      </c>
    </row>
    <row r="47" spans="1:2">
      <c r="A47" s="2562" t="s">
        <v>2677</v>
      </c>
      <c r="B47" s="2563">
        <f ca="1">'预评函-2'!Q5</f>
        <v>2402</v>
      </c>
    </row>
    <row r="48" spans="1:2">
      <c r="A48" s="2562" t="s">
        <v>2678</v>
      </c>
      <c r="B48" s="2563">
        <f ca="1">'预评函-2'!R5</f>
        <v>5313</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f ca="1">'预评函-2'!R7</f>
        <v>5313</v>
      </c>
    </row>
    <row r="53" spans="1:2">
      <c r="A53" s="2562" t="s">
        <v>2696</v>
      </c>
      <c r="B53" s="2563" t="str">
        <f>'预评函-2'!A8</f>
        <v>——</v>
      </c>
    </row>
    <row r="54" spans="1:2" s="2577" customFormat="1" ht="15" thickBot="1">
      <c r="A54" s="2584" t="s">
        <v>2681</v>
      </c>
      <c r="B54" s="2585" t="str">
        <f>'预评函-2'!R8</f>
        <v>——</v>
      </c>
    </row>
    <row r="55" spans="1:2" ht="1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2.基础设施条件：估价对象实际开发程度为红线外七通、宗地红线内；本次评估设定开发程度为红线外七通、宗地红线内场地。</v>
      </c>
    </row>
    <row r="57" spans="1:2">
      <c r="A57" s="2562" t="s">
        <v>2633</v>
      </c>
      <c r="B57" s="2563" t="str">
        <f>'预评函-3'!A4</f>
        <v>3.估价规划限制条件：详见《建设工程规划许可证》[]、《出让合同》[]。</v>
      </c>
    </row>
    <row r="58" spans="1:2" s="2577" customFormat="1" ht="15" thickBot="1">
      <c r="A58" s="2584" t="s">
        <v>2682</v>
      </c>
      <c r="B58" s="2585" t="str">
        <f>'预评函-3'!A5</f>
        <v>4.影响价格的其他限定条件：无。</v>
      </c>
    </row>
    <row r="59" spans="1:2" ht="1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2645</v>
      </c>
      <c r="B68" s="2588">
        <f>'预评函-3'!D30</f>
        <v>42558</v>
      </c>
    </row>
    <row r="69" spans="1:2" ht="1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 thickBot="1">
      <c r="A72" s="2584" t="s">
        <v>2644</v>
      </c>
      <c r="B72" s="2590">
        <f>'预评函-3'!B21</f>
        <v>0</v>
      </c>
    </row>
    <row r="73" spans="1:2" ht="1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D3" sqref="D3"/>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 thickBot="1">
      <c r="A1" s="1559" t="s">
        <v>1904</v>
      </c>
      <c r="B1" s="3625" t="str">
        <f>IF(B10="北京市","北京市",C10)&amp;F10&amp;B16&amp;"国有建设用地使用权"&amp;B9&amp;"预评估"</f>
        <v>北京市划拨国有建设用地使用权市场价格预评估</v>
      </c>
      <c r="C1" s="3626"/>
      <c r="D1" s="3626"/>
      <c r="E1" s="3626"/>
      <c r="F1" s="3626"/>
      <c r="G1" s="3626"/>
      <c r="H1" s="3626"/>
      <c r="I1" s="3627"/>
      <c r="J1" s="3039"/>
      <c r="K1" s="2280" t="str">
        <f>IF(B10="北京市","北京市",C10)&amp;F10&amp;B16&amp;"国有建设用地使用权"&amp;B9</f>
        <v>北京市划拨国有建设用地使用权市场价格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北京市划拨国有建设用地使用权</v>
      </c>
      <c r="L2" s="3018"/>
      <c r="M2" s="3018"/>
      <c r="N2" s="3019"/>
      <c r="O2" s="3020"/>
      <c r="P2" s="3019"/>
      <c r="Q2" s="3019"/>
      <c r="R2" s="3019"/>
      <c r="S2" s="3019"/>
      <c r="T2" s="3019"/>
      <c r="U2" s="3019"/>
    </row>
    <row r="3" spans="1:21">
      <c r="A3" s="1561" t="s">
        <v>1906</v>
      </c>
      <c r="B3" s="1562">
        <v>44614</v>
      </c>
      <c r="C3" s="2962" t="s">
        <v>1962</v>
      </c>
      <c r="D3" s="1562">
        <f>B3</f>
        <v>44614</v>
      </c>
      <c r="E3" s="3039"/>
      <c r="F3" s="3039"/>
      <c r="G3" s="3039"/>
      <c r="H3" s="3040"/>
      <c r="I3" s="3041"/>
      <c r="J3" s="3039"/>
      <c r="K3" s="3022"/>
      <c r="L3" s="3018"/>
      <c r="M3" s="3018"/>
      <c r="N3" s="3019"/>
      <c r="O3" s="3020"/>
      <c r="P3" s="3019"/>
      <c r="Q3" s="3019"/>
      <c r="R3" s="3019"/>
      <c r="S3" s="3019"/>
      <c r="T3" s="3019"/>
      <c r="U3" s="3019"/>
    </row>
    <row r="4" spans="1:21" ht="1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6.25">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3115</v>
      </c>
      <c r="C8" s="1571"/>
      <c r="D8" s="3631" t="s">
        <v>1911</v>
      </c>
      <c r="E8" s="1729" t="s">
        <v>3116</v>
      </c>
      <c r="F8" s="1572"/>
      <c r="G8" s="3040"/>
      <c r="H8" s="3040"/>
      <c r="I8" s="3043"/>
      <c r="J8" s="3039"/>
      <c r="K8" s="3022"/>
      <c r="L8" s="3018"/>
      <c r="M8" s="3018"/>
      <c r="N8" s="3019"/>
      <c r="O8" s="3020"/>
      <c r="P8" s="3019"/>
      <c r="Q8" s="3019"/>
      <c r="R8" s="3019"/>
      <c r="S8" s="3019"/>
      <c r="T8" s="3019"/>
      <c r="U8" s="3019"/>
    </row>
    <row r="9" spans="1:21" ht="15" thickBot="1">
      <c r="A9" s="2964" t="s">
        <v>1910</v>
      </c>
      <c r="B9" s="1573" t="s">
        <v>3117</v>
      </c>
      <c r="C9" s="1574"/>
      <c r="D9" s="3632"/>
      <c r="E9" s="1573"/>
      <c r="F9" s="1636"/>
      <c r="G9" s="3044"/>
      <c r="H9" s="3044"/>
      <c r="I9" s="3045"/>
      <c r="J9" s="3039"/>
      <c r="K9" s="3022"/>
      <c r="L9" s="3018"/>
      <c r="M9" s="3018"/>
      <c r="N9" s="3019"/>
      <c r="O9" s="3020"/>
      <c r="P9" s="3019"/>
      <c r="Q9" s="3019"/>
      <c r="R9" s="3019"/>
      <c r="S9" s="3019"/>
      <c r="T9" s="3019"/>
      <c r="U9" s="3019"/>
    </row>
    <row r="10" spans="1:21" ht="1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3118</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628"/>
      <c r="C12" s="3629"/>
      <c r="D12" s="3630"/>
      <c r="E12" s="1593" t="s">
        <v>2028</v>
      </c>
      <c r="F12" s="3646" t="s">
        <v>2838</v>
      </c>
      <c r="G12" s="3647"/>
      <c r="H12" s="3647"/>
      <c r="I12" s="3648"/>
      <c r="J12" s="3039"/>
      <c r="K12" s="3022"/>
      <c r="L12" s="3018"/>
      <c r="M12" s="3018"/>
      <c r="N12" s="3019"/>
      <c r="O12" s="3020"/>
      <c r="P12" s="3019"/>
      <c r="Q12" s="3019"/>
      <c r="R12" s="3019"/>
      <c r="S12" s="3019"/>
      <c r="T12" s="3019"/>
      <c r="U12" s="3019"/>
    </row>
    <row r="13" spans="1:21">
      <c r="A13" s="1584" t="s">
        <v>2026</v>
      </c>
      <c r="B13" s="3628"/>
      <c r="C13" s="3629"/>
      <c r="D13" s="3630"/>
      <c r="E13" s="1593" t="s">
        <v>2028</v>
      </c>
      <c r="F13" s="3646" t="s">
        <v>2839</v>
      </c>
      <c r="G13" s="3647"/>
      <c r="H13" s="3647"/>
      <c r="I13" s="3648"/>
      <c r="J13" s="3039"/>
      <c r="K13" s="3022"/>
      <c r="L13" s="3018"/>
      <c r="M13" s="3018"/>
      <c r="N13" s="3019"/>
      <c r="O13" s="3020"/>
      <c r="P13" s="3019"/>
      <c r="Q13" s="3019"/>
      <c r="R13" s="3019"/>
      <c r="S13" s="3019"/>
      <c r="T13" s="3019"/>
      <c r="U13" s="3019"/>
    </row>
    <row r="14" spans="1:21">
      <c r="A14" s="1561" t="s">
        <v>2029</v>
      </c>
      <c r="B14" s="1593"/>
      <c r="C14" s="1730"/>
      <c r="D14" s="1626" t="str">
        <f>IF(C14="不一致","是否符合证载地类范围","")</f>
        <v/>
      </c>
      <c r="E14" s="1593"/>
      <c r="F14" s="1676"/>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28.5">
      <c r="A16" s="2967" t="s">
        <v>1914</v>
      </c>
      <c r="B16" s="1579" t="s">
        <v>3119</v>
      </c>
      <c r="C16" s="1593" t="s">
        <v>1915</v>
      </c>
      <c r="D16" s="2455" t="s">
        <v>1916</v>
      </c>
      <c r="E16" s="1615" t="s">
        <v>3377</v>
      </c>
      <c r="F16" s="1615"/>
      <c r="G16" s="1615"/>
      <c r="H16" s="1615"/>
      <c r="I16" s="1583" t="s">
        <v>1921</v>
      </c>
      <c r="J16" s="3039"/>
      <c r="K16" s="2281" t="str">
        <f>IF(D17="","",D16&amp;TEXT(D17,"yyyy年m月d日;;"))</f>
        <v/>
      </c>
      <c r="L16" s="1593" t="str">
        <f>IF(OR(K16="",M16=""),"","、")</f>
        <v/>
      </c>
      <c r="M16" s="2281" t="str">
        <f>IF(E17="","",E16&amp;TEXT(E17,"yyyy年m月d日;;"))</f>
        <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工业2090年1月1日</v>
      </c>
    </row>
    <row r="17" spans="1:21">
      <c r="A17" s="1652"/>
      <c r="B17" s="1580"/>
      <c r="C17" s="2968" t="s">
        <v>1922</v>
      </c>
      <c r="D17" s="3236"/>
      <c r="E17" s="3236"/>
      <c r="F17" s="3236"/>
      <c r="G17" s="3236"/>
      <c r="H17" s="3236"/>
      <c r="I17" s="3236">
        <v>69399</v>
      </c>
      <c r="J17" s="3039"/>
      <c r="K17" s="3017" t="str">
        <f>CONCATENATE(K16,L16,M16,N16,O16,P16,Q16,R16,S16,T16,,U16)</f>
        <v>工业2090年1月1日</v>
      </c>
      <c r="L17" s="3018"/>
      <c r="M17" s="3018"/>
      <c r="N17" s="3019"/>
      <c r="O17" s="3020"/>
      <c r="P17" s="3019"/>
      <c r="Q17" s="3019"/>
      <c r="R17" s="3019"/>
      <c r="S17" s="3019"/>
      <c r="T17" s="3019"/>
      <c r="U17" s="3019"/>
    </row>
    <row r="18" spans="1:21">
      <c r="A18" s="1652"/>
      <c r="B18" s="1580"/>
      <c r="C18" s="2968" t="s">
        <v>1923</v>
      </c>
      <c r="D18" s="1581"/>
      <c r="E18" s="1581">
        <v>40</v>
      </c>
      <c r="F18" s="1581"/>
      <c r="G18" s="1581"/>
      <c r="H18" s="1581"/>
      <c r="I18" s="1581">
        <v>50</v>
      </c>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0</v>
      </c>
      <c r="E19" s="1582">
        <f>IF(B16="出让",IF(E17="","",ROUNDDOWN(MIN((E17-$D$3)/365,E18),2)),E18)</f>
        <v>40</v>
      </c>
      <c r="F19" s="1582">
        <f>IF(B16="出让",IF(F17="","",ROUNDDOWN(MIN((F17-$D$3)/365,F18),2)),F18)</f>
        <v>0</v>
      </c>
      <c r="G19" s="1582">
        <f>IF(B16="出让",IF(G17="","",ROUNDDOWN(MIN((G17-$D$3)/365,G18),2)),G18)</f>
        <v>0</v>
      </c>
      <c r="H19" s="1582">
        <f>IF(B16="出让",IF(H17="","",ROUNDDOWN(MIN((H17-$D$3)/365,H18),2)),H18)</f>
        <v>0</v>
      </c>
      <c r="I19" s="1582">
        <f>IF(B16="出让",IF(I17="","",ROUNDDOWN(MIN((I17-$D$3)/365,I18),2)),I18)</f>
        <v>50</v>
      </c>
      <c r="J19" s="3039"/>
      <c r="K19" s="3022"/>
      <c r="L19" s="3018"/>
      <c r="M19" s="3018"/>
      <c r="N19" s="3019"/>
      <c r="O19" s="3020"/>
      <c r="P19" s="3019"/>
      <c r="Q19" s="3019"/>
      <c r="R19" s="3019"/>
      <c r="S19" s="3019"/>
      <c r="T19" s="3019"/>
      <c r="U19" s="3019"/>
    </row>
    <row r="20" spans="1:21">
      <c r="A20" s="1672"/>
      <c r="B20" s="1673"/>
      <c r="C20" s="1674" t="s">
        <v>2027</v>
      </c>
      <c r="D20" s="3643"/>
      <c r="E20" s="3644"/>
      <c r="F20" s="3644"/>
      <c r="G20" s="3644"/>
      <c r="H20" s="3644"/>
      <c r="I20" s="3645"/>
      <c r="J20" s="3039"/>
      <c r="K20" s="3022"/>
      <c r="L20" s="3018"/>
      <c r="M20" s="3018"/>
      <c r="N20" s="3019"/>
      <c r="O20" s="3020"/>
      <c r="P20" s="3019"/>
      <c r="Q20" s="3019"/>
      <c r="R20" s="3019"/>
      <c r="S20" s="3019"/>
      <c r="T20" s="3019"/>
      <c r="U20" s="3019"/>
    </row>
    <row r="21" spans="1:21">
      <c r="A21" s="1652" t="s">
        <v>1925</v>
      </c>
      <c r="B21" s="1653" t="s">
        <v>1926</v>
      </c>
      <c r="C21" s="1648">
        <f>'数据-汇总表'!E3</f>
        <v>22121.8</v>
      </c>
      <c r="D21" s="1649" t="s">
        <v>1927</v>
      </c>
      <c r="E21" s="3633" t="s">
        <v>1965</v>
      </c>
      <c r="F21" s="3634"/>
      <c r="G21" s="3634"/>
      <c r="H21" s="3634"/>
      <c r="I21" s="3635"/>
      <c r="J21" s="3039"/>
      <c r="K21" s="3022"/>
      <c r="L21" s="3018"/>
      <c r="M21" s="3018"/>
      <c r="N21" s="3019"/>
      <c r="O21" s="3020"/>
      <c r="P21" s="3019"/>
      <c r="Q21" s="3019"/>
      <c r="R21" s="3019"/>
      <c r="S21" s="3019"/>
      <c r="T21" s="3019"/>
      <c r="U21" s="3019"/>
    </row>
    <row r="22" spans="1:21">
      <c r="A22" s="2767" t="s">
        <v>927</v>
      </c>
      <c r="B22" s="1561" t="s">
        <v>1928</v>
      </c>
      <c r="C22" s="1583">
        <f>'数据-汇总表'!D3</f>
        <v>22121.8</v>
      </c>
      <c r="D22" s="1584" t="s">
        <v>1927</v>
      </c>
      <c r="E22" s="3633" t="s">
        <v>2840</v>
      </c>
      <c r="F22" s="3634"/>
      <c r="G22" s="3634"/>
      <c r="H22" s="3634"/>
      <c r="I22" s="3635"/>
      <c r="J22" s="3039"/>
      <c r="K22" s="3022"/>
      <c r="L22" s="3018"/>
      <c r="M22" s="3018"/>
      <c r="N22" s="3019"/>
      <c r="O22" s="3020"/>
      <c r="P22" s="3019"/>
      <c r="Q22" s="3019"/>
      <c r="R22" s="3019"/>
      <c r="S22" s="3019"/>
      <c r="T22" s="3019"/>
      <c r="U22" s="3019"/>
    </row>
    <row r="23" spans="1:21" ht="43.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636" t="s">
        <v>1933</v>
      </c>
      <c r="C24" s="3637"/>
      <c r="D24" s="3638" t="s">
        <v>1934</v>
      </c>
      <c r="E24" s="3639"/>
      <c r="F24" s="1601" t="s">
        <v>1935</v>
      </c>
      <c r="G24" s="3039"/>
      <c r="H24" s="3039"/>
      <c r="I24" s="3043"/>
      <c r="J24" s="3039"/>
      <c r="K24" s="3624"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28.5">
      <c r="A25" s="1640"/>
      <c r="B25" s="1637" t="s">
        <v>2290</v>
      </c>
      <c r="C25" s="1602" t="s">
        <v>1937</v>
      </c>
      <c r="D25" s="1603"/>
      <c r="E25" s="1604" t="s">
        <v>927</v>
      </c>
      <c r="F25" s="1605"/>
      <c r="G25" s="3039"/>
      <c r="H25" s="3039"/>
      <c r="I25" s="3043"/>
      <c r="J25" s="3039"/>
      <c r="K25" s="3624"/>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29.25" thickBot="1">
      <c r="A26" s="1641"/>
      <c r="B26" s="1638" t="s">
        <v>1938</v>
      </c>
      <c r="C26" s="1602" t="s">
        <v>2291</v>
      </c>
      <c r="D26" s="3040"/>
      <c r="E26" s="3040"/>
      <c r="F26" s="3046"/>
      <c r="G26" s="3039"/>
      <c r="H26" s="3039"/>
      <c r="I26" s="3043"/>
      <c r="J26" s="3039"/>
      <c r="K26" s="3624"/>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 thickTop="1">
      <c r="A31" s="3610" t="s">
        <v>1968</v>
      </c>
      <c r="B31" s="1653" t="s">
        <v>1969</v>
      </c>
      <c r="C31" s="3649"/>
      <c r="D31" s="3650"/>
      <c r="E31" s="3039"/>
      <c r="F31" s="3039"/>
      <c r="G31" s="3039"/>
      <c r="H31" s="3039"/>
      <c r="I31" s="3043"/>
      <c r="J31" s="3039"/>
      <c r="K31" s="3025"/>
      <c r="L31" s="3019"/>
      <c r="M31" s="3019"/>
      <c r="N31" s="3019"/>
      <c r="O31" s="3019"/>
      <c r="P31" s="3019"/>
      <c r="Q31" s="3019"/>
      <c r="R31" s="3019"/>
      <c r="S31" s="3019"/>
      <c r="T31" s="3019"/>
      <c r="U31" s="3019"/>
    </row>
    <row r="32" spans="1:21">
      <c r="A32" s="3610"/>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610"/>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611"/>
      <c r="B34" s="1561" t="s">
        <v>1972</v>
      </c>
      <c r="C34" s="3612"/>
      <c r="D34" s="3613"/>
      <c r="E34" s="3039"/>
      <c r="F34" s="3039"/>
      <c r="G34" s="3039"/>
      <c r="H34" s="3039"/>
      <c r="I34" s="3043"/>
      <c r="J34" s="3039"/>
      <c r="K34" s="3025"/>
      <c r="L34" s="3019"/>
      <c r="M34" s="3019"/>
      <c r="N34" s="3019"/>
      <c r="O34" s="3019"/>
      <c r="P34" s="3019"/>
      <c r="Q34" s="3019"/>
      <c r="R34" s="3019"/>
      <c r="S34" s="3019"/>
      <c r="T34" s="3019"/>
      <c r="U34" s="3019"/>
    </row>
    <row r="35" spans="1:28">
      <c r="A35" s="3614" t="s">
        <v>823</v>
      </c>
      <c r="B35" s="1615"/>
      <c r="C35" s="1662" t="str">
        <f>IF(B35="场地平整","——","具体情况：")</f>
        <v>具体情况：</v>
      </c>
      <c r="D35" s="3616"/>
      <c r="E35" s="3617"/>
      <c r="F35" s="3617"/>
      <c r="G35" s="3617"/>
      <c r="H35" s="3617"/>
      <c r="I35" s="3618"/>
      <c r="J35" s="3039"/>
      <c r="K35" s="3026"/>
      <c r="L35" s="3018"/>
      <c r="M35" s="3018"/>
      <c r="N35" s="3019"/>
      <c r="O35" s="3020"/>
      <c r="P35" s="3019"/>
      <c r="Q35" s="3019"/>
      <c r="R35" s="3019"/>
      <c r="S35" s="3019"/>
      <c r="T35" s="3019"/>
      <c r="U35" s="3019"/>
    </row>
    <row r="36" spans="1:28">
      <c r="A36" s="3610"/>
      <c r="B36" s="3619" t="s">
        <v>2021</v>
      </c>
      <c r="C36" s="3620"/>
      <c r="D36" s="1678"/>
      <c r="E36" s="3621"/>
      <c r="F36" s="3621"/>
      <c r="G36" s="1584" t="str">
        <f>IF(B35="场地未平整","估价结果处理","")</f>
        <v/>
      </c>
      <c r="H36" s="3622"/>
      <c r="I36" s="3622"/>
      <c r="J36" s="3039"/>
      <c r="K36" s="3026"/>
      <c r="L36" s="3018"/>
      <c r="M36" s="3018"/>
      <c r="N36" s="3019"/>
      <c r="O36" s="3020"/>
      <c r="P36" s="3019"/>
      <c r="Q36" s="3019"/>
      <c r="R36" s="3019"/>
      <c r="S36" s="3019"/>
      <c r="T36" s="3019"/>
      <c r="U36" s="3019"/>
    </row>
    <row r="37" spans="1:28" ht="28.5">
      <c r="A37" s="3610"/>
      <c r="B37" s="3640"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610"/>
      <c r="B38" s="3641"/>
      <c r="C38" s="1569" t="s">
        <v>826</v>
      </c>
      <c r="D38" s="1677">
        <f>ROUNDDOWN(MIN(('数据-取费表'!$B$2-D37)/365,D34),1)</f>
        <v>122.2</v>
      </c>
      <c r="E38" s="1620" t="s">
        <v>827</v>
      </c>
      <c r="F38" s="3039"/>
      <c r="G38" s="3039"/>
      <c r="H38" s="3039"/>
      <c r="I38" s="3043"/>
      <c r="J38" s="3039"/>
      <c r="K38" s="3026"/>
      <c r="L38" s="3019"/>
      <c r="M38" s="3019"/>
      <c r="N38" s="3019"/>
      <c r="O38" s="3019"/>
      <c r="P38" s="3019"/>
      <c r="Q38" s="3019"/>
      <c r="R38" s="3019"/>
      <c r="S38" s="3019"/>
      <c r="T38" s="3019"/>
      <c r="U38" s="3019"/>
    </row>
    <row r="39" spans="1:28">
      <c r="A39" s="3611"/>
      <c r="B39" s="3642"/>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623" t="s">
        <v>1952</v>
      </c>
      <c r="T40" s="1624" t="str">
        <f>NUMBERSTRING(7-K40,1)&amp;"通"</f>
        <v>七通</v>
      </c>
      <c r="U40" s="3019"/>
    </row>
    <row r="41" spans="1:28">
      <c r="A41" s="1563"/>
      <c r="B41" s="3615" t="s">
        <v>1696</v>
      </c>
      <c r="C41" s="3615"/>
      <c r="D41" s="3615"/>
      <c r="E41" s="3615"/>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623"/>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1388</v>
      </c>
      <c r="C43" s="1630"/>
      <c r="D43" s="1630"/>
      <c r="E43" s="1630" t="s">
        <v>1388</v>
      </c>
      <c r="F43" s="1631"/>
      <c r="G43" s="3039"/>
      <c r="H43" s="3039"/>
      <c r="I43" s="3043"/>
      <c r="J43" s="3039"/>
      <c r="K43" s="3022"/>
      <c r="L43" s="3018"/>
      <c r="M43" s="3018"/>
      <c r="N43" s="3019"/>
      <c r="O43" s="3020"/>
      <c r="P43" s="3019"/>
      <c r="Q43" s="3019"/>
      <c r="R43" s="3019"/>
      <c r="S43" s="3019"/>
      <c r="T43" s="3019"/>
      <c r="U43" s="3019"/>
    </row>
    <row r="44" spans="1:28">
      <c r="A44" s="2990" t="s">
        <v>1682</v>
      </c>
      <c r="B44" s="1630" t="s">
        <v>3138</v>
      </c>
      <c r="C44" s="1630"/>
      <c r="D44" s="1630"/>
      <c r="E44" s="1678" t="s">
        <v>3138</v>
      </c>
      <c r="F44" s="1631"/>
      <c r="G44" s="3039"/>
      <c r="H44" s="3039"/>
      <c r="I44" s="3043"/>
      <c r="J44" s="3039"/>
      <c r="K44" s="3022"/>
      <c r="L44" s="3018"/>
      <c r="M44" s="3018"/>
      <c r="N44" s="3019"/>
      <c r="O44" s="3020"/>
      <c r="P44" s="3019"/>
      <c r="Q44" s="3019"/>
      <c r="R44" s="3019"/>
      <c r="S44" s="3019"/>
      <c r="T44" s="3019"/>
      <c r="U44" s="3019"/>
    </row>
    <row r="45" spans="1:28" s="2738" customFormat="1" ht="21"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28.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D14" sqref="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22121.8</v>
      </c>
      <c r="B3" s="22">
        <f>IF(C3="否",G5-AT5,G5)</f>
        <v>22121.8</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22121.8</v>
      </c>
      <c r="H5" s="27">
        <f t="shared" ref="H5:AT5" si="0">SUM(H13:H641)</f>
        <v>22121.8</v>
      </c>
      <c r="I5" s="27">
        <f t="shared" si="0"/>
        <v>22121.8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22121.8</v>
      </c>
      <c r="BA5" s="29">
        <f t="shared" si="1"/>
        <v>22121.8</v>
      </c>
      <c r="BB5" s="29">
        <f t="shared" si="1"/>
        <v>22121.8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22121.8</v>
      </c>
      <c r="F6" s="27" t="s">
        <v>1</v>
      </c>
      <c r="G6" s="27" t="s">
        <v>2</v>
      </c>
      <c r="H6" s="33">
        <f>SUMIF(I$12:AB$12,"总值",I6:AB6)</f>
        <v>22121.8</v>
      </c>
      <c r="I6" s="27">
        <f t="shared" ref="I6:AB6" si="2">ROUND($A$3*I5/$B$3,2)</f>
        <v>22121.8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22121.8</v>
      </c>
      <c r="AZ6" s="27" t="s">
        <v>3</v>
      </c>
      <c r="BA6" s="27">
        <f>ROUND($AY$6*BA5/$AZ$5,2)</f>
        <v>22121.8</v>
      </c>
      <c r="BB6" s="27">
        <f>ROUND($AY$6*BB5/$AZ$5,2)</f>
        <v>22121.8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9" t="s">
        <v>3122</v>
      </c>
      <c r="J9" s="51"/>
      <c r="K9" s="2699"/>
      <c r="L9" s="51"/>
      <c r="M9" s="269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9" t="s">
        <v>956</v>
      </c>
      <c r="J10" s="51"/>
      <c r="K10" s="2701"/>
      <c r="L10" s="51"/>
      <c r="M10" s="2701"/>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t="s">
        <v>3123</v>
      </c>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38.25">
      <c r="A13" s="3437" t="s">
        <v>3120</v>
      </c>
      <c r="B13" s="3437" t="s">
        <v>3121</v>
      </c>
      <c r="C13" s="2694"/>
      <c r="D13" s="2695" t="s">
        <v>1653</v>
      </c>
      <c r="E13" s="27">
        <f t="shared" ref="E13:E20" si="6">IF($C$3="是",ROUND($A$3*G13/$B$3,2),ROUND($A$3*(G13-AT13)/$B$3,2))</f>
        <v>22121.8</v>
      </c>
      <c r="F13" s="81"/>
      <c r="G13" s="82">
        <f t="shared" ref="G13:G20" si="7">H13+AC13+AT13</f>
        <v>22121.8</v>
      </c>
      <c r="H13" s="33">
        <f t="shared" ref="H13:H20" si="8">SUMIF(I$12:AB$12,"总值",I13:AB13)</f>
        <v>22121.8</v>
      </c>
      <c r="I13" s="2698">
        <v>22121.8</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t="str">
        <f t="shared" ref="AV13:AX20" si="10">A13</f>
        <v>京顺国用（2000）字第0176号</v>
      </c>
      <c r="AW13" s="17" t="str">
        <f t="shared" si="10"/>
        <v>京房权证顺国字第00328号</v>
      </c>
      <c r="AX13" s="17">
        <f t="shared" si="10"/>
        <v>0</v>
      </c>
      <c r="AY13" s="966">
        <f t="shared" ref="AY13:AY20" si="11">ROUND($AY$6*AZ13/$AZ$5,2)</f>
        <v>22121.8</v>
      </c>
      <c r="AZ13" s="27">
        <f t="shared" ref="AZ13:AZ20" si="12">BA13+BL13</f>
        <v>22121.8</v>
      </c>
      <c r="BA13" s="27">
        <f t="shared" ref="BA13:BA20" si="13">SUM(BB13:BK13)</f>
        <v>22121.8</v>
      </c>
      <c r="BB13" s="27">
        <f t="shared" ref="BB13:BB20" si="14">IF($D13="是",I13-J13,0)</f>
        <v>22121.8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4"/>
      <c r="B14" s="2694"/>
      <c r="C14" s="2696"/>
      <c r="D14" s="2695"/>
      <c r="E14" s="27">
        <f t="shared" si="6"/>
        <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51" t="s">
        <v>0</v>
      </c>
      <c r="B1" s="3651" t="s">
        <v>4</v>
      </c>
      <c r="C1" s="3651" t="s">
        <v>5</v>
      </c>
      <c r="D1" s="3652" t="s">
        <v>40</v>
      </c>
      <c r="E1" s="3652" t="s">
        <v>41</v>
      </c>
      <c r="F1" s="3652"/>
      <c r="G1" s="3652"/>
      <c r="H1" s="3652"/>
      <c r="I1" s="3652"/>
      <c r="J1" s="3652"/>
      <c r="K1" s="3652"/>
      <c r="L1" s="3652"/>
      <c r="M1" s="3652"/>
    </row>
    <row r="2" spans="1:13" ht="27" customHeight="1">
      <c r="A2" s="3651"/>
      <c r="B2" s="3651"/>
      <c r="C2" s="3651"/>
      <c r="D2" s="3652"/>
      <c r="E2" s="3652" t="s">
        <v>24</v>
      </c>
      <c r="F2" s="3652" t="s">
        <v>25</v>
      </c>
      <c r="G2" s="3652"/>
      <c r="H2" s="3652"/>
      <c r="I2" s="3652"/>
      <c r="J2" s="3652" t="s">
        <v>26</v>
      </c>
      <c r="K2" s="3652"/>
      <c r="L2" s="3652"/>
      <c r="M2" s="3652"/>
    </row>
    <row r="3" spans="1:13" ht="28.5">
      <c r="A3" s="3651"/>
      <c r="B3" s="3651"/>
      <c r="C3" s="3651"/>
      <c r="D3" s="3652"/>
      <c r="E3" s="36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2" t="s">
        <v>42</v>
      </c>
      <c r="B9" s="3652"/>
      <c r="C9" s="36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G20" sqref="G20"/>
    </sheetView>
  </sheetViews>
  <sheetFormatPr defaultColWidth="9.25" defaultRowHeight="14.25"/>
  <cols>
    <col min="1" max="1" width="8.25" style="1870" customWidth="1"/>
    <col min="2" max="2" width="10.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662" t="s">
        <v>203</v>
      </c>
      <c r="B2" s="3662"/>
      <c r="C2" s="3662"/>
      <c r="D2" s="1860" t="s">
        <v>204</v>
      </c>
      <c r="E2" s="106" t="s">
        <v>205</v>
      </c>
      <c r="F2" s="3048"/>
      <c r="G2" s="1163"/>
      <c r="H2" s="1164"/>
      <c r="I2" s="1165" t="s">
        <v>833</v>
      </c>
      <c r="J2" s="3048"/>
      <c r="K2" s="3048"/>
      <c r="L2" s="3048"/>
      <c r="M2" s="3048"/>
      <c r="N2" s="3048"/>
      <c r="O2" s="3048"/>
      <c r="P2" s="3048"/>
    </row>
    <row r="3" spans="1:16" ht="15.75" thickBot="1">
      <c r="A3" s="3663" t="s">
        <v>206</v>
      </c>
      <c r="B3" s="3663"/>
      <c r="C3" s="3663"/>
      <c r="D3" s="107">
        <f>'数据-基础表'!AY6</f>
        <v>22121.8</v>
      </c>
      <c r="E3" s="107">
        <f>'数据-基础表'!AZ5</f>
        <v>22121.8</v>
      </c>
      <c r="F3" s="3048"/>
      <c r="G3" s="278" t="s">
        <v>834</v>
      </c>
      <c r="H3" s="273" t="s">
        <v>835</v>
      </c>
      <c r="I3" s="1861">
        <f>ROUND('数据-基础表'!B3/'数据-基础表'!A3,2)</f>
        <v>1</v>
      </c>
      <c r="J3" s="3048"/>
      <c r="K3" s="3048"/>
      <c r="L3" s="3048"/>
      <c r="M3" s="3048"/>
      <c r="N3" s="3048"/>
      <c r="O3" s="3048"/>
      <c r="P3" s="3048"/>
    </row>
    <row r="4" spans="1:16" ht="15">
      <c r="A4" s="3664"/>
      <c r="B4" s="3665"/>
      <c r="C4" s="3666"/>
      <c r="D4" s="108" t="s">
        <v>204</v>
      </c>
      <c r="E4" s="109" t="s">
        <v>205</v>
      </c>
      <c r="F4" s="3048"/>
      <c r="G4" s="1166"/>
      <c r="H4" s="273" t="s">
        <v>836</v>
      </c>
      <c r="I4" s="1861">
        <f>ROUND(SUMIF('数据-基础表'!I9:AS9,"地上",'数据-基础表'!I5:AS5)/'数据-基础表'!A3,2)</f>
        <v>1</v>
      </c>
      <c r="J4" s="3048"/>
      <c r="K4" s="3048"/>
      <c r="L4" s="3048"/>
      <c r="M4" s="3048"/>
      <c r="N4" s="3048"/>
      <c r="O4" s="3048"/>
      <c r="P4" s="3048"/>
    </row>
    <row r="5" spans="1:16">
      <c r="A5" s="110" t="s">
        <v>207</v>
      </c>
      <c r="B5" s="3667" t="s">
        <v>230</v>
      </c>
      <c r="C5" s="3667"/>
      <c r="D5" s="111">
        <f>ROUND($D$3*E5/$E$3,2)</f>
        <v>0</v>
      </c>
      <c r="E5" s="112">
        <f>SUMIF('数据-基础表'!$11:$11,"住宅",'数据-基础表'!$5:$5)</f>
        <v>0</v>
      </c>
      <c r="F5" s="3048"/>
      <c r="G5" s="278" t="s">
        <v>837</v>
      </c>
      <c r="H5" s="273" t="s">
        <v>835</v>
      </c>
      <c r="I5" s="1861">
        <f>ROUND(E31/D31,2)</f>
        <v>1</v>
      </c>
      <c r="J5" s="3048"/>
      <c r="K5" s="3048"/>
      <c r="L5" s="3048"/>
      <c r="M5" s="3048"/>
      <c r="N5" s="3048"/>
      <c r="O5" s="3048"/>
      <c r="P5" s="3048"/>
    </row>
    <row r="6" spans="1:16" ht="15" thickBot="1">
      <c r="A6" s="113"/>
      <c r="B6" s="3667" t="s">
        <v>208</v>
      </c>
      <c r="C6" s="3667"/>
      <c r="D6" s="111">
        <f>ROUND($D$3*E6/$E$3,2)</f>
        <v>22121.8</v>
      </c>
      <c r="E6" s="112">
        <f>E3-E5</f>
        <v>22121.8</v>
      </c>
      <c r="F6" s="3048"/>
      <c r="G6" s="1166"/>
      <c r="H6" s="273" t="s">
        <v>836</v>
      </c>
      <c r="I6" s="1861">
        <f>ROUND(F31/D31,2)</f>
        <v>1</v>
      </c>
      <c r="J6" s="3048"/>
      <c r="K6" s="3048"/>
      <c r="L6" s="3048"/>
      <c r="M6" s="3048"/>
      <c r="N6" s="3048"/>
      <c r="O6" s="3048"/>
      <c r="P6" s="3048"/>
    </row>
    <row r="7" spans="1:16" ht="15">
      <c r="A7" s="3659"/>
      <c r="B7" s="3660"/>
      <c r="C7" s="3661"/>
      <c r="D7" s="108" t="s">
        <v>204</v>
      </c>
      <c r="E7" s="114" t="s">
        <v>231</v>
      </c>
      <c r="F7" s="3048"/>
      <c r="G7" s="1121" t="s">
        <v>1620</v>
      </c>
      <c r="H7" s="1122"/>
      <c r="I7" s="1732">
        <v>1</v>
      </c>
      <c r="J7" s="3048"/>
      <c r="K7" s="3048"/>
      <c r="L7" s="3048"/>
      <c r="M7" s="3048"/>
      <c r="N7" s="3048"/>
      <c r="O7" s="3048"/>
      <c r="P7" s="3048"/>
    </row>
    <row r="8" spans="1:16">
      <c r="A8" s="110" t="s">
        <v>209</v>
      </c>
      <c r="B8" s="115" t="s">
        <v>210</v>
      </c>
      <c r="C8" s="111" t="s">
        <v>211</v>
      </c>
      <c r="D8" s="111">
        <f t="shared" ref="D8:D15" si="0">ROUND($D$3*E8/$E$3,2)</f>
        <v>22121.8</v>
      </c>
      <c r="E8" s="116">
        <f>SUMIF('数据-基础表'!BB10:BK10,"地上",'数据-基础表'!BB5:BK5)</f>
        <v>22121.8</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75" thickBot="1">
      <c r="A16" s="113"/>
      <c r="B16" s="118"/>
      <c r="C16" s="115" t="s">
        <v>215</v>
      </c>
      <c r="D16" s="115">
        <f>SUM(D8:D15)</f>
        <v>22121.8</v>
      </c>
      <c r="E16" s="120">
        <f>SUM(E8:E15)</f>
        <v>22121.8</v>
      </c>
      <c r="F16" s="3048"/>
      <c r="G16" s="3049"/>
      <c r="H16" s="938" t="s">
        <v>219</v>
      </c>
      <c r="I16" s="939"/>
      <c r="J16" s="1869"/>
      <c r="K16" s="3653" t="s">
        <v>2520</v>
      </c>
      <c r="L16" s="3654"/>
      <c r="M16" s="3654"/>
      <c r="N16" s="3654"/>
      <c r="O16" s="3654"/>
      <c r="P16" s="3655"/>
    </row>
    <row r="17" spans="1:19" ht="15">
      <c r="A17" s="121" t="s">
        <v>216</v>
      </c>
      <c r="B17" s="122" t="s">
        <v>217</v>
      </c>
      <c r="C17" s="2148" t="s">
        <v>2278</v>
      </c>
      <c r="D17" s="108" t="s">
        <v>204</v>
      </c>
      <c r="E17" s="124" t="s">
        <v>205</v>
      </c>
      <c r="F17" s="125"/>
      <c r="G17" s="1293"/>
      <c r="H17" s="940" t="s">
        <v>218</v>
      </c>
      <c r="I17" s="941" t="s">
        <v>2277</v>
      </c>
      <c r="J17" s="1869"/>
      <c r="K17" s="3656" t="s">
        <v>2521</v>
      </c>
      <c r="L17" s="3657"/>
      <c r="M17" s="3658"/>
      <c r="N17" s="3656" t="s">
        <v>2522</v>
      </c>
      <c r="O17" s="3657"/>
      <c r="P17" s="3658"/>
      <c r="R17" s="2149" t="s">
        <v>2276</v>
      </c>
      <c r="S17" s="142"/>
    </row>
    <row r="18" spans="1:19" ht="15">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3124</v>
      </c>
      <c r="D19" s="111">
        <f t="shared" ref="D19:D26" si="1">ROUND($D$3*E19/$E$3,2)</f>
        <v>22121.8</v>
      </c>
      <c r="E19" s="134">
        <f t="shared" ref="E19:E26" si="2">SUM(F19:G19)</f>
        <v>22121.8</v>
      </c>
      <c r="F19" s="3050">
        <f>'数据-基础表'!I13</f>
        <v>22121.8</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22121.8</v>
      </c>
      <c r="S19" s="2151">
        <f t="shared" si="5"/>
        <v>22121.8</v>
      </c>
    </row>
    <row r="20" spans="1:19">
      <c r="A20" s="137"/>
      <c r="B20" s="115" t="s">
        <v>226</v>
      </c>
      <c r="C20" s="2705"/>
      <c r="D20" s="111">
        <f t="shared" si="1"/>
        <v>0</v>
      </c>
      <c r="E20" s="134">
        <f t="shared" si="2"/>
        <v>0</v>
      </c>
      <c r="F20" s="3050"/>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75" thickBot="1">
      <c r="A27" s="137"/>
      <c r="B27" s="111"/>
      <c r="C27" s="127" t="s">
        <v>215</v>
      </c>
      <c r="D27" s="134">
        <f>SUM(D19:D26)</f>
        <v>22121.8</v>
      </c>
      <c r="E27" s="141">
        <f>IF(SUM(E19:E26)='数据-基础表'!BA5,SUM(E19:E26),IF(F27="地上面积有误","面积有误","地下面积有误"))</f>
        <v>22121.8</v>
      </c>
      <c r="F27" s="134">
        <f>IF(SUM(F19:F26)=E8,SUM(F19:F26),"地上面积有误")</f>
        <v>22121.8</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22121.8</v>
      </c>
      <c r="S27" s="273">
        <f>IF(SUM(S19:S26)=$E$3,SUM(S19:S26),SUM(S19:S26)&amp;"误差"&amp;ROUND(SUM(S19:S26)-E3,2))</f>
        <v>22121.8</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22121.8</v>
      </c>
      <c r="E31" s="1297">
        <f>E27+E30</f>
        <v>22121.8</v>
      </c>
      <c r="F31" s="1298">
        <f>F27+F30</f>
        <v>22121.8</v>
      </c>
      <c r="G31" s="1299">
        <f>G27+G30</f>
        <v>0</v>
      </c>
      <c r="H31" s="3048"/>
      <c r="I31" s="3048"/>
      <c r="J31" s="3048"/>
      <c r="K31" s="3048"/>
      <c r="L31" s="3048"/>
      <c r="M31" s="3048"/>
      <c r="N31" s="3048"/>
      <c r="O31" s="3048"/>
      <c r="P31" s="3048"/>
    </row>
    <row r="32" spans="1:19">
      <c r="A32" s="1869"/>
      <c r="B32" s="2192" t="s">
        <v>2286</v>
      </c>
      <c r="C32" s="2456"/>
      <c r="D32" s="1166"/>
      <c r="E32" s="1166">
        <f>SUMIF(C19:C26,"*住宅*",E19:E26)</f>
        <v>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K6" activePane="bottomRight" state="frozen"/>
      <selection pane="topRight" activeCell="D1" sqref="D1"/>
      <selection pane="bottomLeft" activeCell="A4" sqref="A4"/>
      <selection pane="bottomRight" activeCell="R6" sqref="R6"/>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75" thickBot="1">
      <c r="A2" s="147" t="s">
        <v>235</v>
      </c>
      <c r="B2" s="2188">
        <f>项目基本情况!D3</f>
        <v>44614</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40.5">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3125</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2932</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25">
      <c r="A6" s="2152" t="str">
        <f>'数据-汇总表'!C19</f>
        <v>工业</v>
      </c>
      <c r="B6" s="2187" t="str">
        <f>IF(A6=0,"","经营性")</f>
        <v>经营性</v>
      </c>
      <c r="C6" s="171" t="s">
        <v>956</v>
      </c>
      <c r="D6" s="2158">
        <f>SUMIF(项目基本情况!D$15:I$15,C6,项目基本情况!D$18:I$18)</f>
        <v>50</v>
      </c>
      <c r="E6" s="2159">
        <f>IF(B6="","",SUMIF(项目基本情况!D$15:I$15,C6,项目基本情况!D$17:I$17))</f>
        <v>69399</v>
      </c>
      <c r="F6" s="172">
        <f>SUMIF(项目基本情况!D$15:I$15,C6,项目基本情况!D$19:I$19)</f>
        <v>50</v>
      </c>
      <c r="G6" s="173">
        <f>IF(ISERROR(ROUND(POWER(1+H6,D6-F6)*(POWER(1+H6,F6)-1)/(POWER(1+H6,D6)-1),3)),0,ROUND(POWER(1+H6,D6-F6)*(POWER(1+H6,F6)-1)/(POWER(1+H6,D6)-1),3))</f>
        <v>1</v>
      </c>
      <c r="H6" s="2706">
        <v>4.8000000000000001E-2</v>
      </c>
      <c r="I6" s="2706">
        <v>0.05</v>
      </c>
      <c r="J6" s="174">
        <v>8.5000000000000006E-2</v>
      </c>
      <c r="K6" s="177">
        <f>SUMIF('数据-汇总表'!C$19:C$33,'数据-取费表'!A6,'数据-汇总表'!E$19:E$33)</f>
        <v>22121.8</v>
      </c>
      <c r="L6" s="2707">
        <v>1800</v>
      </c>
      <c r="M6" s="175">
        <f t="shared" ref="M6:M14" si="0">ROUND(K6*L6/10000,0)</f>
        <v>3982</v>
      </c>
      <c r="N6" s="2708">
        <v>0.7</v>
      </c>
      <c r="O6" s="175" t="str">
        <f>IF($N$5="成新度","——",ROUND(M6*N6,0))</f>
        <v>——</v>
      </c>
      <c r="P6" s="176" t="str">
        <f>IF($N$5="成新度","——",M6-O6)</f>
        <v>——</v>
      </c>
      <c r="Q6" s="2709">
        <v>0.12</v>
      </c>
      <c r="R6" s="177">
        <f>SUMIF('数据-汇总表'!C$19:C$33,A6,'数据-汇总表'!R$19:R$33)</f>
        <v>22121.8</v>
      </c>
      <c r="S6" s="132">
        <f>IF('数据-汇总表'!$I$17="按面积比例",SUMIF('数据-汇总表'!C$19:C$33,A6,'数据-汇总表'!K$19:K$33),SUMIF('数据-汇总表'!C$19:C$33,A6,'数据-汇总表'!N$19:N$33))</f>
        <v>0</v>
      </c>
      <c r="T6" s="2084" t="str">
        <f>IF($T$4="按面积比例",IF(ISERROR(ROUND($M$14*S6/S$16,0)),"0",ROUND($M$14*S6/S$16,0)),"需自行计算录入")</f>
        <v>0</v>
      </c>
      <c r="U6" s="178">
        <v>1.3</v>
      </c>
      <c r="V6" s="179">
        <v>0</v>
      </c>
      <c r="W6" s="179">
        <v>0.15</v>
      </c>
      <c r="X6" s="2171"/>
      <c r="Y6" s="180">
        <v>0.7</v>
      </c>
      <c r="Z6" s="181"/>
      <c r="AA6" s="174"/>
      <c r="AB6" s="174"/>
      <c r="AC6" s="2174"/>
      <c r="AD6" s="182"/>
      <c r="AE6" s="942">
        <f ca="1">IF(AN6="",0,SUMIF(INDIRECT("'"&amp;AN6&amp;"'"&amp;"!E:E"),$AE$5,INDIRECT("'"&amp;AN6&amp;"'"&amp;"!F:F")))</f>
        <v>50</v>
      </c>
      <c r="AF6" s="139"/>
      <c r="AG6" s="1178">
        <f>IF(AF6="",0,AE6-AF6)</f>
        <v>0</v>
      </c>
      <c r="AH6" s="139">
        <f>'数据-汇总表'!F19</f>
        <v>22121.8</v>
      </c>
      <c r="AI6" s="185">
        <v>365</v>
      </c>
      <c r="AJ6" s="186"/>
      <c r="AK6" s="187">
        <v>1.4999999999999999E-2</v>
      </c>
      <c r="AL6" s="188">
        <v>1.5E-3</v>
      </c>
      <c r="AM6" s="2718">
        <v>1.4999999999999999E-2</v>
      </c>
      <c r="AN6" s="2217" t="s">
        <v>3126</v>
      </c>
      <c r="AO6" s="3058"/>
      <c r="AP6" s="1169">
        <f>ROUND(1-1/(1+H6)^F6,3)</f>
        <v>0.90400000000000003</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6"/>
      <c r="I7" s="2706"/>
      <c r="J7" s="174"/>
      <c r="K7" s="177">
        <f>SUMIF('数据-汇总表'!C$19:C$33,'数据-取费表'!A7,'数据-汇总表'!E$19:E$33)</f>
        <v>0</v>
      </c>
      <c r="L7" s="2707"/>
      <c r="M7" s="175">
        <f t="shared" si="0"/>
        <v>0</v>
      </c>
      <c r="N7" s="2708"/>
      <c r="O7" s="175" t="str">
        <f t="shared" ref="O7:O14" si="3">IF($N$5="成新度","——",ROUND(M7*N7,0))</f>
        <v>——</v>
      </c>
      <c r="P7" s="176" t="str">
        <f t="shared" ref="P7:P14" si="4">IF($N$5="成新度","——",M7-O7)</f>
        <v>——</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t="str">
        <f t="shared" si="3"/>
        <v>——</v>
      </c>
      <c r="P8" s="176" t="str">
        <f t="shared" si="4"/>
        <v>——</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t="str">
        <f t="shared" si="3"/>
        <v>——</v>
      </c>
      <c r="P14" s="176" t="str">
        <f t="shared" si="4"/>
        <v>——</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262</v>
      </c>
      <c r="B16" s="197"/>
      <c r="C16" s="198"/>
      <c r="D16" s="199"/>
      <c r="E16" s="197"/>
      <c r="F16" s="197"/>
      <c r="G16" s="200">
        <f>ROUND(SUMPRODUCT(G6:G13,K6:K13)/SUMPRODUCT((G6:G13&gt;0)*(K6:K13)),3)</f>
        <v>1</v>
      </c>
      <c r="H16" s="201">
        <f>ROUND(SUMPRODUCT(H6:H13,K6:K13)/SUMPRODUCT((H6:H13&gt;0)*(K6:K13)),3)</f>
        <v>4.8000000000000001E-2</v>
      </c>
      <c r="I16" s="202"/>
      <c r="J16" s="202"/>
      <c r="K16" s="203">
        <f>SUM(K6:K15)</f>
        <v>22121.8</v>
      </c>
      <c r="L16" s="204">
        <f>ROUND(M16*10000/SUM(K6:K14),0)</f>
        <v>1800</v>
      </c>
      <c r="M16" s="204">
        <f>SUM(M6:M14)</f>
        <v>3982</v>
      </c>
      <c r="N16" s="205">
        <f>ROUND(SUMPRODUCT(M6:M14,N6:N14)/M16,3)</f>
        <v>0.7</v>
      </c>
      <c r="O16" s="204">
        <f>SUM(O6:O14)</f>
        <v>0</v>
      </c>
      <c r="P16" s="204">
        <f>SUM(P6:P14)</f>
        <v>0</v>
      </c>
      <c r="Q16" s="206">
        <f>ROUND(SUMPRODUCT(Q6:Q13,K6:K13)/SUMPRODUCT((Q6:Q13&gt;0)*(K6:K13)),2)</f>
        <v>0.12</v>
      </c>
      <c r="R16" s="2161">
        <f>SUM(R6:R13)</f>
        <v>22121.8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0.90400000000000003</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25">
      <c r="A19" s="215" t="s">
        <v>264</v>
      </c>
      <c r="B19" s="216">
        <v>1</v>
      </c>
      <c r="C19" s="3070" t="s">
        <v>2945</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25">
      <c r="A20" s="217" t="s">
        <v>265</v>
      </c>
      <c r="B20" s="218">
        <v>1</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25">
      <c r="A21" s="219" t="s">
        <v>266</v>
      </c>
      <c r="B21" s="218">
        <v>1</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25">
      <c r="A22" s="217" t="s">
        <v>267</v>
      </c>
      <c r="B22" s="220">
        <f>B19+B20</f>
        <v>2</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25">
      <c r="A23" s="219" t="s">
        <v>268</v>
      </c>
      <c r="B23" s="220">
        <f>B19+B21</f>
        <v>2</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5" thickBot="1">
      <c r="A24" s="221" t="s">
        <v>269</v>
      </c>
      <c r="B24" s="222">
        <f>B20-B21</f>
        <v>0</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7.75">
      <c r="A27" s="224" t="s">
        <v>2302</v>
      </c>
      <c r="B27" s="225"/>
      <c r="C27" s="3071" t="s">
        <v>2946</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2303</v>
      </c>
      <c r="B28" s="227">
        <v>155</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2301</v>
      </c>
      <c r="B29" s="230">
        <f>ROUND(B28*'数据-基础表'!A3/10000,0)</f>
        <v>343</v>
      </c>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273</v>
      </c>
      <c r="B30" s="948">
        <v>250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274</v>
      </c>
      <c r="B31" s="228">
        <f>B30-B32</f>
        <v>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275</v>
      </c>
      <c r="B32" s="1303">
        <v>250</v>
      </c>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278</v>
      </c>
      <c r="B33" s="1304">
        <v>0.03</v>
      </c>
      <c r="C33" s="3073" t="s">
        <v>2933</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v>0</v>
      </c>
      <c r="C34" s="3073" t="s">
        <v>2934</v>
      </c>
      <c r="D34" s="3074" t="s">
        <v>2942</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25">
      <c r="A35" s="226" t="s">
        <v>276</v>
      </c>
      <c r="B35" s="227">
        <v>180</v>
      </c>
      <c r="C35" s="3073" t="s">
        <v>2935</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5" thickBot="1">
      <c r="A36" s="229" t="s">
        <v>277</v>
      </c>
      <c r="B36" s="232">
        <v>1.4999999999999999E-2</v>
      </c>
      <c r="C36" s="3073" t="s">
        <v>2936</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25">
      <c r="A37" s="233" t="s">
        <v>280</v>
      </c>
      <c r="B37" s="234">
        <v>0.02</v>
      </c>
      <c r="C37" s="3073" t="s">
        <v>2937</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25">
      <c r="A38" s="226" t="s">
        <v>281</v>
      </c>
      <c r="B38" s="231">
        <v>0.02</v>
      </c>
      <c r="C38" s="3073" t="s">
        <v>2937</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25">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5" thickBot="1">
      <c r="A40" s="2310" t="s">
        <v>2411</v>
      </c>
      <c r="B40" s="2304">
        <f ca="1">存贷款利率!E2</f>
        <v>4.7500000000000001E-2</v>
      </c>
      <c r="C40" s="3073" t="s">
        <v>2938</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2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25">
      <c r="A42" s="949" t="s">
        <v>283</v>
      </c>
      <c r="B42" s="238">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25">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25">
      <c r="A44" s="237" t="s">
        <v>285</v>
      </c>
      <c r="B44" s="240">
        <v>0.05</v>
      </c>
      <c r="C44" s="3073" t="s">
        <v>2943</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25">
      <c r="A45" s="237" t="s">
        <v>286</v>
      </c>
      <c r="B45" s="238">
        <v>0.03</v>
      </c>
      <c r="C45" s="3076" t="s">
        <v>2939</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25">
      <c r="A46" s="237" t="s">
        <v>287</v>
      </c>
      <c r="B46" s="238">
        <v>0.02</v>
      </c>
      <c r="C46" s="3076" t="s">
        <v>2940</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5" thickBot="1">
      <c r="A47" s="241" t="s">
        <v>288</v>
      </c>
      <c r="B47" s="242"/>
      <c r="C47" s="3071" t="s">
        <v>2947</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25">
      <c r="A48" s="243" t="s">
        <v>289</v>
      </c>
      <c r="B48" s="244">
        <v>0.03</v>
      </c>
      <c r="C48" s="3076" t="s">
        <v>2939</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5" thickBot="1">
      <c r="A49" s="235" t="s">
        <v>290</v>
      </c>
      <c r="B49" s="238">
        <v>5.0000000000000001E-4</v>
      </c>
      <c r="C49" s="3076" t="s">
        <v>2941</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2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25">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7">
      <c r="A53" s="226" t="s">
        <v>294</v>
      </c>
      <c r="B53" s="249" t="s">
        <v>1384</v>
      </c>
      <c r="C53" s="3066" t="s">
        <v>2842</v>
      </c>
      <c r="D53" s="3077" t="s">
        <v>2944</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25">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25">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25">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25">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25">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25">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25">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25">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25">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12"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089"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9"/>
  </cols>
  <sheetData>
    <row r="1" spans="1:18" s="3083" customFormat="1" ht="19.5" thickBot="1">
      <c r="A1" s="3668" t="s">
        <v>1638</v>
      </c>
      <c r="B1" s="3669"/>
      <c r="C1" s="3669"/>
      <c r="D1" s="3669"/>
      <c r="E1" s="3669"/>
      <c r="F1" s="3669"/>
      <c r="G1" s="3669"/>
      <c r="H1" s="3078"/>
      <c r="I1" s="3079"/>
      <c r="J1" s="3080"/>
      <c r="K1" s="3078"/>
      <c r="L1" s="3079"/>
      <c r="M1" s="3080"/>
      <c r="N1" s="3078"/>
      <c r="O1" s="3079"/>
      <c r="P1" s="3080"/>
      <c r="Q1" s="3081"/>
      <c r="R1" s="3082"/>
    </row>
    <row r="2" spans="1:18" ht="14.25" thickBot="1">
      <c r="A2" s="3084"/>
      <c r="B2" s="3085"/>
      <c r="C2" s="3086" t="s">
        <v>1639</v>
      </c>
      <c r="D2" s="3087"/>
      <c r="E2" s="3084"/>
      <c r="F2" s="3088"/>
      <c r="G2" s="3086" t="s">
        <v>1640</v>
      </c>
      <c r="H2" s="3089"/>
      <c r="I2" s="3089"/>
      <c r="J2" s="3089"/>
      <c r="K2" s="3089"/>
      <c r="L2" s="3089"/>
      <c r="M2" s="3089"/>
      <c r="N2" s="3089"/>
      <c r="O2" s="3089"/>
      <c r="P2" s="3089"/>
      <c r="Q2" s="3089"/>
      <c r="R2" s="3089"/>
    </row>
    <row r="3" spans="1:18" ht="81">
      <c r="A3" s="3090" t="s">
        <v>1641</v>
      </c>
      <c r="B3" s="3091" t="s">
        <v>1628</v>
      </c>
      <c r="C3" s="3438" t="s">
        <v>3127</v>
      </c>
      <c r="D3" s="3092"/>
      <c r="E3" s="3093" t="s">
        <v>1641</v>
      </c>
      <c r="F3" s="3094" t="s">
        <v>1629</v>
      </c>
      <c r="G3" s="3443" t="s">
        <v>3135</v>
      </c>
      <c r="H3" s="3089"/>
      <c r="I3" s="3089"/>
      <c r="J3" s="3089"/>
      <c r="K3" s="3089"/>
      <c r="L3" s="3089"/>
      <c r="M3" s="3089"/>
      <c r="N3" s="3089"/>
      <c r="O3" s="3089"/>
      <c r="P3" s="3089"/>
      <c r="Q3" s="3089"/>
      <c r="R3" s="3089"/>
    </row>
    <row r="4" spans="1:18" ht="67.5">
      <c r="A4" s="3093"/>
      <c r="B4" s="3095" t="s">
        <v>1642</v>
      </c>
      <c r="C4" s="3439" t="s">
        <v>3128</v>
      </c>
      <c r="D4" s="3092"/>
      <c r="E4" s="3096"/>
      <c r="F4" s="3097" t="s">
        <v>1643</v>
      </c>
      <c r="G4" s="3440" t="s">
        <v>3130</v>
      </c>
      <c r="H4" s="3089"/>
      <c r="I4" s="3089"/>
      <c r="J4" s="3089"/>
      <c r="K4" s="3089"/>
      <c r="L4" s="3089"/>
      <c r="M4" s="3089"/>
      <c r="N4" s="3089"/>
      <c r="O4" s="3089"/>
      <c r="P4" s="3089"/>
      <c r="Q4" s="3089"/>
      <c r="R4" s="3089"/>
    </row>
    <row r="5" spans="1:18" ht="41.25">
      <c r="A5" s="3093"/>
      <c r="B5" s="3095" t="s">
        <v>1644</v>
      </c>
      <c r="C5" s="3439" t="s">
        <v>3129</v>
      </c>
      <c r="D5" s="3092"/>
      <c r="E5" s="3096"/>
      <c r="F5" s="3095" t="s">
        <v>2500</v>
      </c>
      <c r="G5" s="3098" t="str">
        <f>C7</f>
        <v>估价对象所在区域公共配套设施齐备情况一般</v>
      </c>
      <c r="H5" s="3089"/>
      <c r="I5" s="3089"/>
      <c r="J5" s="3089"/>
      <c r="K5" s="3089"/>
      <c r="L5" s="3089"/>
      <c r="M5" s="3089"/>
      <c r="N5" s="3089"/>
      <c r="O5" s="3089"/>
      <c r="P5" s="3089"/>
      <c r="Q5" s="3089"/>
      <c r="R5" s="3089"/>
    </row>
    <row r="6" spans="1:18" ht="67.5">
      <c r="A6" s="3093"/>
      <c r="B6" s="3095" t="s">
        <v>1630</v>
      </c>
      <c r="C6" s="3440" t="s">
        <v>3130</v>
      </c>
      <c r="D6" s="3092"/>
      <c r="E6" s="3096"/>
      <c r="F6" s="3095" t="s">
        <v>2501</v>
      </c>
      <c r="G6" s="3440" t="s">
        <v>3136</v>
      </c>
      <c r="H6" s="3089"/>
      <c r="I6" s="3089"/>
      <c r="J6" s="3089"/>
      <c r="K6" s="3089"/>
      <c r="L6" s="3089"/>
      <c r="M6" s="3089"/>
      <c r="N6" s="3089"/>
      <c r="O6" s="3089"/>
      <c r="P6" s="3089"/>
      <c r="Q6" s="3089"/>
      <c r="R6" s="3089"/>
    </row>
    <row r="7" spans="1:18" ht="41.25" thickBot="1">
      <c r="A7" s="3093"/>
      <c r="B7" s="3095" t="s">
        <v>2500</v>
      </c>
      <c r="C7" s="3440" t="s">
        <v>3131</v>
      </c>
      <c r="D7" s="3099"/>
      <c r="E7" s="3100"/>
      <c r="F7" s="3101" t="s">
        <v>1645</v>
      </c>
      <c r="G7" s="3444" t="s">
        <v>3137</v>
      </c>
      <c r="H7" s="3089"/>
      <c r="I7" s="3089"/>
      <c r="J7" s="3089"/>
      <c r="K7" s="3089"/>
      <c r="L7" s="3089"/>
      <c r="M7" s="3089"/>
      <c r="N7" s="3089"/>
      <c r="O7" s="3089"/>
      <c r="P7" s="3089"/>
      <c r="Q7" s="3089"/>
      <c r="R7" s="3089"/>
    </row>
    <row r="8" spans="1:18">
      <c r="A8" s="3093"/>
      <c r="B8" s="3095" t="s">
        <v>2501</v>
      </c>
      <c r="C8" s="3098" t="s">
        <v>3132</v>
      </c>
      <c r="D8" s="3099"/>
      <c r="E8" s="3099"/>
      <c r="F8" s="3102"/>
      <c r="G8" s="3102"/>
      <c r="H8" s="3089"/>
      <c r="I8" s="3089"/>
      <c r="J8" s="3089"/>
      <c r="K8" s="3089"/>
      <c r="L8" s="3089"/>
      <c r="M8" s="3089"/>
      <c r="N8" s="3089"/>
      <c r="O8" s="3089"/>
      <c r="P8" s="3089"/>
      <c r="Q8" s="3089"/>
      <c r="R8" s="3089"/>
    </row>
    <row r="9" spans="1:18" ht="40.5">
      <c r="A9" s="3093"/>
      <c r="B9" s="3095" t="s">
        <v>1631</v>
      </c>
      <c r="C9" s="3441" t="s">
        <v>3133</v>
      </c>
      <c r="D9" s="3092"/>
      <c r="E9" s="3099"/>
      <c r="F9" s="3102"/>
      <c r="G9" s="3102"/>
      <c r="H9" s="3089"/>
      <c r="I9" s="3089"/>
      <c r="J9" s="3089"/>
      <c r="K9" s="3089"/>
      <c r="L9" s="3089"/>
      <c r="M9" s="3089"/>
      <c r="N9" s="3089"/>
      <c r="O9" s="3089"/>
      <c r="P9" s="3089"/>
      <c r="Q9" s="3089"/>
      <c r="R9" s="3089"/>
    </row>
    <row r="10" spans="1:18" s="3108" customFormat="1" ht="14.25" thickBot="1">
      <c r="A10" s="3103"/>
      <c r="B10" s="3104" t="s">
        <v>1646</v>
      </c>
      <c r="C10" s="3442" t="s">
        <v>3134</v>
      </c>
      <c r="D10" s="3092"/>
      <c r="E10" s="3092"/>
      <c r="F10" s="3102"/>
      <c r="G10" s="3102"/>
      <c r="H10" s="3105"/>
      <c r="I10" s="3106"/>
      <c r="J10" s="3107"/>
      <c r="K10" s="3105"/>
      <c r="L10" s="3106"/>
      <c r="M10" s="3107"/>
      <c r="N10" s="3105"/>
      <c r="O10" s="3106"/>
      <c r="P10" s="3107"/>
      <c r="Q10" s="3105"/>
      <c r="R10" s="3106"/>
    </row>
    <row r="11" spans="1:18" s="3108" customFormat="1">
      <c r="A11" s="3109"/>
      <c r="B11" s="3099"/>
      <c r="C11" s="3092"/>
      <c r="D11" s="3092"/>
      <c r="E11" s="3092"/>
      <c r="F11" s="3099"/>
      <c r="G11" s="3110"/>
      <c r="H11" s="3105"/>
      <c r="I11" s="3106"/>
      <c r="J11" s="3107"/>
      <c r="K11" s="3105"/>
      <c r="L11" s="3106"/>
      <c r="M11" s="3107"/>
      <c r="N11" s="3105"/>
      <c r="O11" s="3106"/>
      <c r="P11" s="3107"/>
      <c r="Q11" s="3105"/>
      <c r="R11" s="3106"/>
    </row>
    <row r="12" spans="1:18" s="3083" customFormat="1" ht="18.75">
      <c r="A12" s="3109"/>
      <c r="B12" s="3099"/>
      <c r="C12" s="3092"/>
      <c r="D12" s="3111"/>
      <c r="E12" s="3092"/>
      <c r="F12" s="3099"/>
      <c r="G12" s="3110"/>
      <c r="H12" s="3112"/>
      <c r="I12" s="3113"/>
      <c r="J12" s="3112"/>
      <c r="K12" s="3112"/>
      <c r="L12" s="3114"/>
      <c r="M12" s="3112"/>
      <c r="N12" s="3115"/>
      <c r="O12" s="3116"/>
      <c r="P12" s="3117"/>
      <c r="Q12" s="3115"/>
      <c r="R12" s="3082"/>
    </row>
    <row r="13" spans="1:18" ht="19.5" thickBot="1">
      <c r="A13" s="3118" t="s">
        <v>1647</v>
      </c>
      <c r="B13" s="3111"/>
      <c r="C13" s="3111"/>
      <c r="D13" s="3087"/>
      <c r="E13" s="3111"/>
      <c r="F13" s="3111"/>
      <c r="G13" s="3111"/>
    </row>
    <row r="14" spans="1:18" ht="14.25" thickBot="1">
      <c r="A14" s="3123"/>
      <c r="B14" s="3123"/>
      <c r="C14" s="3124" t="s">
        <v>1639</v>
      </c>
      <c r="D14" s="3092"/>
      <c r="E14" s="3125"/>
      <c r="F14" s="3125"/>
      <c r="G14" s="3086" t="s">
        <v>1640</v>
      </c>
    </row>
    <row r="15" spans="1:18" ht="81">
      <c r="A15" s="3126" t="s">
        <v>1632</v>
      </c>
      <c r="B15" s="3127" t="s">
        <v>1628</v>
      </c>
      <c r="C15" s="3128" t="str">
        <f>C3</f>
        <v>估价对象周边居住用地比例、居住小区规模和社区发展完善程度，综合评价居住社区成熟度一般</v>
      </c>
      <c r="D15" s="3092"/>
      <c r="E15" s="3129" t="s">
        <v>1633</v>
      </c>
      <c r="F15" s="3127" t="s">
        <v>1648</v>
      </c>
      <c r="G15" s="3130" t="str">
        <f>G3</f>
        <v>估价对象现状周边以产业用地为主，邻近周边有乐铁设备(北京)有限公司、综合信兴物流(南法信卫生院东北)、安博北京首都机场第二物流中心等，物流企业较多，产业集聚程度较好。</v>
      </c>
    </row>
    <row r="16" spans="1:18" ht="67.5">
      <c r="A16" s="3131"/>
      <c r="B16" s="3132" t="s">
        <v>1642</v>
      </c>
      <c r="C16" s="3133" t="str">
        <f>C4</f>
        <v>估价对象位于XX商圈，周边商业氛围成熟，人流量大，商业繁华度好</v>
      </c>
      <c r="D16" s="3092"/>
      <c r="E16" s="3134"/>
      <c r="F16" s="3135" t="s">
        <v>1643</v>
      </c>
      <c r="G16" s="3136" t="str">
        <f>G4</f>
        <v>估价对象周边有顺2路、顺27路、顺28路、顺38路、顺43路、顺59路、顺60路等多条公交线路，距地铁15号线（南法信站）约500米，综合评价交通便捷度较好</v>
      </c>
    </row>
    <row r="17" spans="1:7" ht="40.5">
      <c r="A17" s="3131"/>
      <c r="B17" s="3132" t="s">
        <v>1644</v>
      </c>
      <c r="C17" s="3133" t="str">
        <f>C5</f>
        <v>估价对象位于XX商圈，周边办公楼项目较多，入驻率高，办公集聚程度较好</v>
      </c>
      <c r="D17" s="3099"/>
      <c r="E17" s="3134"/>
      <c r="F17" s="3135" t="s">
        <v>1649</v>
      </c>
      <c r="G17" s="3137"/>
    </row>
    <row r="18" spans="1:7" ht="67.5">
      <c r="A18" s="3131"/>
      <c r="B18" s="3135" t="s">
        <v>1630</v>
      </c>
      <c r="C18" s="3136" t="str">
        <f>C6</f>
        <v>估价对象周边有顺2路、顺27路、顺28路、顺38路、顺43路、顺59路、顺60路等多条公交线路，距地铁15号线（南法信站）约500米，综合评价交通便捷度较好</v>
      </c>
      <c r="D18" s="3099"/>
      <c r="E18" s="3134"/>
      <c r="F18" s="3135" t="s">
        <v>1645</v>
      </c>
      <c r="G18" s="3136" t="str">
        <f>G7</f>
        <v>区域自然环境：小众河；人文环境：国家新闻出版广电总局研修学院；综合评价环境状况一般</v>
      </c>
    </row>
    <row r="19" spans="1:7" ht="27">
      <c r="A19" s="3131"/>
      <c r="B19" s="3135" t="s">
        <v>1634</v>
      </c>
      <c r="C19" s="3137"/>
      <c r="D19" s="3092"/>
      <c r="E19" s="3134"/>
      <c r="F19" s="3095" t="s">
        <v>2500</v>
      </c>
      <c r="G19" s="3136" t="str">
        <f>G5</f>
        <v>估价对象所在区域公共配套设施齐备情况一般</v>
      </c>
    </row>
    <row r="20" spans="1:7" ht="67.5">
      <c r="A20" s="3131"/>
      <c r="B20" s="3135" t="s">
        <v>1635</v>
      </c>
      <c r="C20" s="3133" t="str">
        <f>C9</f>
        <v>区域自然环境：小众和；人文环境：国家新闻出版广电总局研修学院；综合评价环境状况一般</v>
      </c>
      <c r="D20" s="3099"/>
      <c r="E20" s="3134"/>
      <c r="F20" s="3095" t="s">
        <v>2501</v>
      </c>
      <c r="G20" s="3136" t="str">
        <f>G6</f>
        <v>估价对象所在区域内基础设施配套条件达到“五通”（包括通路、通电、通讯、通上水、通下水），基本能够保证工作、生产需要，基础设施配套完善度一般。</v>
      </c>
    </row>
    <row r="21" spans="1:7" ht="27">
      <c r="A21" s="3131"/>
      <c r="B21" s="3095" t="s">
        <v>2500</v>
      </c>
      <c r="C21" s="3136" t="str">
        <f>C7</f>
        <v>估价对象所在区域公共配套设施齐备情况一般</v>
      </c>
      <c r="D21" s="3092"/>
      <c r="E21" s="3134"/>
      <c r="F21" s="3135" t="s">
        <v>1636</v>
      </c>
      <c r="G21" s="3138"/>
    </row>
    <row r="22" spans="1:7" ht="14.25">
      <c r="A22" s="3131"/>
      <c r="B22" s="3095" t="s">
        <v>2501</v>
      </c>
      <c r="C22" s="3136" t="str">
        <f>C8</f>
        <v>估价对象所在区域基础设施水平</v>
      </c>
      <c r="D22" s="3092"/>
      <c r="E22" s="3134"/>
      <c r="F22" s="3135" t="s">
        <v>1646</v>
      </c>
      <c r="G22" s="3137"/>
    </row>
    <row r="23" spans="1:7" ht="15" thickBot="1">
      <c r="A23" s="3131"/>
      <c r="B23" s="3135" t="s">
        <v>1636</v>
      </c>
      <c r="C23" s="3138"/>
      <c r="E23" s="3139"/>
      <c r="F23" s="3140" t="s">
        <v>1650</v>
      </c>
      <c r="G23" s="3557" t="str">
        <f>项目基本情况!E43</f>
        <v>八级</v>
      </c>
    </row>
    <row r="24" spans="1:7" ht="14.25" thickBot="1">
      <c r="A24" s="3141"/>
      <c r="B24" s="3140" t="s">
        <v>1637</v>
      </c>
      <c r="C24" s="3142" t="str">
        <f>C10</f>
        <v>城市次干道——顺余路</v>
      </c>
      <c r="E24" s="3143"/>
      <c r="F24" s="3143"/>
      <c r="G24" s="3144"/>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46" customWidth="1"/>
    <col min="2" max="16384" width="14.625" style="3146"/>
  </cols>
  <sheetData>
    <row r="1" spans="1:10" ht="16.5">
      <c r="A1" s="3145" t="s">
        <v>2793</v>
      </c>
      <c r="B1" s="3145">
        <f>SUM(B14:B23)</f>
        <v>22121.8</v>
      </c>
      <c r="C1" s="3154"/>
      <c r="D1" s="3154"/>
      <c r="E1" s="3154"/>
      <c r="F1" s="3154"/>
      <c r="G1" s="3155"/>
      <c r="H1" s="3155"/>
      <c r="I1" s="3155"/>
      <c r="J1" s="3155"/>
    </row>
    <row r="2" spans="1:10" ht="16.5">
      <c r="A2" s="3145" t="s">
        <v>2794</v>
      </c>
      <c r="B2" s="3145">
        <f>SUM(C14:C23)</f>
        <v>22121.8</v>
      </c>
      <c r="C2" s="3154"/>
      <c r="D2" s="3154"/>
      <c r="E2" s="3154"/>
      <c r="F2" s="3154"/>
      <c r="G2" s="3155"/>
      <c r="H2" s="3155"/>
      <c r="I2" s="3155"/>
      <c r="J2" s="3155"/>
    </row>
    <row r="3" spans="1:10" ht="16.5">
      <c r="A3" s="3145" t="s">
        <v>2795</v>
      </c>
      <c r="B3" s="3147">
        <f>项目基本情况!D3</f>
        <v>44614</v>
      </c>
      <c r="C3" s="3154"/>
      <c r="D3" s="3154"/>
      <c r="E3" s="3154"/>
      <c r="F3" s="3154"/>
      <c r="G3" s="3155"/>
      <c r="H3" s="3155"/>
      <c r="I3" s="3155"/>
      <c r="J3" s="3155"/>
    </row>
    <row r="4" spans="1:10" ht="33">
      <c r="A4" s="3145" t="s">
        <v>2796</v>
      </c>
      <c r="B4" s="3145" t="s">
        <v>2797</v>
      </c>
      <c r="C4" s="3145" t="s">
        <v>2798</v>
      </c>
      <c r="D4" s="3145" t="s">
        <v>2799</v>
      </c>
      <c r="E4" s="3154"/>
      <c r="F4" s="3154"/>
      <c r="G4" s="3155"/>
      <c r="H4" s="3155"/>
      <c r="I4" s="3155"/>
      <c r="J4" s="3155"/>
    </row>
    <row r="5" spans="1:10" ht="16.5">
      <c r="A5" s="3145" t="s">
        <v>2800</v>
      </c>
      <c r="B5" s="3145">
        <f ca="1">SUM(D14:D23)</f>
        <v>5313</v>
      </c>
      <c r="C5" s="3145">
        <f ca="1">ROUND(B5*10000/$B$1,0)</f>
        <v>2402</v>
      </c>
      <c r="D5" s="3145">
        <f ca="1">ROUND(B5*10000/$B$2,0)</f>
        <v>2402</v>
      </c>
      <c r="E5" s="3154"/>
      <c r="F5" s="3154"/>
      <c r="G5" s="3155"/>
      <c r="H5" s="3155"/>
      <c r="I5" s="3155"/>
      <c r="J5" s="3155"/>
    </row>
    <row r="6" spans="1:10" ht="16.5">
      <c r="A6" s="3145" t="s">
        <v>2801</v>
      </c>
      <c r="B6" s="3145">
        <f>SUM(G14:G23)</f>
        <v>0</v>
      </c>
      <c r="C6" s="3145">
        <f t="shared" ref="C6:C8" si="0">ROUND(B6*10000/$B$1,0)</f>
        <v>0</v>
      </c>
      <c r="D6" s="3145">
        <f t="shared" ref="D6:D8" si="1">ROUND(B6*10000/$B$2,0)</f>
        <v>0</v>
      </c>
      <c r="E6" s="3154"/>
      <c r="F6" s="3154"/>
      <c r="G6" s="3155"/>
      <c r="H6" s="3155"/>
      <c r="I6" s="3155"/>
      <c r="J6" s="3155"/>
    </row>
    <row r="7" spans="1:10" ht="16.5">
      <c r="A7" s="3145" t="s">
        <v>2802</v>
      </c>
      <c r="B7" s="3145">
        <f ca="1">SUM(H14:H23)</f>
        <v>5313</v>
      </c>
      <c r="C7" s="3145">
        <f t="shared" ca="1" si="0"/>
        <v>2402</v>
      </c>
      <c r="D7" s="3145">
        <f t="shared" ca="1" si="1"/>
        <v>2402</v>
      </c>
      <c r="E7" s="3154"/>
      <c r="F7" s="3154"/>
      <c r="G7" s="3155"/>
      <c r="H7" s="3155"/>
      <c r="I7" s="3155"/>
      <c r="J7" s="3155"/>
    </row>
    <row r="8" spans="1:10" ht="16.5">
      <c r="A8" s="3145" t="s">
        <v>2803</v>
      </c>
      <c r="B8" s="3145">
        <f>SUM(I14:I23)</f>
        <v>0</v>
      </c>
      <c r="C8" s="3145">
        <f t="shared" si="0"/>
        <v>0</v>
      </c>
      <c r="D8" s="3145">
        <f t="shared" si="1"/>
        <v>0</v>
      </c>
      <c r="E8" s="3154"/>
      <c r="F8" s="3154"/>
      <c r="G8" s="3155"/>
      <c r="H8" s="3155"/>
      <c r="I8" s="3155"/>
      <c r="J8" s="3155"/>
    </row>
    <row r="9" spans="1:10" ht="16.5">
      <c r="A9" s="3145" t="s">
        <v>2804</v>
      </c>
      <c r="B9" s="3153"/>
      <c r="C9" s="3154"/>
      <c r="D9" s="3154"/>
      <c r="E9" s="3154"/>
      <c r="F9" s="3154"/>
      <c r="G9" s="3155"/>
      <c r="H9" s="3155"/>
      <c r="I9" s="3155"/>
      <c r="J9" s="3155"/>
    </row>
    <row r="10" spans="1:10" ht="16.5">
      <c r="A10" s="3145" t="s">
        <v>2805</v>
      </c>
      <c r="B10" s="3153"/>
      <c r="C10" s="3154"/>
      <c r="D10" s="3154"/>
      <c r="E10" s="3154"/>
      <c r="F10" s="3154"/>
      <c r="G10" s="3155"/>
      <c r="H10" s="3155"/>
      <c r="I10" s="3155"/>
      <c r="J10" s="3155"/>
    </row>
    <row r="11" spans="1:10" ht="16.5">
      <c r="A11" s="3145" t="s">
        <v>2822</v>
      </c>
      <c r="B11" s="3153"/>
      <c r="C11" s="3154"/>
      <c r="D11" s="3154"/>
      <c r="E11" s="3154"/>
      <c r="F11" s="3154"/>
      <c r="G11" s="3155"/>
      <c r="H11" s="3155"/>
      <c r="I11" s="3155"/>
      <c r="J11" s="3155"/>
    </row>
    <row r="12" spans="1:10" ht="16.5">
      <c r="A12" s="3154"/>
      <c r="B12" s="3154"/>
      <c r="C12" s="3154"/>
      <c r="D12" s="3154"/>
      <c r="E12" s="3154"/>
      <c r="F12" s="3154"/>
      <c r="G12" s="3155"/>
      <c r="H12" s="3155"/>
      <c r="I12" s="3155"/>
      <c r="J12" s="3155"/>
    </row>
    <row r="13" spans="1:10" ht="33">
      <c r="A13" s="3148" t="s">
        <v>2821</v>
      </c>
      <c r="B13" s="3149" t="s">
        <v>2793</v>
      </c>
      <c r="C13" s="3149" t="s">
        <v>2794</v>
      </c>
      <c r="D13" s="3149" t="s">
        <v>2806</v>
      </c>
      <c r="E13" s="3145" t="s">
        <v>2820</v>
      </c>
      <c r="F13" s="3145" t="s">
        <v>2799</v>
      </c>
      <c r="G13" s="3149" t="s">
        <v>2807</v>
      </c>
      <c r="H13" s="3149" t="s">
        <v>2808</v>
      </c>
      <c r="I13" s="3149" t="s">
        <v>2809</v>
      </c>
      <c r="J13" s="3155"/>
    </row>
    <row r="14" spans="1:10" ht="16.5">
      <c r="A14" s="3150" t="s">
        <v>2819</v>
      </c>
      <c r="B14" s="3151">
        <f>结果表!L38</f>
        <v>22121.8</v>
      </c>
      <c r="C14" s="3151">
        <f>结果表!K38</f>
        <v>22121.8</v>
      </c>
      <c r="D14" s="3151">
        <f ca="1">结果表!C42</f>
        <v>5313</v>
      </c>
      <c r="E14" s="3151">
        <f ca="1">ROUND(D14*10000/B14,0)</f>
        <v>2402</v>
      </c>
      <c r="F14" s="3151">
        <f ca="1">ROUND(D14*10000/C14,0)</f>
        <v>2402</v>
      </c>
      <c r="G14" s="3151" t="str">
        <f>结果表!C44</f>
        <v>——</v>
      </c>
      <c r="H14" s="3151">
        <f ca="1">结果表!C45</f>
        <v>5313</v>
      </c>
      <c r="I14" s="3151" t="str">
        <f>结果表!C46</f>
        <v>——</v>
      </c>
      <c r="J14" s="3155"/>
    </row>
    <row r="15" spans="1:10" ht="16.5">
      <c r="A15" s="3150" t="s">
        <v>2810</v>
      </c>
      <c r="B15" s="3152"/>
      <c r="C15" s="3152"/>
      <c r="D15" s="3152"/>
      <c r="E15" s="3151" t="e">
        <f t="shared" ref="E15:E23" si="2">ROUND(D15*10000/B15,0)</f>
        <v>#DIV/0!</v>
      </c>
      <c r="F15" s="3151" t="e">
        <f t="shared" ref="F15:F23" si="3">ROUND(D15*10000/C15,0)</f>
        <v>#DIV/0!</v>
      </c>
      <c r="G15" s="2723"/>
      <c r="H15" s="2723"/>
      <c r="I15" s="3152"/>
      <c r="J15" s="3155"/>
    </row>
    <row r="16" spans="1:10" ht="16.5">
      <c r="A16" s="3150" t="s">
        <v>2811</v>
      </c>
      <c r="B16" s="3152"/>
      <c r="C16" s="3152"/>
      <c r="D16" s="3152"/>
      <c r="E16" s="3151" t="e">
        <f t="shared" si="2"/>
        <v>#DIV/0!</v>
      </c>
      <c r="F16" s="3151" t="e">
        <f t="shared" si="3"/>
        <v>#DIV/0!</v>
      </c>
      <c r="G16" s="2723"/>
      <c r="H16" s="2723"/>
      <c r="I16" s="3152"/>
      <c r="J16" s="3155"/>
    </row>
    <row r="17" spans="1:10" ht="16.5">
      <c r="A17" s="3150" t="s">
        <v>2812</v>
      </c>
      <c r="B17" s="3152"/>
      <c r="C17" s="3152"/>
      <c r="D17" s="3152"/>
      <c r="E17" s="3151" t="e">
        <f t="shared" si="2"/>
        <v>#DIV/0!</v>
      </c>
      <c r="F17" s="3151" t="e">
        <f t="shared" si="3"/>
        <v>#DIV/0!</v>
      </c>
      <c r="G17" s="2723"/>
      <c r="H17" s="2723"/>
      <c r="I17" s="3152"/>
      <c r="J17" s="3155"/>
    </row>
    <row r="18" spans="1:10" ht="16.5">
      <c r="A18" s="3150" t="s">
        <v>2813</v>
      </c>
      <c r="B18" s="3152"/>
      <c r="C18" s="3152"/>
      <c r="D18" s="3152"/>
      <c r="E18" s="3151" t="e">
        <f t="shared" si="2"/>
        <v>#DIV/0!</v>
      </c>
      <c r="F18" s="3151" t="e">
        <f t="shared" si="3"/>
        <v>#DIV/0!</v>
      </c>
      <c r="G18" s="3152"/>
      <c r="H18" s="3152"/>
      <c r="I18" s="3152"/>
      <c r="J18" s="3155"/>
    </row>
    <row r="19" spans="1:10" ht="16.5">
      <c r="A19" s="3150" t="s">
        <v>2814</v>
      </c>
      <c r="B19" s="3152"/>
      <c r="C19" s="3152"/>
      <c r="D19" s="3152"/>
      <c r="E19" s="3151" t="e">
        <f t="shared" si="2"/>
        <v>#DIV/0!</v>
      </c>
      <c r="F19" s="3151" t="e">
        <f t="shared" si="3"/>
        <v>#DIV/0!</v>
      </c>
      <c r="G19" s="3152"/>
      <c r="H19" s="3152"/>
      <c r="I19" s="3152"/>
      <c r="J19" s="3155"/>
    </row>
    <row r="20" spans="1:10" ht="16.5">
      <c r="A20" s="3150" t="s">
        <v>2815</v>
      </c>
      <c r="B20" s="3152"/>
      <c r="C20" s="3152"/>
      <c r="D20" s="3152"/>
      <c r="E20" s="3151" t="e">
        <f t="shared" si="2"/>
        <v>#DIV/0!</v>
      </c>
      <c r="F20" s="3151" t="e">
        <f t="shared" si="3"/>
        <v>#DIV/0!</v>
      </c>
      <c r="G20" s="3152"/>
      <c r="H20" s="3152"/>
      <c r="I20" s="3152"/>
      <c r="J20" s="3155"/>
    </row>
    <row r="21" spans="1:10" ht="16.5">
      <c r="A21" s="3150" t="s">
        <v>2816</v>
      </c>
      <c r="B21" s="3152"/>
      <c r="C21" s="3152"/>
      <c r="D21" s="3152"/>
      <c r="E21" s="3151" t="e">
        <f t="shared" si="2"/>
        <v>#DIV/0!</v>
      </c>
      <c r="F21" s="3151" t="e">
        <f t="shared" si="3"/>
        <v>#DIV/0!</v>
      </c>
      <c r="G21" s="3152"/>
      <c r="H21" s="3152"/>
      <c r="I21" s="3152"/>
      <c r="J21" s="3155"/>
    </row>
    <row r="22" spans="1:10" ht="16.5">
      <c r="A22" s="3150" t="s">
        <v>2817</v>
      </c>
      <c r="B22" s="3152"/>
      <c r="C22" s="3152"/>
      <c r="D22" s="3152"/>
      <c r="E22" s="3151" t="e">
        <f t="shared" si="2"/>
        <v>#DIV/0!</v>
      </c>
      <c r="F22" s="3151" t="e">
        <f t="shared" si="3"/>
        <v>#DIV/0!</v>
      </c>
      <c r="G22" s="3152"/>
      <c r="H22" s="3152"/>
      <c r="I22" s="3152"/>
      <c r="J22" s="3155"/>
    </row>
    <row r="23" spans="1:10" ht="16.5">
      <c r="A23" s="3150" t="s">
        <v>2818</v>
      </c>
      <c r="B23" s="3152"/>
      <c r="C23" s="3152"/>
      <c r="D23" s="3152"/>
      <c r="E23" s="3153" t="e">
        <f t="shared" si="2"/>
        <v>#DIV/0!</v>
      </c>
      <c r="F23" s="3153" t="e">
        <f t="shared" si="3"/>
        <v>#DIV/0!</v>
      </c>
      <c r="G23" s="3152"/>
      <c r="H23" s="3152"/>
      <c r="I23" s="3152"/>
      <c r="J23" s="3155"/>
    </row>
    <row r="24" spans="1:10">
      <c r="A24" s="3155"/>
      <c r="B24" s="3155"/>
      <c r="C24" s="3155"/>
      <c r="D24" s="3155"/>
      <c r="E24" s="3155"/>
      <c r="F24" s="3155"/>
      <c r="G24" s="3155"/>
      <c r="H24" s="3155"/>
      <c r="I24" s="3155"/>
      <c r="J24" s="3155"/>
    </row>
    <row r="25" spans="1:10">
      <c r="A25" s="3155"/>
      <c r="B25" s="3155"/>
      <c r="C25" s="3155"/>
      <c r="D25" s="3155"/>
      <c r="E25" s="3155"/>
      <c r="F25" s="3155"/>
      <c r="G25" s="3155"/>
      <c r="H25" s="3155"/>
      <c r="I25" s="3155"/>
      <c r="J25" s="3155"/>
    </row>
    <row r="26" spans="1:10">
      <c r="A26" s="3155"/>
      <c r="B26" s="3155"/>
      <c r="C26" s="3155"/>
      <c r="D26" s="3155"/>
      <c r="E26" s="3155"/>
      <c r="F26" s="3155"/>
      <c r="G26" s="3155"/>
      <c r="H26" s="3155"/>
      <c r="I26" s="3155"/>
      <c r="J26" s="315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8" sqref="D8:D9"/>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714" t="str">
        <f>项目基本情况!K2</f>
        <v>北京市划拨国有建设用地使用权</v>
      </c>
      <c r="B2" s="3715"/>
      <c r="C2" s="3716"/>
      <c r="D2" s="3716"/>
      <c r="E2" s="3716"/>
      <c r="F2" s="3716"/>
      <c r="G2" s="3715"/>
      <c r="H2" s="3715"/>
      <c r="I2" s="3717"/>
      <c r="J2" s="1884"/>
      <c r="K2" s="1883"/>
      <c r="L2" s="1883"/>
      <c r="M2" s="1883"/>
      <c r="N2" s="1883"/>
      <c r="O2" s="1883"/>
      <c r="P2" s="1883"/>
      <c r="Q2" s="1883"/>
      <c r="R2" s="1883"/>
      <c r="S2" s="1883"/>
      <c r="T2" s="1883"/>
      <c r="U2" s="1883"/>
      <c r="V2" s="1883"/>
    </row>
    <row r="3" spans="1:22" ht="14.25">
      <c r="A3" s="3707" t="s">
        <v>298</v>
      </c>
      <c r="B3" s="3708"/>
      <c r="C3" s="3708"/>
      <c r="D3" s="3708"/>
      <c r="E3" s="3708"/>
      <c r="F3" s="3708"/>
      <c r="G3" s="3708"/>
      <c r="H3" s="3708"/>
      <c r="I3" s="3708"/>
      <c r="J3" s="1884"/>
      <c r="K3" s="1883"/>
      <c r="L3" s="1883"/>
      <c r="M3" s="1883"/>
      <c r="N3" s="1883"/>
      <c r="O3" s="1883"/>
      <c r="P3" s="1883"/>
      <c r="Q3" s="1883"/>
      <c r="R3" s="1883"/>
      <c r="S3" s="1883"/>
      <c r="T3" s="1883"/>
      <c r="U3" s="1883"/>
      <c r="V3" s="1883"/>
    </row>
    <row r="4" spans="1:22" ht="14.25">
      <c r="A4" s="256" t="s">
        <v>299</v>
      </c>
      <c r="B4" s="257" t="s">
        <v>300</v>
      </c>
      <c r="C4" s="258" t="s">
        <v>3350</v>
      </c>
      <c r="D4" s="258" t="s">
        <v>3351</v>
      </c>
      <c r="E4" s="3673" t="s">
        <v>301</v>
      </c>
      <c r="F4" s="3674"/>
      <c r="G4" s="3674"/>
      <c r="H4" s="3674"/>
      <c r="I4" s="3709"/>
      <c r="J4" s="1884"/>
      <c r="K4" s="1883"/>
      <c r="L4" s="3156"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25">
      <c r="A5" s="3672" t="s">
        <v>302</v>
      </c>
      <c r="B5" s="3701">
        <v>25</v>
      </c>
      <c r="C5" s="3699">
        <v>3</v>
      </c>
      <c r="D5" s="3703">
        <v>7</v>
      </c>
      <c r="E5" s="259" t="s">
        <v>303</v>
      </c>
      <c r="F5" s="260"/>
      <c r="G5" s="260"/>
      <c r="H5" s="260"/>
      <c r="I5" s="261"/>
      <c r="J5" s="1884"/>
      <c r="K5" s="1883"/>
      <c r="L5" s="1883"/>
      <c r="M5" s="1883"/>
      <c r="N5" s="1883"/>
      <c r="O5" s="1883"/>
      <c r="P5" s="1883"/>
      <c r="Q5" s="1883"/>
      <c r="R5" s="1883"/>
      <c r="S5" s="1883"/>
      <c r="T5" s="1883"/>
      <c r="U5" s="1883"/>
      <c r="V5" s="1883"/>
    </row>
    <row r="6" spans="1:22" ht="14.25">
      <c r="A6" s="3672"/>
      <c r="B6" s="3701"/>
      <c r="C6" s="3702"/>
      <c r="D6" s="3703"/>
      <c r="E6" s="259" t="s">
        <v>304</v>
      </c>
      <c r="F6" s="260"/>
      <c r="G6" s="260"/>
      <c r="H6" s="260"/>
      <c r="I6" s="261"/>
      <c r="J6" s="1884"/>
      <c r="K6" s="1883"/>
      <c r="L6" s="1883"/>
      <c r="M6" s="1883"/>
      <c r="N6" s="1883"/>
      <c r="O6" s="1883"/>
      <c r="P6" s="1883"/>
      <c r="Q6" s="1883"/>
      <c r="R6" s="1883"/>
      <c r="S6" s="1883"/>
      <c r="T6" s="1883"/>
      <c r="U6" s="1883"/>
      <c r="V6" s="1883"/>
    </row>
    <row r="7" spans="1:22" ht="14.25">
      <c r="A7" s="3672"/>
      <c r="B7" s="3701"/>
      <c r="C7" s="3700"/>
      <c r="D7" s="3703"/>
      <c r="E7" s="259" t="s">
        <v>305</v>
      </c>
      <c r="F7" s="260"/>
      <c r="G7" s="260"/>
      <c r="H7" s="260"/>
      <c r="I7" s="261"/>
      <c r="J7" s="1884"/>
      <c r="K7" s="1883"/>
      <c r="L7" s="1883"/>
      <c r="M7" s="1883"/>
      <c r="N7" s="1883"/>
      <c r="O7" s="1883"/>
      <c r="P7" s="1883"/>
      <c r="Q7" s="1883"/>
      <c r="R7" s="1883"/>
      <c r="S7" s="1883"/>
      <c r="T7" s="1883"/>
      <c r="U7" s="1883"/>
      <c r="V7" s="1883"/>
    </row>
    <row r="8" spans="1:22" ht="14.25">
      <c r="A8" s="3672" t="s">
        <v>306</v>
      </c>
      <c r="B8" s="3701">
        <v>15</v>
      </c>
      <c r="C8" s="3699"/>
      <c r="D8" s="3703"/>
      <c r="E8" s="259" t="s">
        <v>307</v>
      </c>
      <c r="F8" s="260"/>
      <c r="G8" s="260"/>
      <c r="H8" s="260"/>
      <c r="I8" s="261"/>
      <c r="J8" s="1884"/>
      <c r="K8" s="1883"/>
      <c r="L8" s="1883"/>
      <c r="M8" s="1883"/>
      <c r="N8" s="1883"/>
      <c r="O8" s="1883"/>
      <c r="P8" s="1883"/>
      <c r="Q8" s="1883"/>
      <c r="R8" s="1883"/>
      <c r="S8" s="1883"/>
      <c r="T8" s="1883"/>
      <c r="U8" s="1883"/>
      <c r="V8" s="1883"/>
    </row>
    <row r="9" spans="1:22" ht="14.25">
      <c r="A9" s="3672"/>
      <c r="B9" s="3701"/>
      <c r="C9" s="3700"/>
      <c r="D9" s="3703"/>
      <c r="E9" s="259" t="s">
        <v>308</v>
      </c>
      <c r="F9" s="260"/>
      <c r="G9" s="260"/>
      <c r="H9" s="260"/>
      <c r="I9" s="261"/>
      <c r="J9" s="1884"/>
      <c r="K9" s="1883"/>
      <c r="L9" s="1883"/>
      <c r="M9" s="1883"/>
      <c r="N9" s="1883"/>
      <c r="O9" s="1883"/>
      <c r="P9" s="1883"/>
      <c r="Q9" s="1883"/>
      <c r="R9" s="1883"/>
      <c r="S9" s="1883"/>
      <c r="T9" s="1883"/>
      <c r="U9" s="1883"/>
      <c r="V9" s="1883"/>
    </row>
    <row r="10" spans="1:22" ht="14.25">
      <c r="A10" s="3672" t="s">
        <v>309</v>
      </c>
      <c r="B10" s="3701">
        <v>15</v>
      </c>
      <c r="C10" s="3699"/>
      <c r="D10" s="3703"/>
      <c r="E10" s="259" t="s">
        <v>310</v>
      </c>
      <c r="F10" s="260"/>
      <c r="G10" s="260"/>
      <c r="H10" s="260"/>
      <c r="I10" s="261"/>
      <c r="J10" s="1884"/>
      <c r="K10" s="1883"/>
      <c r="L10" s="1883"/>
      <c r="M10" s="1883"/>
      <c r="N10" s="1883"/>
      <c r="O10" s="1883"/>
      <c r="P10" s="1883"/>
      <c r="Q10" s="1883"/>
      <c r="R10" s="1883"/>
      <c r="S10" s="1883"/>
      <c r="T10" s="1883"/>
      <c r="U10" s="1883"/>
      <c r="V10" s="1883"/>
    </row>
    <row r="11" spans="1:22" ht="14.25">
      <c r="A11" s="3672"/>
      <c r="B11" s="3701"/>
      <c r="C11" s="3700"/>
      <c r="D11" s="3703"/>
      <c r="E11" s="259" t="s">
        <v>311</v>
      </c>
      <c r="F11" s="260"/>
      <c r="G11" s="260"/>
      <c r="H11" s="260"/>
      <c r="I11" s="261"/>
      <c r="J11" s="1884"/>
      <c r="K11" s="1883"/>
      <c r="L11" s="1883"/>
      <c r="M11" s="1883"/>
      <c r="N11" s="1883"/>
      <c r="O11" s="1883"/>
      <c r="P11" s="1883"/>
      <c r="Q11" s="1883"/>
      <c r="R11" s="1883"/>
      <c r="S11" s="1883"/>
      <c r="T11" s="1883"/>
      <c r="U11" s="1883"/>
      <c r="V11" s="1883"/>
    </row>
    <row r="12" spans="1:22" ht="14.25">
      <c r="A12" s="3672" t="s">
        <v>312</v>
      </c>
      <c r="B12" s="3701">
        <v>15</v>
      </c>
      <c r="C12" s="3699"/>
      <c r="D12" s="3703"/>
      <c r="E12" s="259" t="s">
        <v>313</v>
      </c>
      <c r="F12" s="260"/>
      <c r="G12" s="260"/>
      <c r="H12" s="260"/>
      <c r="I12" s="261"/>
      <c r="J12" s="1884"/>
      <c r="K12" s="1883"/>
      <c r="L12" s="1883"/>
      <c r="M12" s="1883"/>
      <c r="N12" s="1883"/>
      <c r="O12" s="1883"/>
      <c r="P12" s="1883"/>
      <c r="Q12" s="1883"/>
      <c r="R12" s="1883"/>
      <c r="S12" s="1883"/>
      <c r="T12" s="1883"/>
      <c r="U12" s="1883"/>
      <c r="V12" s="1883"/>
    </row>
    <row r="13" spans="1:22" ht="14.25">
      <c r="A13" s="3672"/>
      <c r="B13" s="3701"/>
      <c r="C13" s="3700"/>
      <c r="D13" s="3703"/>
      <c r="E13" s="259" t="s">
        <v>314</v>
      </c>
      <c r="F13" s="260"/>
      <c r="G13" s="260"/>
      <c r="H13" s="260"/>
      <c r="I13" s="261"/>
      <c r="J13" s="1884"/>
      <c r="K13" s="1883"/>
      <c r="L13" s="1883"/>
      <c r="M13" s="1883"/>
      <c r="N13" s="1883"/>
      <c r="O13" s="1883"/>
      <c r="P13" s="1883"/>
      <c r="Q13" s="1883"/>
      <c r="R13" s="1883"/>
      <c r="S13" s="1883"/>
      <c r="T13" s="1883"/>
      <c r="U13" s="1883"/>
      <c r="V13" s="1883"/>
    </row>
    <row r="14" spans="1:22" ht="14.25">
      <c r="A14" s="3672" t="s">
        <v>315</v>
      </c>
      <c r="B14" s="3701">
        <v>30</v>
      </c>
      <c r="C14" s="3699"/>
      <c r="D14" s="3703"/>
      <c r="E14" s="259" t="s">
        <v>316</v>
      </c>
      <c r="F14" s="260"/>
      <c r="G14" s="260"/>
      <c r="H14" s="260"/>
      <c r="I14" s="261"/>
      <c r="J14" s="1884"/>
      <c r="K14" s="1883"/>
      <c r="L14" s="1883"/>
      <c r="M14" s="1883"/>
      <c r="N14" s="1883"/>
      <c r="O14" s="1883"/>
      <c r="P14" s="1883"/>
      <c r="Q14" s="1883"/>
      <c r="R14" s="1883"/>
      <c r="S14" s="1883"/>
      <c r="T14" s="1883"/>
      <c r="U14" s="1883"/>
      <c r="V14" s="1883"/>
    </row>
    <row r="15" spans="1:22" ht="14.25">
      <c r="A15" s="3672"/>
      <c r="B15" s="3701"/>
      <c r="C15" s="3702"/>
      <c r="D15" s="3703"/>
      <c r="E15" s="259" t="s">
        <v>317</v>
      </c>
      <c r="F15" s="260"/>
      <c r="G15" s="260"/>
      <c r="H15" s="260"/>
      <c r="I15" s="261"/>
      <c r="J15" s="1884"/>
      <c r="K15" s="1883"/>
      <c r="L15" s="1883"/>
      <c r="M15" s="1883"/>
      <c r="N15" s="1883"/>
      <c r="O15" s="1883"/>
      <c r="P15" s="1883"/>
      <c r="Q15" s="1883"/>
      <c r="R15" s="1883"/>
      <c r="S15" s="1883"/>
      <c r="T15" s="1883"/>
      <c r="U15" s="1883"/>
      <c r="V15" s="1883"/>
    </row>
    <row r="16" spans="1:22" ht="14.25">
      <c r="A16" s="3672"/>
      <c r="B16" s="3701"/>
      <c r="C16" s="3700"/>
      <c r="D16" s="3703"/>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3</v>
      </c>
      <c r="D17" s="263">
        <f>SUM(D5:D16)</f>
        <v>7</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f>ROUND(C17/SUM(C17:D17),2)</f>
        <v>0.3</v>
      </c>
      <c r="D18" s="265">
        <f>1-C18</f>
        <v>0.7</v>
      </c>
      <c r="E18" s="3704" t="s">
        <v>2921</v>
      </c>
      <c r="F18" s="3705"/>
      <c r="G18" s="3705"/>
      <c r="H18" s="3705"/>
      <c r="I18" s="3705"/>
      <c r="J18" s="1883"/>
      <c r="K18" s="1883"/>
      <c r="L18" s="1883"/>
      <c r="M18" s="1883"/>
      <c r="N18" s="1883"/>
      <c r="O18" s="1883"/>
      <c r="P18" s="1883"/>
      <c r="Q18" s="1883"/>
      <c r="R18" s="1883"/>
      <c r="S18" s="1883"/>
      <c r="T18" s="1883"/>
      <c r="U18" s="1883"/>
      <c r="V18" s="1883"/>
    </row>
    <row r="19" spans="1:26" ht="15">
      <c r="A19" s="266" t="s">
        <v>321</v>
      </c>
      <c r="B19" s="267" t="s">
        <v>322</v>
      </c>
      <c r="C19" s="268">
        <f ca="1">SUMIF(INDIRECT("'"&amp;C4&amp;"'"&amp;"!A:A"),结果表!B19,INDIRECT("'"&amp;C4&amp;"'"&amp;"!B:B"))</f>
        <v>3495</v>
      </c>
      <c r="D19" s="269">
        <f ca="1">SUMIF(INDIRECT("'"&amp;D4&amp;"'"&amp;"!A:A"),结果表!B19,INDIRECT("'"&amp;D4&amp;"'"&amp;"!B:B"))</f>
        <v>6092.7427739654813</v>
      </c>
      <c r="E19" s="266" t="s">
        <v>323</v>
      </c>
      <c r="F19" s="267" t="s">
        <v>322</v>
      </c>
      <c r="G19" s="270">
        <f ca="1">ROUND(C19*$C$18+D19*$D$18,0)</f>
        <v>5313</v>
      </c>
      <c r="H19" s="271" t="s">
        <v>324</v>
      </c>
      <c r="I19" s="309"/>
      <c r="J19" s="1883"/>
      <c r="K19" s="1883"/>
      <c r="L19" s="1883"/>
      <c r="M19" s="1883"/>
      <c r="N19" s="1883"/>
      <c r="O19" s="1883"/>
      <c r="P19" s="1883"/>
      <c r="Q19" s="1883"/>
      <c r="R19" s="1883"/>
      <c r="S19" s="1883"/>
      <c r="T19" s="1883"/>
      <c r="U19" s="1883"/>
      <c r="V19" s="1883"/>
    </row>
    <row r="20" spans="1:26" ht="15">
      <c r="A20" s="272"/>
      <c r="B20" s="273" t="s">
        <v>325</v>
      </c>
      <c r="C20" s="274">
        <f ca="1">SUMIF(INDIRECT("'"&amp;C4&amp;"'"&amp;"!A:A"),结果表!B20,INDIRECT("'"&amp;C4&amp;"'"&amp;"!B:B"))</f>
        <v>1580</v>
      </c>
      <c r="D20" s="275">
        <f ca="1">SUMIF(INDIRECT("'"&amp;D4&amp;"'"&amp;"!A:A"),结果表!B20,INDIRECT("'"&amp;D4&amp;"'"&amp;"!B:B"))</f>
        <v>2754</v>
      </c>
      <c r="E20" s="272"/>
      <c r="F20" s="273" t="s">
        <v>325</v>
      </c>
      <c r="G20" s="276">
        <f ca="1">ROUND(C20*$C$18+D20*$D$18,0)</f>
        <v>2402</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f ca="1">SUMIF(INDIRECT("'"&amp;C4&amp;"'"&amp;"!A:A"),结果表!B21,INDIRECT("'"&amp;C4&amp;"'"&amp;"!B:B"))</f>
        <v>1580</v>
      </c>
      <c r="D21" s="149">
        <f ca="1">SUMIF(INDIRECT("'"&amp;D4&amp;"'"&amp;"!A:A"),结果表!B21,INDIRECT("'"&amp;D4&amp;"'"&amp;"!B:B"))</f>
        <v>2754</v>
      </c>
      <c r="E21" s="272"/>
      <c r="F21" s="278" t="s">
        <v>327</v>
      </c>
      <c r="G21" s="280">
        <f ca="1">ROUND(C21*$C$18+D21*$D$18,0)</f>
        <v>2402</v>
      </c>
      <c r="H21" s="1187" t="s">
        <v>326</v>
      </c>
      <c r="I21" s="309"/>
      <c r="J21" s="1883"/>
      <c r="K21" s="1883"/>
      <c r="L21" s="1883"/>
      <c r="M21" s="1883"/>
      <c r="N21" s="1883"/>
      <c r="O21" s="1883"/>
      <c r="P21" s="1883"/>
      <c r="Q21" s="1883"/>
      <c r="R21" s="1883"/>
      <c r="S21" s="1883"/>
      <c r="T21" s="1883"/>
      <c r="U21" s="1883"/>
      <c r="V21" s="1883"/>
    </row>
    <row r="22" spans="1:26" ht="15.75" thickBot="1">
      <c r="A22" s="126" t="s">
        <v>328</v>
      </c>
      <c r="B22" s="1188"/>
      <c r="C22" s="1189"/>
      <c r="D22" s="281">
        <f ca="1">IF(C19&lt;D19,D19/C19-1,C19/D19-1)</f>
        <v>0.74327404119184015</v>
      </c>
      <c r="E22" s="282"/>
      <c r="F22" s="283"/>
      <c r="G22" s="284">
        <f ca="1">ROUND(G19/('数据-汇总表'!D3/666.67),0)</f>
        <v>160</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678"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679"/>
      <c r="B25" s="1257" t="s">
        <v>331</v>
      </c>
      <c r="C25" s="288">
        <f>IF(B30=0,0,C30)</f>
        <v>0</v>
      </c>
      <c r="D25" s="289"/>
      <c r="E25" s="309"/>
      <c r="F25" s="309"/>
      <c r="G25" s="309"/>
      <c r="H25" s="309"/>
      <c r="I25" s="309"/>
      <c r="J25" s="1883"/>
      <c r="K25" s="1191" t="str">
        <f ca="1">项目基本情况!B16&amp;"国有建设用地使用权价格："&amp;O38&amp;"万元"</f>
        <v>划拨国有建设用地使用权价格：5313万元</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str">
        <f ca="1">"大写金额：人民币"&amp;NUMBERSTRING(INT(O38*10000),2)&amp;"元整"</f>
        <v>大写金额：人民币伍仟叁佰壹拾叁万元整</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str">
        <f ca="1">"单位面积地价："&amp;M38&amp;"元/平方米"</f>
        <v>单位面积地价：2402元/平方米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楼面地价：2402元/平方米</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6" t="s">
        <v>336</v>
      </c>
      <c r="B30" s="307"/>
      <c r="C30" s="307"/>
      <c r="D30" s="308"/>
      <c r="E30" s="2969" t="s">
        <v>2922</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706" t="s">
        <v>2923</v>
      </c>
      <c r="B31" s="3706"/>
      <c r="C31" s="3706"/>
      <c r="D31" s="3706"/>
      <c r="E31" s="3706"/>
      <c r="F31" s="3706"/>
      <c r="G31" s="3706"/>
      <c r="H31" s="3706"/>
      <c r="I31" s="3706"/>
      <c r="J31" s="1883"/>
      <c r="K31" s="2293" t="str">
        <f ca="1">IF(项目基本情况!E8="抵押价格","——","抵押担保权已注销时的抵押价格："&amp;O40&amp;"万元")</f>
        <v>抵押担保权已注销时的抵押价格：5313万元</v>
      </c>
      <c r="L31" s="2289"/>
      <c r="M31" s="2289"/>
      <c r="N31" s="2289"/>
      <c r="O31" s="2290"/>
      <c r="P31" s="1883"/>
      <c r="V31" s="1883"/>
    </row>
    <row r="32" spans="1:26" ht="19.5" thickTop="1" thickBot="1">
      <c r="A32" s="272" t="s">
        <v>337</v>
      </c>
      <c r="B32" s="2970" t="s">
        <v>1663</v>
      </c>
      <c r="C32" s="264">
        <f ca="1">G19-C24</f>
        <v>5313</v>
      </c>
      <c r="D32" s="2971" t="s">
        <v>1664</v>
      </c>
      <c r="E32" s="309"/>
      <c r="F32" s="309"/>
      <c r="G32" s="309"/>
      <c r="H32" s="309"/>
      <c r="I32" s="309"/>
      <c r="J32" s="1883"/>
      <c r="K32" s="2288" t="str">
        <f ca="1">IF(K31="——","——","大写金额：人民币"&amp;NUMBERSTRING(INT(O40*10000),2)&amp;"元整")</f>
        <v>大写金额：人民币伍仟叁佰壹拾叁万元整</v>
      </c>
      <c r="L32" s="2291"/>
      <c r="M32" s="2291"/>
      <c r="N32" s="2291"/>
      <c r="O32" s="2292"/>
      <c r="P32" s="1883"/>
      <c r="V32" s="1883"/>
    </row>
    <row r="33" spans="1:26" ht="18.75" thickBot="1">
      <c r="A33" s="296" t="s">
        <v>340</v>
      </c>
      <c r="B33" s="1307" t="s">
        <v>1665</v>
      </c>
      <c r="C33" s="262">
        <f ca="1">ROUND(C32*10000/'数据-汇总表'!E3,0)</f>
        <v>2402</v>
      </c>
      <c r="D33" s="1308" t="s">
        <v>1666</v>
      </c>
      <c r="E33" s="3678"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1667</v>
      </c>
      <c r="C34" s="262">
        <f ca="1">ROUND(C32*10000/'数据-汇总表'!D3,0)</f>
        <v>2402</v>
      </c>
      <c r="D34" s="1310" t="s">
        <v>1666</v>
      </c>
      <c r="E34" s="3722"/>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f ca="1">ROUND(C32/('数据-汇总表'!D3/666.67),0)</f>
        <v>160</v>
      </c>
      <c r="D35" s="1313" t="s">
        <v>1668</v>
      </c>
      <c r="E35" s="3723"/>
      <c r="F35" s="299" t="s">
        <v>342</v>
      </c>
      <c r="G35" s="952"/>
      <c r="H35" s="951" t="s">
        <v>343</v>
      </c>
      <c r="I35" s="309"/>
      <c r="J35" s="1883"/>
      <c r="K35" s="3696" t="s">
        <v>350</v>
      </c>
      <c r="L35" s="3696" t="s">
        <v>351</v>
      </c>
      <c r="M35" s="1200" t="s">
        <v>352</v>
      </c>
      <c r="N35" s="3696" t="s">
        <v>353</v>
      </c>
      <c r="O35" s="3696" t="s">
        <v>354</v>
      </c>
      <c r="P35" s="1883"/>
      <c r="V35" s="1883"/>
    </row>
    <row r="36" spans="1:26" ht="16.5" customHeight="1">
      <c r="A36" s="301" t="s">
        <v>344</v>
      </c>
      <c r="B36" s="302" t="s">
        <v>333</v>
      </c>
      <c r="C36" s="303" t="s">
        <v>345</v>
      </c>
      <c r="D36" s="303" t="s">
        <v>346</v>
      </c>
      <c r="E36" s="304" t="s">
        <v>347</v>
      </c>
      <c r="F36" s="309"/>
      <c r="G36" s="309"/>
      <c r="H36" s="309"/>
      <c r="I36" s="309"/>
      <c r="J36" s="1885"/>
      <c r="K36" s="3697"/>
      <c r="L36" s="3697"/>
      <c r="M36" s="1202" t="s">
        <v>355</v>
      </c>
      <c r="N36" s="3697"/>
      <c r="O36" s="3697"/>
      <c r="P36" s="1883"/>
      <c r="V36" s="1883"/>
    </row>
    <row r="37" spans="1:26" ht="16.5" customHeight="1" thickBot="1">
      <c r="A37" s="1196" t="s">
        <v>348</v>
      </c>
      <c r="B37" s="305"/>
      <c r="C37" s="292"/>
      <c r="D37" s="292"/>
      <c r="E37" s="293"/>
      <c r="F37" s="309"/>
      <c r="G37" s="309"/>
      <c r="H37" s="309"/>
      <c r="I37" s="309"/>
      <c r="J37" s="1885"/>
      <c r="K37" s="3698"/>
      <c r="L37" s="3698"/>
      <c r="M37" s="1203"/>
      <c r="N37" s="3698"/>
      <c r="O37" s="3698"/>
      <c r="P37" s="1883"/>
      <c r="V37" s="1883"/>
    </row>
    <row r="38" spans="1:26" ht="16.5" customHeight="1" thickBot="1">
      <c r="A38" s="1196" t="s">
        <v>349</v>
      </c>
      <c r="B38" s="305"/>
      <c r="C38" s="292"/>
      <c r="D38" s="292"/>
      <c r="E38" s="293"/>
      <c r="F38" s="309"/>
      <c r="G38" s="309"/>
      <c r="H38" s="309"/>
      <c r="I38" s="309"/>
      <c r="J38" s="1885"/>
      <c r="K38" s="1204">
        <f>'数据-汇总表'!D3</f>
        <v>22121.8</v>
      </c>
      <c r="L38" s="1205">
        <f>'数据-汇总表'!E3</f>
        <v>22121.8</v>
      </c>
      <c r="M38" s="1205">
        <f ca="1">C34</f>
        <v>2402</v>
      </c>
      <c r="N38" s="1205">
        <f ca="1">C33</f>
        <v>2402</v>
      </c>
      <c r="O38" s="1206">
        <f ca="1">C32</f>
        <v>5313</v>
      </c>
      <c r="P38" s="1883"/>
      <c r="V38" s="1883"/>
    </row>
    <row r="39" spans="1:26" ht="16.5" customHeight="1" thickBot="1">
      <c r="A39" s="1201"/>
      <c r="B39" s="306"/>
      <c r="C39" s="307"/>
      <c r="D39" s="307"/>
      <c r="E39" s="308"/>
      <c r="F39" s="309"/>
      <c r="G39" s="309"/>
      <c r="H39" s="309"/>
      <c r="I39" s="309"/>
      <c r="J39" s="1885"/>
      <c r="K39" s="3736" t="str">
        <f>MID(A44,3,LEN(A44)-2)</f>
        <v/>
      </c>
      <c r="L39" s="3737"/>
      <c r="M39" s="3737"/>
      <c r="N39" s="3738"/>
      <c r="O39" s="1315" t="str">
        <f>C44</f>
        <v>——</v>
      </c>
      <c r="P39" s="1883"/>
      <c r="V39" s="1883"/>
    </row>
    <row r="40" spans="1:26" ht="19.5" thickBot="1">
      <c r="A40" s="104" t="s">
        <v>848</v>
      </c>
      <c r="B40" s="309"/>
      <c r="C40" s="309"/>
      <c r="D40" s="309"/>
      <c r="E40" s="309"/>
      <c r="F40" s="309"/>
      <c r="G40" s="309"/>
      <c r="H40" s="309"/>
      <c r="I40" s="309"/>
      <c r="J40" s="1885"/>
      <c r="K40" s="3736" t="str">
        <f t="shared" ref="K40:K41" si="0">MID(A45,3,LEN(A45)-2)</f>
        <v>抵押担保权已注销时的抵押价格</v>
      </c>
      <c r="L40" s="3737"/>
      <c r="M40" s="3737"/>
      <c r="N40" s="3738"/>
      <c r="O40" s="1315">
        <f ca="1">C45</f>
        <v>5313</v>
      </c>
      <c r="P40" s="1883"/>
      <c r="V40" s="1883"/>
    </row>
    <row r="41" spans="1:26" ht="16.5" thickBot="1">
      <c r="A41" s="310" t="s">
        <v>356</v>
      </c>
      <c r="B41" s="311"/>
      <c r="C41" s="312" t="s">
        <v>357</v>
      </c>
      <c r="D41" s="313" t="s">
        <v>358</v>
      </c>
      <c r="E41" s="313" t="s">
        <v>359</v>
      </c>
      <c r="F41" s="314" t="s">
        <v>360</v>
      </c>
      <c r="G41" s="309"/>
      <c r="H41" s="309"/>
      <c r="I41" s="309"/>
      <c r="J41" s="1885"/>
      <c r="K41" s="3736" t="str">
        <f t="shared" si="0"/>
        <v/>
      </c>
      <c r="L41" s="3737"/>
      <c r="M41" s="3737"/>
      <c r="N41" s="3738"/>
      <c r="O41" s="1315" t="str">
        <f>C46</f>
        <v>——</v>
      </c>
      <c r="P41" s="1883"/>
      <c r="V41" s="1883"/>
    </row>
    <row r="42" spans="1:26" ht="29.25">
      <c r="A42" s="3680" t="s">
        <v>2034</v>
      </c>
      <c r="B42" s="3681"/>
      <c r="C42" s="262">
        <f ca="1">C32</f>
        <v>5313</v>
      </c>
      <c r="D42" s="315">
        <f ca="1">C33</f>
        <v>2402</v>
      </c>
      <c r="E42" s="315">
        <f ca="1">C34</f>
        <v>2402</v>
      </c>
      <c r="F42" s="316">
        <f ca="1">C35</f>
        <v>160</v>
      </c>
      <c r="G42" s="309"/>
      <c r="H42" s="309"/>
      <c r="I42" s="317"/>
      <c r="J42" s="1885"/>
      <c r="K42" s="1207" t="s">
        <v>361</v>
      </c>
      <c r="L42" s="1902" t="s">
        <v>362</v>
      </c>
      <c r="M42" s="1208" t="s">
        <v>363</v>
      </c>
      <c r="N42" s="1903" t="s">
        <v>364</v>
      </c>
      <c r="O42" s="1904" t="s">
        <v>365</v>
      </c>
      <c r="P42" s="1883"/>
      <c r="V42" s="1883"/>
    </row>
    <row r="43" spans="1:26" ht="18">
      <c r="A43" s="3691" t="s">
        <v>2683</v>
      </c>
      <c r="B43" s="3692"/>
      <c r="C43" s="262">
        <f>IF(H33="正常操作",G33+G34+G35,G34+G35)</f>
        <v>0</v>
      </c>
      <c r="D43" s="315" t="s">
        <v>43</v>
      </c>
      <c r="E43" s="315" t="s">
        <v>44</v>
      </c>
      <c r="F43" s="316" t="s">
        <v>44</v>
      </c>
      <c r="G43" s="2551" t="s">
        <v>927</v>
      </c>
      <c r="H43" s="309"/>
      <c r="I43" s="317"/>
      <c r="J43" s="1885"/>
      <c r="K43" s="1209" t="str">
        <f>C4</f>
        <v>基准地价</v>
      </c>
      <c r="L43" s="1210">
        <f ca="1">IF(L42="估价结果/万元",C19,C20)</f>
        <v>3495</v>
      </c>
      <c r="M43" s="1211">
        <f>C18</f>
        <v>0.3</v>
      </c>
      <c r="N43" s="1212">
        <f ca="1">IF(N42="测算结果/万元",G19,G20)</f>
        <v>5313</v>
      </c>
      <c r="O43" s="1213">
        <f ca="1">IF(O42="最终结果/万元",C32,C33)</f>
        <v>5313</v>
      </c>
      <c r="P43" s="1883"/>
      <c r="V43" s="1883"/>
    </row>
    <row r="44" spans="1:26" ht="18.75" thickBot="1">
      <c r="A44" s="3680" t="str">
        <f>IF(OR(项目基本情况!E8="抵押价格",项目基本情况!E8="已注销及未注销"),"3.抵押价格","——")</f>
        <v>——</v>
      </c>
      <c r="B44" s="3681"/>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剩余法-现房</v>
      </c>
      <c r="L44" s="1215">
        <f ca="1">IF(L42="估价结果/万元",D19,D20)</f>
        <v>6092.7427739654813</v>
      </c>
      <c r="M44" s="1216">
        <f>D18</f>
        <v>0.7</v>
      </c>
      <c r="N44" s="1217"/>
      <c r="O44" s="1218"/>
      <c r="P44" s="1883"/>
      <c r="V44" s="1883"/>
    </row>
    <row r="45" spans="1:26" ht="15">
      <c r="A45" s="3686" t="str">
        <f>IF(项目基本情况!E8="已注销及未注销","4.抵押担保权已注销时的抵押价格",IF(项目基本情况!E8="已注销","3.抵押担保权已注销时的抵押价格","——"))</f>
        <v>3.抵押担保权已注销时的抵押价格</v>
      </c>
      <c r="B45" s="3687"/>
      <c r="C45" s="1691">
        <f ca="1">IF(A45="——","——",IF(项目基本情况!E8="抵押价格","——",C32-G34-G35))</f>
        <v>5313</v>
      </c>
      <c r="D45" s="315">
        <f ca="1">ROUND(C45*10000/'数据-汇总表'!E3,0)</f>
        <v>2402</v>
      </c>
      <c r="E45" s="315">
        <f ca="1">ROUND(C45*10000/'数据-汇总表'!D3,0)</f>
        <v>2402</v>
      </c>
      <c r="F45" s="316">
        <f ca="1">ROUND(C45/('数据-汇总表'!D3/666.67),0)</f>
        <v>160</v>
      </c>
      <c r="G45" s="309"/>
      <c r="H45" s="309"/>
      <c r="I45" s="317"/>
      <c r="J45" s="1885"/>
      <c r="K45" s="1883"/>
      <c r="L45" s="1883"/>
      <c r="M45" s="1883"/>
      <c r="N45" s="1883"/>
      <c r="O45" s="1883"/>
      <c r="P45" s="1883"/>
      <c r="V45" s="1883"/>
    </row>
    <row r="46" spans="1:26" ht="15.75" thickBot="1">
      <c r="A46" s="3682" t="str">
        <f>IF(项目基本情况!E9="抵押净值",IF(A45="——","4.抵押净值","5.抵押净值"),"——")</f>
        <v>——</v>
      </c>
      <c r="B46" s="3683"/>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730" t="s">
        <v>374</v>
      </c>
      <c r="B63" s="3731"/>
      <c r="C63" s="3732"/>
      <c r="D63" s="339">
        <f ca="1">ROUND(C42*F63,0)</f>
        <v>5313</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688" t="s">
        <v>378</v>
      </c>
      <c r="B64" s="3689"/>
      <c r="C64" s="3689"/>
      <c r="D64" s="3689"/>
      <c r="E64" s="3689"/>
      <c r="F64" s="3689"/>
      <c r="G64" s="3690"/>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5.5">
      <c r="A66" s="3684" t="s">
        <v>386</v>
      </c>
      <c r="B66" s="3685"/>
      <c r="C66" s="3685"/>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3745" t="s">
        <v>385</v>
      </c>
      <c r="M66" s="3746"/>
      <c r="N66" s="2283"/>
      <c r="O66" s="2284"/>
      <c r="P66" s="2285"/>
      <c r="Q66" s="1883"/>
      <c r="R66" s="1883"/>
      <c r="S66" s="1883"/>
      <c r="T66" s="1883"/>
      <c r="U66" s="1883"/>
      <c r="V66" s="1883"/>
    </row>
    <row r="67" spans="1:22" ht="25.5" customHeight="1">
      <c r="A67" s="350" t="s">
        <v>389</v>
      </c>
      <c r="B67" s="3675" t="s">
        <v>390</v>
      </c>
      <c r="C67" s="3675"/>
      <c r="D67" s="351">
        <v>0</v>
      </c>
      <c r="E67" s="41" t="s">
        <v>391</v>
      </c>
      <c r="F67" s="62" t="s">
        <v>21</v>
      </c>
      <c r="G67" s="3733"/>
      <c r="H67" s="2972" t="s">
        <v>2924</v>
      </c>
      <c r="I67" s="2974"/>
      <c r="J67" s="1890"/>
      <c r="K67" s="1862">
        <v>2</v>
      </c>
      <c r="L67" s="3739" t="s">
        <v>388</v>
      </c>
      <c r="M67" s="3739"/>
      <c r="N67" s="1261">
        <f>'数据-取费表'!B2</f>
        <v>44614</v>
      </c>
      <c r="O67" s="1261"/>
      <c r="P67" s="1261"/>
      <c r="Q67" s="1883"/>
      <c r="R67" s="1883"/>
      <c r="S67" s="1883"/>
      <c r="T67" s="1883"/>
      <c r="U67" s="1883"/>
      <c r="V67" s="1883"/>
    </row>
    <row r="68" spans="1:22" ht="25.5" customHeight="1">
      <c r="A68" s="352"/>
      <c r="B68" s="3675" t="s">
        <v>393</v>
      </c>
      <c r="C68" s="3675"/>
      <c r="D68" s="353"/>
      <c r="E68" s="77"/>
      <c r="F68" s="354"/>
      <c r="G68" s="3734"/>
      <c r="H68" s="2973" t="s">
        <v>2925</v>
      </c>
      <c r="I68" s="2974"/>
      <c r="J68" s="1890"/>
      <c r="K68" s="1862">
        <v>3</v>
      </c>
      <c r="L68" s="3739" t="s">
        <v>392</v>
      </c>
      <c r="M68" s="3739"/>
      <c r="N68" s="1229">
        <f ca="1">C42</f>
        <v>5313</v>
      </c>
      <c r="O68" s="1229"/>
      <c r="P68" s="1229"/>
      <c r="Q68" s="1883"/>
      <c r="R68" s="1883"/>
      <c r="S68" s="1883"/>
      <c r="T68" s="1883"/>
      <c r="U68" s="1883"/>
      <c r="V68" s="1883"/>
    </row>
    <row r="69" spans="1:22" ht="23.45" customHeight="1">
      <c r="A69" s="355"/>
      <c r="B69" s="3675" t="s">
        <v>394</v>
      </c>
      <c r="C69" s="3675"/>
      <c r="D69" s="356"/>
      <c r="E69" s="73"/>
      <c r="F69" s="354"/>
      <c r="G69" s="3735"/>
      <c r="H69" s="2973" t="s">
        <v>2926</v>
      </c>
      <c r="I69" s="2974"/>
      <c r="J69" s="1890"/>
      <c r="K69" s="1230">
        <v>4</v>
      </c>
      <c r="L69" s="3749" t="s">
        <v>2832</v>
      </c>
      <c r="M69" s="3750"/>
      <c r="N69" s="1231" t="str">
        <f>C44</f>
        <v>——</v>
      </c>
      <c r="O69" s="1231"/>
      <c r="P69" s="1231"/>
      <c r="Q69" s="1883"/>
      <c r="R69" s="1883"/>
      <c r="S69" s="1883"/>
      <c r="T69" s="1883"/>
      <c r="U69" s="1883"/>
      <c r="V69" s="1883"/>
    </row>
    <row r="70" spans="1:22" ht="24" customHeight="1">
      <c r="A70" s="357" t="s">
        <v>395</v>
      </c>
      <c r="B70" s="3675" t="s">
        <v>396</v>
      </c>
      <c r="C70" s="3675"/>
      <c r="D70" s="356">
        <f ca="1">ROUND(D63*'数据-取费表'!B41/(1+'数据-取费表'!C42),0)</f>
        <v>278</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676" t="s">
        <v>2955</v>
      </c>
      <c r="C71" s="3677"/>
      <c r="D71" s="356">
        <f ca="1">ROUND(D63*'数据-取费表'!B41/(1+'数据-取费表'!C42),0)</f>
        <v>278</v>
      </c>
      <c r="E71" s="17" t="s">
        <v>397</v>
      </c>
      <c r="F71" s="358">
        <f>'数据-取费表'!B41</f>
        <v>5.5000000000000007E-2</v>
      </c>
      <c r="G71" s="359"/>
      <c r="H71" s="309"/>
      <c r="I71" s="1228"/>
      <c r="J71" s="1890"/>
      <c r="K71" s="2730" t="s">
        <v>398</v>
      </c>
      <c r="L71" s="3751" t="s">
        <v>399</v>
      </c>
      <c r="M71" s="3751"/>
      <c r="N71" s="2730" t="s">
        <v>400</v>
      </c>
      <c r="O71" s="2730" t="s">
        <v>401</v>
      </c>
      <c r="P71" s="2730" t="s">
        <v>402</v>
      </c>
      <c r="Q71" s="1883"/>
      <c r="R71" s="1883"/>
      <c r="S71" s="1883"/>
      <c r="T71" s="1883"/>
      <c r="U71" s="1883"/>
      <c r="V71" s="1883"/>
    </row>
    <row r="72" spans="1:22" ht="12" customHeight="1">
      <c r="A72" s="357" t="s">
        <v>405</v>
      </c>
      <c r="B72" s="3676" t="s">
        <v>2956</v>
      </c>
      <c r="C72" s="3677"/>
      <c r="D72" s="356">
        <f ca="1">C86</f>
        <v>278</v>
      </c>
      <c r="E72" s="73" t="s">
        <v>406</v>
      </c>
      <c r="F72" s="358">
        <f>'数据-取费表'!B41</f>
        <v>5.5000000000000007E-2</v>
      </c>
      <c r="G72" s="359"/>
      <c r="H72" s="1234"/>
      <c r="I72" s="1228"/>
      <c r="J72" s="1890"/>
      <c r="K72" s="1862">
        <v>1</v>
      </c>
      <c r="L72" s="3726" t="s">
        <v>404</v>
      </c>
      <c r="M72" s="3726"/>
      <c r="N72" s="1232" t="b">
        <f>D66</f>
        <v>0</v>
      </c>
      <c r="O72" s="1746" t="str">
        <f>E66</f>
        <v>销售额×税（费）率</v>
      </c>
      <c r="P72" s="1233">
        <f>F66</f>
        <v>5.5000000000000007E-2</v>
      </c>
      <c r="Q72" s="1883"/>
      <c r="R72" s="1883"/>
      <c r="S72" s="1883"/>
      <c r="T72" s="1883"/>
      <c r="U72" s="1883"/>
      <c r="V72" s="1883"/>
    </row>
    <row r="73" spans="1:22" ht="24" customHeight="1">
      <c r="A73" s="3721" t="s">
        <v>408</v>
      </c>
      <c r="B73" s="3685"/>
      <c r="C73" s="3685"/>
      <c r="D73" s="360">
        <f ca="1">IF(H73="个人住宅",0,ROUND(D63*I73,0))</f>
        <v>3</v>
      </c>
      <c r="E73" s="17" t="s">
        <v>409</v>
      </c>
      <c r="F73" s="358" t="str">
        <f>IF(H73="正常",I73,"免征")</f>
        <v>免征</v>
      </c>
      <c r="G73" s="359"/>
      <c r="H73" s="189"/>
      <c r="I73" s="358">
        <f>'数据-取费表'!B49</f>
        <v>5.0000000000000001E-4</v>
      </c>
      <c r="J73" s="1890"/>
      <c r="K73" s="1862">
        <v>2</v>
      </c>
      <c r="L73" s="3726" t="s">
        <v>407</v>
      </c>
      <c r="M73" s="3726"/>
      <c r="N73" s="1232">
        <f t="shared" ref="N73:P74" ca="1" si="1">D73</f>
        <v>3</v>
      </c>
      <c r="O73" s="1746" t="str">
        <f t="shared" si="1"/>
        <v>销售额×税（费）率</v>
      </c>
      <c r="P73" s="1233" t="str">
        <f t="shared" si="1"/>
        <v>免征</v>
      </c>
      <c r="Q73" s="1883"/>
      <c r="R73" s="1883"/>
      <c r="S73" s="1883"/>
      <c r="T73" s="1883"/>
      <c r="U73" s="1883"/>
      <c r="V73" s="1883"/>
    </row>
    <row r="74" spans="1:22" ht="24.75">
      <c r="A74" s="3721" t="s">
        <v>411</v>
      </c>
      <c r="B74" s="3685"/>
      <c r="C74" s="3685"/>
      <c r="D74" s="360">
        <f ca="1">IF(H74="个人住宅",D75,D76)</f>
        <v>3012</v>
      </c>
      <c r="E74" s="17" t="s">
        <v>412</v>
      </c>
      <c r="F74" s="358" t="str">
        <f>IF(H74="正常",F76,"免征")</f>
        <v>免征</v>
      </c>
      <c r="G74" s="953" t="s">
        <v>413</v>
      </c>
      <c r="H74" s="361"/>
      <c r="I74" s="42"/>
      <c r="J74" s="1890"/>
      <c r="K74" s="1862">
        <v>3</v>
      </c>
      <c r="L74" s="3726" t="s">
        <v>410</v>
      </c>
      <c r="M74" s="3726"/>
      <c r="N74" s="1232">
        <f t="shared" ca="1" si="1"/>
        <v>3012</v>
      </c>
      <c r="O74" s="1746" t="str">
        <f t="shared" si="1"/>
        <v>增值额×税（费）率</v>
      </c>
      <c r="P74" s="1235" t="str">
        <f t="shared" si="1"/>
        <v>免征</v>
      </c>
      <c r="Q74" s="1883"/>
      <c r="R74" s="1883"/>
      <c r="S74" s="1883"/>
      <c r="T74" s="1883"/>
      <c r="U74" s="1883"/>
      <c r="V74" s="1883"/>
    </row>
    <row r="75" spans="1:22" ht="12.75">
      <c r="A75" s="357" t="s">
        <v>414</v>
      </c>
      <c r="B75" s="3673" t="s">
        <v>415</v>
      </c>
      <c r="C75" s="3709"/>
      <c r="D75" s="362">
        <v>0</v>
      </c>
      <c r="E75" s="41" t="s">
        <v>416</v>
      </c>
      <c r="F75" s="363"/>
      <c r="G75" s="359"/>
      <c r="H75" s="42"/>
      <c r="I75" s="42"/>
      <c r="J75" s="1890"/>
      <c r="K75" s="2724">
        <f>IF(H77="非个人房产","",4)</f>
        <v>4</v>
      </c>
      <c r="L75" s="3726" t="str">
        <f>IF(H77="非个人房产","——","个人所得税")</f>
        <v>个人所得税</v>
      </c>
      <c r="M75" s="3726"/>
      <c r="N75" s="1236">
        <f>D77</f>
        <v>0</v>
      </c>
      <c r="O75" s="1759" t="str">
        <f>E77</f>
        <v>差额计税</v>
      </c>
      <c r="P75" s="1237">
        <f>F77</f>
        <v>0.01</v>
      </c>
      <c r="Q75" s="1883"/>
      <c r="R75" s="1883"/>
      <c r="S75" s="1883"/>
      <c r="T75" s="1883"/>
      <c r="U75" s="1883"/>
      <c r="V75" s="1883"/>
    </row>
    <row r="76" spans="1:22" ht="24.75">
      <c r="A76" s="357" t="s">
        <v>395</v>
      </c>
      <c r="B76" s="3673" t="s">
        <v>418</v>
      </c>
      <c r="C76" s="3674"/>
      <c r="D76" s="360">
        <f ca="1">IF(H76="转让取得",C99,C115)</f>
        <v>3012</v>
      </c>
      <c r="E76" s="17" t="s">
        <v>419</v>
      </c>
      <c r="F76" s="53" t="s">
        <v>21</v>
      </c>
      <c r="G76" s="359"/>
      <c r="H76" s="361"/>
      <c r="I76" s="42"/>
      <c r="J76" s="1890"/>
      <c r="K76" s="2724" t="str">
        <f>IF(项目基本情况!K6="上海银行",IF(K75="",4,K75+1),"")</f>
        <v/>
      </c>
      <c r="L76" s="3741" t="str">
        <f>IF(项目基本情况!K6="上海银行","其他处置费用","")</f>
        <v/>
      </c>
      <c r="M76" s="3742"/>
      <c r="N76" s="1232" t="str">
        <f>IF(项目基本情况!K6="上海银行",N89,"")</f>
        <v/>
      </c>
      <c r="O76" s="3743" t="str">
        <f>IF(项目基本情况!K6="上海银行","包含处置中涉及的律师、诉讼、拍卖、评估等费用","")</f>
        <v/>
      </c>
      <c r="P76" s="3744"/>
      <c r="Q76" s="1883"/>
      <c r="R76" s="1883"/>
      <c r="S76" s="1883"/>
      <c r="T76" s="1883"/>
      <c r="U76" s="1883"/>
      <c r="V76" s="1883"/>
    </row>
    <row r="77" spans="1:22" ht="24.75" thickBot="1">
      <c r="A77" s="3728" t="s">
        <v>421</v>
      </c>
      <c r="B77" s="3729"/>
      <c r="C77" s="3729"/>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2927</v>
      </c>
      <c r="J77" s="1890"/>
      <c r="K77" s="3727">
        <f>IF(AND(K75="",K76=""),4,IF(项目基本情况!K6="上海银行",K76+1,K75+1))</f>
        <v>5</v>
      </c>
      <c r="L77" s="3726" t="s">
        <v>2833</v>
      </c>
      <c r="M77" s="2729" t="s">
        <v>417</v>
      </c>
      <c r="N77" s="1238"/>
      <c r="O77" s="1239">
        <f ca="1">SUMIF(N72:N76,"&lt;9e307")</f>
        <v>3015</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727"/>
      <c r="L78" s="3726"/>
      <c r="M78" s="2729" t="s">
        <v>420</v>
      </c>
      <c r="N78" s="1238"/>
      <c r="O78" s="1239" t="str">
        <f ca="1">NUMBERSTRING(INT(O77*10000),2)&amp;"元整"</f>
        <v>叁仟零壹拾伍万元整</v>
      </c>
      <c r="P78" s="1240"/>
      <c r="Q78" s="1883"/>
      <c r="R78" s="1883"/>
      <c r="S78" s="1883"/>
      <c r="T78" s="1883"/>
      <c r="U78" s="1883"/>
      <c r="V78" s="1883"/>
    </row>
    <row r="79" spans="1:22" ht="13.5" thickBot="1">
      <c r="A79" s="3693" t="s">
        <v>422</v>
      </c>
      <c r="B79" s="3693"/>
      <c r="C79" s="3693"/>
      <c r="D79" s="3693"/>
      <c r="E79" s="3693"/>
      <c r="F79" s="42"/>
      <c r="G79" s="42"/>
      <c r="H79" s="973"/>
      <c r="I79" s="309"/>
      <c r="J79" s="1890"/>
      <c r="K79" s="3747">
        <f>K77+1</f>
        <v>6</v>
      </c>
      <c r="L79" s="3726" t="s">
        <v>2834</v>
      </c>
      <c r="M79" s="2729" t="s">
        <v>417</v>
      </c>
      <c r="N79" s="1238"/>
      <c r="O79" s="1239" t="e">
        <f ca="1">N69-O77</f>
        <v>#VALUE!</v>
      </c>
      <c r="P79" s="1240"/>
      <c r="Q79" s="1883"/>
      <c r="R79" s="1883"/>
      <c r="S79" s="1883"/>
      <c r="T79" s="1883"/>
      <c r="U79" s="1883"/>
      <c r="V79" s="1883"/>
    </row>
    <row r="80" spans="1:22" ht="12.75">
      <c r="A80" s="3694" t="s">
        <v>423</v>
      </c>
      <c r="B80" s="3695"/>
      <c r="C80" s="964"/>
      <c r="D80" s="964" t="s">
        <v>424</v>
      </c>
      <c r="E80" s="364" t="s">
        <v>425</v>
      </c>
      <c r="F80" s="42"/>
      <c r="G80" s="42"/>
      <c r="H80" s="973"/>
      <c r="I80" s="309"/>
      <c r="J80" s="1883"/>
      <c r="K80" s="3748"/>
      <c r="L80" s="3726"/>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f ca="1">ROUND((C82+C83)/(1+'数据-取费表'!C42),0)</f>
        <v>5060</v>
      </c>
      <c r="D81" s="367"/>
      <c r="E81" s="368"/>
      <c r="F81" s="42"/>
      <c r="G81" s="42"/>
      <c r="H81" s="973"/>
      <c r="I81" s="309"/>
      <c r="J81" s="1883"/>
      <c r="K81" s="2724">
        <f>K79+1</f>
        <v>7</v>
      </c>
      <c r="L81" s="3724" t="s">
        <v>2835</v>
      </c>
      <c r="M81" s="3725"/>
      <c r="N81" s="1242"/>
      <c r="O81" s="1243" t="e">
        <f ca="1">ROUND(O79*10000/'数据-汇总表'!E3,0)</f>
        <v>#VALUE!</v>
      </c>
      <c r="P81" s="1244"/>
      <c r="Q81" s="1883"/>
      <c r="R81" s="1883"/>
      <c r="S81" s="1883"/>
      <c r="T81" s="1883"/>
      <c r="U81" s="1883"/>
      <c r="V81" s="1883"/>
    </row>
    <row r="82" spans="1:26" ht="13.5" thickTop="1">
      <c r="A82" s="369" t="s">
        <v>1799</v>
      </c>
      <c r="B82" s="370" t="s">
        <v>427</v>
      </c>
      <c r="C82" s="371">
        <f ca="1">D63</f>
        <v>5313</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1800</v>
      </c>
      <c r="B83" s="370" t="s">
        <v>428</v>
      </c>
      <c r="C83" s="374"/>
      <c r="D83" s="372"/>
      <c r="E83" s="373"/>
      <c r="F83" s="42"/>
      <c r="G83" s="42"/>
      <c r="H83" s="973"/>
      <c r="I83" s="309"/>
      <c r="J83" s="1883"/>
      <c r="K83" s="3740"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2.75">
      <c r="A84" s="375" t="s">
        <v>1801</v>
      </c>
      <c r="B84" s="376" t="s">
        <v>429</v>
      </c>
      <c r="C84" s="377"/>
      <c r="D84" s="378" t="s">
        <v>19</v>
      </c>
      <c r="E84" s="2753" t="s">
        <v>2869</v>
      </c>
      <c r="F84" s="42"/>
      <c r="G84" s="42"/>
      <c r="H84" s="973"/>
      <c r="I84" s="309"/>
      <c r="J84" s="1883"/>
      <c r="K84" s="3740"/>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2.75">
      <c r="A85" s="375" t="s">
        <v>1802</v>
      </c>
      <c r="B85" s="376" t="s">
        <v>430</v>
      </c>
      <c r="C85" s="379">
        <f ca="1">C81-C84</f>
        <v>5060</v>
      </c>
      <c r="D85" s="372" t="s">
        <v>19</v>
      </c>
      <c r="E85" s="373"/>
      <c r="F85" s="42"/>
      <c r="G85" s="42"/>
      <c r="H85" s="973"/>
      <c r="I85" s="309"/>
      <c r="J85" s="1883"/>
      <c r="K85" s="3740"/>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f ca="1">IF(C85&lt;=0,0,ROUND(C85*D86,0))</f>
        <v>278</v>
      </c>
      <c r="D86" s="383">
        <f>'数据-取费表'!B41</f>
        <v>5.5000000000000007E-2</v>
      </c>
      <c r="E86" s="384"/>
      <c r="F86" s="42"/>
      <c r="G86" s="42"/>
      <c r="H86" s="973"/>
      <c r="I86" s="309"/>
      <c r="J86" s="1883"/>
      <c r="K86" s="3740"/>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740"/>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5" thickBot="1">
      <c r="A88" s="3719" t="s">
        <v>432</v>
      </c>
      <c r="B88" s="3720"/>
      <c r="C88" s="3720"/>
      <c r="D88" s="3720"/>
      <c r="E88" s="3720"/>
      <c r="F88" s="3720"/>
      <c r="G88" s="3720"/>
      <c r="H88" s="3720"/>
      <c r="I88" s="1251"/>
      <c r="J88" s="1891"/>
      <c r="K88" s="3740"/>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25">
      <c r="A89" s="3694" t="s">
        <v>423</v>
      </c>
      <c r="B89" s="3695"/>
      <c r="C89" s="964"/>
      <c r="D89" s="964" t="s">
        <v>424</v>
      </c>
      <c r="E89" s="385" t="s">
        <v>433</v>
      </c>
      <c r="F89" s="386"/>
      <c r="G89" s="386"/>
      <c r="H89" s="387"/>
      <c r="I89" s="1252"/>
      <c r="J89" s="1893"/>
      <c r="K89" s="3740"/>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25">
      <c r="A90" s="375" t="s">
        <v>1798</v>
      </c>
      <c r="B90" s="376" t="s">
        <v>434</v>
      </c>
      <c r="C90" s="379">
        <f ca="1">ROUND(D63/(1+'数据-取费表'!C42),0)</f>
        <v>5060</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1804</v>
      </c>
      <c r="B91" s="346" t="s">
        <v>435</v>
      </c>
      <c r="C91" s="379">
        <f ca="1">C92+C96</f>
        <v>25</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676" t="s">
        <v>441</v>
      </c>
      <c r="F94" s="3675"/>
      <c r="G94" s="3675"/>
      <c r="H94" s="3718"/>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25</v>
      </c>
      <c r="D96" s="400">
        <f>'数据-取费表'!B43</f>
        <v>5.000000000000001E-3</v>
      </c>
      <c r="E96" s="3710" t="s">
        <v>2390</v>
      </c>
      <c r="F96" s="3711"/>
      <c r="G96" s="3711"/>
      <c r="H96" s="3712"/>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1810</v>
      </c>
      <c r="B97" s="376" t="s">
        <v>445</v>
      </c>
      <c r="C97" s="379">
        <f ca="1">C90-C91</f>
        <v>5035</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1811</v>
      </c>
      <c r="B98" s="376" t="s">
        <v>446</v>
      </c>
      <c r="C98" s="401">
        <f ca="1">IF(C97&lt;=0,0,C97/C91)</f>
        <v>201.4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1812</v>
      </c>
      <c r="B99" s="381" t="s">
        <v>447</v>
      </c>
      <c r="C99" s="402">
        <f ca="1">ROUND(IF(C97&lt;=0,0,IF(C98&gt;=200%,C97*60%-C91*35%,IF(C98&gt;=100%,C97*50%-C91*15%,IF(C98&gt;=50%,C97*40%-C91*5%,IF(C98&lt;50%,C97*30%,0))))),0)</f>
        <v>3012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3719" t="s">
        <v>448</v>
      </c>
      <c r="B101" s="3720"/>
      <c r="C101" s="3720"/>
      <c r="D101" s="3720"/>
      <c r="E101" s="3720"/>
      <c r="F101" s="3720"/>
      <c r="G101" s="3720"/>
      <c r="H101" s="3720"/>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3694" t="s">
        <v>423</v>
      </c>
      <c r="B102" s="3695"/>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1798</v>
      </c>
      <c r="B103" s="376" t="s">
        <v>434</v>
      </c>
      <c r="C103" s="379">
        <f ca="1">ROUND(D63/(1+'数据-取费表'!C42),0)</f>
        <v>5060</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1804</v>
      </c>
      <c r="B104" s="346" t="s">
        <v>435</v>
      </c>
      <c r="C104" s="379">
        <f ca="1">IF(H106="仅含出让金",C105+C108+C109+C110+C111+C112,C105+C109+C110+C111+C112)</f>
        <v>25</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1806</v>
      </c>
      <c r="B106" s="370" t="s">
        <v>450</v>
      </c>
      <c r="C106" s="410"/>
      <c r="D106" s="400"/>
      <c r="E106" s="411" t="s">
        <v>451</v>
      </c>
      <c r="F106" s="956"/>
      <c r="G106" s="412" t="s">
        <v>452</v>
      </c>
      <c r="H106" s="413"/>
      <c r="I106" s="11"/>
      <c r="J106" s="1888"/>
      <c r="K106" s="3203" t="s">
        <v>2948</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1809</v>
      </c>
      <c r="B108" s="370" t="s">
        <v>454</v>
      </c>
      <c r="C108" s="410"/>
      <c r="D108" s="400"/>
      <c r="E108" s="411" t="str">
        <f>IF(H106="-","土地取得成本中已包含该笔费用"," ")</f>
        <v xml:space="preserve"> </v>
      </c>
      <c r="F108" s="956"/>
      <c r="G108" s="3670" t="s">
        <v>2919</v>
      </c>
      <c r="H108" s="3671"/>
      <c r="I108" s="2825"/>
      <c r="J108" s="1888"/>
      <c r="K108" s="3203" t="s">
        <v>2949</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713" t="s">
        <v>456</v>
      </c>
      <c r="F109" s="3711"/>
      <c r="G109" s="3711"/>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34">
        <v>0</v>
      </c>
      <c r="E110" s="3713" t="s">
        <v>458</v>
      </c>
      <c r="F110" s="3711"/>
      <c r="G110" s="3711"/>
      <c r="H110" s="3712"/>
      <c r="I110" s="11"/>
      <c r="J110" s="1888"/>
      <c r="K110" s="3204" t="s">
        <v>2950</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25</v>
      </c>
      <c r="D111" s="400">
        <f>'数据-取费表'!B43</f>
        <v>5.000000000000001E-3</v>
      </c>
      <c r="E111" s="3710" t="s">
        <v>2390</v>
      </c>
      <c r="F111" s="3711"/>
      <c r="G111" s="3711"/>
      <c r="H111" s="3712"/>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713" t="s">
        <v>2408</v>
      </c>
      <c r="F112" s="3711"/>
      <c r="G112" s="3711"/>
      <c r="H112" s="3712"/>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1810</v>
      </c>
      <c r="B113" s="376" t="s">
        <v>445</v>
      </c>
      <c r="C113" s="379">
        <f ca="1">ROUND(C103-C104,0)</f>
        <v>5035</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1811</v>
      </c>
      <c r="B114" s="376" t="s">
        <v>446</v>
      </c>
      <c r="C114" s="401">
        <f ca="1">IF(C113&lt;=0,0,C113/C104)</f>
        <v>201.4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1812</v>
      </c>
      <c r="B115" s="381" t="s">
        <v>447</v>
      </c>
      <c r="C115" s="402">
        <f ca="1">ROUND(IF(C113&lt;=0,0,IF(C114&gt;=200%,C113*60%-C104*35%,IF(C114&gt;=100%,C113*50%-C104*15%,IF(C114&gt;=50%,C113*40%-C104*5%,IF(C114&lt;50%,C113*30%,0))))),0)</f>
        <v>3012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7" sqref="C7"/>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94" t="s">
        <v>956</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t="e">
        <f ca="1">C36</f>
        <v>#VALUE!</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t="e">
        <f ca="1">ROUND(B2*10000/IF(B1="",'数据-汇总表'!E3,INDIRECT("'数据-取费表'!K"&amp;$K$1)),0)</f>
        <v>#VALUE!</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0</v>
      </c>
      <c r="D6" s="2514"/>
      <c r="E6" s="2514"/>
      <c r="F6" s="2514"/>
      <c r="G6" s="2514"/>
      <c r="H6" s="2514"/>
      <c r="I6" s="2514"/>
      <c r="J6" s="2514"/>
      <c r="K6" s="2516"/>
      <c r="L6" s="3157"/>
      <c r="M6" s="3157"/>
      <c r="N6" s="3157"/>
      <c r="O6" s="3157"/>
      <c r="P6" s="3157"/>
      <c r="Q6" s="3157"/>
      <c r="R6" s="3157"/>
      <c r="S6" s="3157"/>
      <c r="T6" s="3157"/>
      <c r="U6" s="3157"/>
      <c r="V6" s="3157"/>
      <c r="W6" s="3157"/>
      <c r="X6" s="3157"/>
      <c r="Y6" s="3157"/>
      <c r="Z6" s="3157"/>
    </row>
    <row r="7" spans="1:31" s="1967" customFormat="1" ht="15">
      <c r="A7" s="2517" t="s">
        <v>464</v>
      </c>
      <c r="B7" s="2518" t="s">
        <v>465</v>
      </c>
      <c r="C7" s="430" t="s">
        <v>956</v>
      </c>
      <c r="D7" s="430"/>
      <c r="E7" s="430"/>
      <c r="F7" s="430"/>
      <c r="G7" s="430"/>
      <c r="H7" s="430"/>
      <c r="I7" s="430"/>
      <c r="J7" s="430"/>
      <c r="K7" s="431"/>
      <c r="AA7" s="1966"/>
      <c r="AB7" s="1966"/>
      <c r="AC7" s="1966"/>
      <c r="AD7" s="1966"/>
      <c r="AE7" s="1966"/>
    </row>
    <row r="8" spans="1:31" s="1969" customFormat="1" ht="13.5" customHeight="1">
      <c r="A8" s="775" t="s">
        <v>1820</v>
      </c>
      <c r="B8" s="259" t="s">
        <v>466</v>
      </c>
      <c r="C8" s="2519"/>
      <c r="D8" s="251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SUMIF('数据-汇总表'!$C19:$C33,'剩余法-待开发'!C7,'数据-汇总表'!$E19:$E33)</f>
        <v>22121.8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1822</v>
      </c>
      <c r="B10" s="2507" t="s">
        <v>468</v>
      </c>
      <c r="C10" s="2710"/>
      <c r="D10" s="2710"/>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57"/>
      <c r="M11" s="3157"/>
      <c r="N11" s="3157"/>
      <c r="O11" s="3157"/>
      <c r="P11" s="3157"/>
      <c r="Q11" s="3157"/>
      <c r="R11" s="3157"/>
      <c r="S11" s="3157"/>
      <c r="T11" s="3157"/>
      <c r="U11" s="3157"/>
      <c r="V11" s="3157"/>
      <c r="W11" s="3157"/>
      <c r="X11" s="3157"/>
      <c r="Y11" s="3157"/>
      <c r="Z11" s="3157"/>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58"/>
      <c r="M12" s="3158"/>
      <c r="N12" s="3158"/>
      <c r="O12" s="3158"/>
      <c r="P12" s="3158"/>
      <c r="Q12" s="3158"/>
      <c r="R12" s="3158"/>
      <c r="S12" s="3158"/>
      <c r="T12" s="3158"/>
      <c r="U12" s="3158"/>
      <c r="V12" s="3158"/>
      <c r="W12" s="3158"/>
      <c r="X12" s="3158"/>
      <c r="Y12" s="3158"/>
      <c r="Z12" s="3158"/>
    </row>
    <row r="13" spans="1:31" s="1970" customFormat="1" ht="13.5" customHeight="1">
      <c r="A13" s="2527" t="s">
        <v>1823</v>
      </c>
      <c r="B13" s="2528" t="s">
        <v>473</v>
      </c>
      <c r="C13" s="443" t="e">
        <f ca="1">IF(B1="",'数据-取费表'!P16,INDIRECT("'数据-取费表'!p"&amp;$K$1)+INDIRECT("'数据-取费表'!t"&amp;$K$1))</f>
        <v>#VALUE!</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t="e">
        <f ca="1">ROUND(C13*F14,0)</f>
        <v>#VALUE!</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0</v>
      </c>
      <c r="D15" s="2529"/>
      <c r="E15" s="2530"/>
      <c r="F15" s="2532">
        <f>'数据-取费表'!B34</f>
        <v>0</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398</v>
      </c>
      <c r="D16" s="2529">
        <f ca="1">IF(B1="",'数据-汇总表'!E3,INDIRECT("'数据-取费表'!K"&amp;$K$1)+INDIRECT("'数据-取费表'!S"&amp;$K$1))</f>
        <v>22121.8</v>
      </c>
      <c r="E16" s="53">
        <f>'数据-取费表'!B35</f>
        <v>180</v>
      </c>
      <c r="F16" s="2532"/>
      <c r="G16" s="2497"/>
      <c r="H16" s="2498"/>
      <c r="I16" s="2498"/>
      <c r="J16" s="2498"/>
      <c r="K16" s="2499"/>
      <c r="AA16" s="1970"/>
      <c r="AB16" s="1970"/>
      <c r="AC16" s="1970"/>
      <c r="AD16" s="1970"/>
      <c r="AE16" s="1970"/>
    </row>
    <row r="17" spans="1:26" s="1970" customFormat="1" ht="13.5" customHeight="1">
      <c r="A17" s="2527" t="s">
        <v>1827</v>
      </c>
      <c r="B17" s="2528" t="s">
        <v>479</v>
      </c>
      <c r="C17" s="2533" t="e">
        <f ca="1">ROUND(C13*F17,0)</f>
        <v>#VALUE!</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t="e">
        <f ca="1">SUM(C13:C17)</f>
        <v>#VALUE!</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553</v>
      </c>
      <c r="D19" s="2539">
        <f ca="1">D16</f>
        <v>22121.8</v>
      </c>
      <c r="E19" s="2493">
        <f>'数据-取费表'!B32</f>
        <v>250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343</v>
      </c>
      <c r="D20" s="2539"/>
      <c r="E20" s="2493"/>
      <c r="F20" s="2540"/>
      <c r="G20" s="2742"/>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0</v>
      </c>
      <c r="E21" s="53">
        <f>'数据-取费表'!B27</f>
        <v>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343</v>
      </c>
      <c r="D22" s="2529">
        <f ca="1">IF(B1="",'数据-汇总表'!E6,IF(INDIRECT("'数据-取费表'!c"&amp;$K$1)="住宅",INDIRECT("'数据-取费表'!s"&amp;$K$1),INDIRECT("'数据-取费表'!k"&amp;$K$1)+INDIRECT("'数据-取费表'!s"&amp;$K$1)))</f>
        <v>22121.8</v>
      </c>
      <c r="E22" s="53">
        <f>'数据-取费表'!B28</f>
        <v>155</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t="e">
        <f ca="1">ROUND((C18+C19+C20)*F23,0)</f>
        <v>#VALUE!</v>
      </c>
      <c r="D23" s="461"/>
      <c r="E23" s="461"/>
      <c r="F23" s="2541">
        <f>'数据-取费表'!B37</f>
        <v>0.02</v>
      </c>
      <c r="G23" s="2497" t="s">
        <v>2392</v>
      </c>
      <c r="H23" s="2498"/>
      <c r="I23" s="2498"/>
      <c r="J23" s="2498"/>
      <c r="K23" s="2499"/>
      <c r="L23" s="3159"/>
      <c r="M23" s="3159"/>
      <c r="N23" s="3159"/>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0</v>
      </c>
      <c r="D24" s="468"/>
      <c r="E24" s="466"/>
      <c r="F24" s="2541">
        <f>'数据-取费表'!B38</f>
        <v>0.02</v>
      </c>
      <c r="G24" s="2506" t="s">
        <v>491</v>
      </c>
      <c r="H24" s="2500"/>
      <c r="I24" s="2500"/>
      <c r="J24" s="2500"/>
      <c r="K24" s="277"/>
      <c r="L24" s="3159"/>
      <c r="M24" s="3159"/>
      <c r="N24" s="3159"/>
      <c r="O24" s="1971"/>
      <c r="P24" s="1971"/>
      <c r="Q24" s="1971"/>
      <c r="R24" s="1971"/>
      <c r="S24" s="1971"/>
      <c r="T24" s="1971"/>
      <c r="U24" s="1971"/>
      <c r="V24" s="1971"/>
      <c r="W24" s="1971"/>
      <c r="X24" s="1971"/>
      <c r="Y24" s="1971"/>
      <c r="Z24" s="1971"/>
    </row>
    <row r="25" spans="1:26" s="1973" customFormat="1" ht="13.5" customHeight="1">
      <c r="A25" s="2535" t="s">
        <v>1835</v>
      </c>
      <c r="B25" s="2714" t="s">
        <v>2784</v>
      </c>
      <c r="C25" s="3235">
        <f>F25</f>
        <v>3.0499999999999999E-2</v>
      </c>
      <c r="D25" s="455" t="s">
        <v>2780</v>
      </c>
      <c r="E25" s="462"/>
      <c r="F25" s="2541">
        <f>'数据-取费表'!B48+'数据-取费表'!B49</f>
        <v>3.0499999999999999E-2</v>
      </c>
      <c r="G25" s="2505" t="s">
        <v>2255</v>
      </c>
      <c r="H25" s="2498"/>
      <c r="I25" s="2498"/>
      <c r="J25" s="2498"/>
      <c r="K25" s="2499"/>
      <c r="L25" s="3160"/>
      <c r="M25" s="3160"/>
      <c r="N25" s="3160"/>
      <c r="O25" s="3160"/>
      <c r="P25" s="3160"/>
      <c r="Q25" s="3160"/>
      <c r="R25" s="3160"/>
      <c r="S25" s="3160"/>
      <c r="T25" s="3160"/>
      <c r="U25" s="3160"/>
      <c r="V25" s="3160"/>
      <c r="W25" s="3160"/>
      <c r="X25" s="3160"/>
      <c r="Y25" s="3160"/>
      <c r="Z25" s="3160"/>
    </row>
    <row r="26" spans="1:26" s="1972" customFormat="1" ht="13.5" customHeight="1">
      <c r="A26" s="2535" t="s">
        <v>1836</v>
      </c>
      <c r="B26" s="2715" t="s">
        <v>2785</v>
      </c>
      <c r="C26" s="2542" t="e">
        <f ca="1">C28</f>
        <v>#VALUE!</v>
      </c>
      <c r="D26" s="460">
        <f ca="1">C27</f>
        <v>0</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59"/>
      <c r="M26" s="3159"/>
      <c r="N26" s="3159"/>
      <c r="O26" s="3159"/>
      <c r="P26" s="3159"/>
      <c r="Q26" s="3159"/>
      <c r="R26" s="3159"/>
      <c r="S26" s="3159"/>
      <c r="T26" s="3159"/>
      <c r="U26" s="3159"/>
      <c r="V26" s="3159"/>
      <c r="W26" s="3159"/>
      <c r="X26" s="3159"/>
      <c r="Y26" s="3159"/>
      <c r="Z26" s="3159"/>
    </row>
    <row r="27" spans="1:26" s="1974" customFormat="1" ht="13.5" customHeight="1">
      <c r="A27" s="775" t="s">
        <v>1831</v>
      </c>
      <c r="B27" s="2543" t="s">
        <v>488</v>
      </c>
      <c r="C27" s="2544">
        <f ca="1">ROUND(IF('数据-取费表'!B22&lt;=1,(1+C25)*F26*'数据-取费表'!B24,(1+C25)*(POWER((1+F26),'数据-取费表'!B24)-1)),4)</f>
        <v>0</v>
      </c>
      <c r="D27" s="465"/>
      <c r="E27" s="466"/>
      <c r="F27" s="467"/>
      <c r="G27" s="2392" t="str">
        <f>IF('数据-取费表'!B22&lt;=1,"（1+取得税费率/(1+5%)）×年利率×建设期","（1+取得税费率）/(1+5%)×((1+年利率)^建设期-1)")</f>
        <v>（1+取得税费率）/(1+5%)×((1+年利率)^建设期-1)</v>
      </c>
      <c r="H27" s="2500"/>
      <c r="I27" s="2500"/>
      <c r="J27" s="2500"/>
      <c r="K27" s="277"/>
      <c r="L27" s="3161"/>
      <c r="M27" s="3161"/>
      <c r="N27" s="3161"/>
      <c r="O27" s="3161"/>
      <c r="P27" s="3161"/>
      <c r="Q27" s="3161"/>
      <c r="R27" s="3161"/>
      <c r="S27" s="3161"/>
      <c r="T27" s="3161"/>
      <c r="U27" s="3161"/>
      <c r="V27" s="3161"/>
      <c r="W27" s="3161"/>
      <c r="X27" s="3161"/>
      <c r="Y27" s="3161"/>
      <c r="Z27" s="3161"/>
    </row>
    <row r="28" spans="1:26" s="1974" customFormat="1" ht="13.5" customHeight="1">
      <c r="A28" s="775" t="s">
        <v>1832</v>
      </c>
      <c r="B28" s="2543" t="s">
        <v>2787</v>
      </c>
      <c r="C28" s="2545" t="e">
        <f ca="1">ROUND(IF('数据-取费表'!B22&lt;=1,(C18+C19+C20+C23+C24)*F26*'数据-取费表'!B24/2,(C18+C19+C20+C23+C24)*(POWER((1+F26),'数据-取费表'!B24/2)-1)),0)</f>
        <v>#VALUE!</v>
      </c>
      <c r="D28" s="465"/>
      <c r="E28" s="466"/>
      <c r="F28" s="467"/>
      <c r="G28" s="2392" t="str">
        <f>IF('数据-取费表'!B22&lt;=1,"（1）-（4）项×年利率×建设期÷2","（1）-（4）项×((1+年利率)^(建设期÷2)-1)")</f>
        <v>（1）-（4）项×((1+年利率)^(建设期÷2)-1)</v>
      </c>
      <c r="H28" s="2500"/>
      <c r="I28" s="2500"/>
      <c r="J28" s="2500"/>
      <c r="K28" s="277"/>
      <c r="L28" s="3161"/>
      <c r="M28" s="3161"/>
      <c r="N28" s="3161"/>
      <c r="O28" s="3161"/>
      <c r="P28" s="3161"/>
      <c r="Q28" s="3161"/>
      <c r="R28" s="3161"/>
      <c r="S28" s="3161"/>
      <c r="T28" s="3161"/>
      <c r="U28" s="3161"/>
      <c r="V28" s="3161"/>
      <c r="W28" s="3161"/>
      <c r="X28" s="3161"/>
      <c r="Y28" s="3161"/>
      <c r="Z28" s="3161"/>
    </row>
    <row r="29" spans="1:26" s="1974" customFormat="1" ht="13.5" customHeight="1">
      <c r="A29" s="2546" t="s">
        <v>1837</v>
      </c>
      <c r="B29" s="2536" t="s">
        <v>489</v>
      </c>
      <c r="C29" s="2537">
        <f>ROUND(C6*F29/(1+'数据-取费表'!C42),0)</f>
        <v>0</v>
      </c>
      <c r="D29" s="461"/>
      <c r="E29" s="461"/>
      <c r="F29" s="2716">
        <f>'数据-取费表'!B41</f>
        <v>5.5000000000000007E-2</v>
      </c>
      <c r="G29" s="2506" t="s">
        <v>490</v>
      </c>
      <c r="H29" s="2498"/>
      <c r="I29" s="2498"/>
      <c r="J29" s="2498"/>
      <c r="K29" s="2499"/>
      <c r="L29" s="3161"/>
      <c r="M29" s="3161"/>
      <c r="N29" s="3161"/>
      <c r="O29" s="3161"/>
      <c r="P29" s="3161"/>
      <c r="Q29" s="3161"/>
      <c r="R29" s="3161"/>
      <c r="S29" s="3161"/>
      <c r="T29" s="3161"/>
      <c r="U29" s="3161"/>
      <c r="V29" s="3161"/>
      <c r="W29" s="3161"/>
      <c r="X29" s="3161"/>
      <c r="Y29" s="3161"/>
      <c r="Z29" s="3161"/>
    </row>
    <row r="30" spans="1:26" s="1975" customFormat="1" ht="13.5" customHeight="1">
      <c r="A30" s="1538" t="s">
        <v>1838</v>
      </c>
      <c r="B30" s="2547" t="s">
        <v>492</v>
      </c>
      <c r="C30" s="2542" t="e">
        <f ca="1">C31</f>
        <v>#VALUE!</v>
      </c>
      <c r="D30" s="470">
        <f ca="1">C32</f>
        <v>3.0499999999999999E-2</v>
      </c>
      <c r="E30" s="462" t="s">
        <v>487</v>
      </c>
      <c r="F30" s="464"/>
      <c r="G30" s="2505" t="s">
        <v>2897</v>
      </c>
      <c r="H30" s="2498"/>
      <c r="I30" s="2498"/>
      <c r="J30" s="2498"/>
      <c r="K30" s="2499"/>
      <c r="L30" s="3162"/>
      <c r="M30" s="3162"/>
      <c r="N30" s="3162"/>
      <c r="O30" s="3162"/>
      <c r="P30" s="3162"/>
      <c r="Q30" s="3162"/>
      <c r="R30" s="3162"/>
      <c r="S30" s="3162"/>
      <c r="T30" s="3162"/>
      <c r="U30" s="3162"/>
      <c r="V30" s="3162"/>
      <c r="W30" s="3162"/>
      <c r="X30" s="3162"/>
      <c r="Y30" s="3162"/>
      <c r="Z30" s="3162"/>
    </row>
    <row r="31" spans="1:26" s="1974" customFormat="1" ht="13.5" customHeight="1">
      <c r="A31" s="775" t="s">
        <v>1831</v>
      </c>
      <c r="B31" s="2543"/>
      <c r="C31" s="443" t="e">
        <f ca="1">C18+C19+C20+C23+C24+C26+C29</f>
        <v>#VALUE!</v>
      </c>
      <c r="D31" s="465"/>
      <c r="E31" s="466"/>
      <c r="F31" s="467"/>
      <c r="G31" s="259"/>
      <c r="H31" s="2500"/>
      <c r="I31" s="2500"/>
      <c r="J31" s="2500"/>
      <c r="K31" s="277"/>
      <c r="L31" s="3161"/>
      <c r="M31" s="3161"/>
      <c r="N31" s="3161"/>
      <c r="O31" s="3161"/>
      <c r="P31" s="3161"/>
      <c r="Q31" s="3161"/>
      <c r="R31" s="3161"/>
      <c r="S31" s="3161"/>
      <c r="T31" s="3161"/>
      <c r="U31" s="3161"/>
      <c r="V31" s="3161"/>
      <c r="W31" s="3161"/>
      <c r="X31" s="3161"/>
      <c r="Y31" s="3161"/>
      <c r="Z31" s="3161"/>
    </row>
    <row r="32" spans="1:26" s="1974" customFormat="1" ht="13.5" customHeight="1">
      <c r="A32" s="775" t="s">
        <v>1832</v>
      </c>
      <c r="B32" s="2543"/>
      <c r="C32" s="53">
        <f ca="1">ROUND(C25+D26,4)</f>
        <v>3.0499999999999999E-2</v>
      </c>
      <c r="D32" s="465"/>
      <c r="E32" s="466"/>
      <c r="F32" s="467"/>
      <c r="G32" s="259"/>
      <c r="H32" s="2500"/>
      <c r="I32" s="2500"/>
      <c r="J32" s="2500"/>
      <c r="K32" s="277"/>
      <c r="L32" s="3161"/>
      <c r="M32" s="3161"/>
      <c r="N32" s="3161"/>
      <c r="O32" s="3161"/>
      <c r="P32" s="3161"/>
      <c r="Q32" s="3161"/>
      <c r="R32" s="3161"/>
      <c r="S32" s="3161"/>
      <c r="T32" s="3161"/>
      <c r="U32" s="3161"/>
      <c r="V32" s="3161"/>
      <c r="W32" s="3161"/>
      <c r="X32" s="3161"/>
      <c r="Y32" s="3161"/>
      <c r="Z32" s="3161"/>
    </row>
    <row r="33" spans="1:26" s="1976" customFormat="1" ht="13.5" customHeight="1">
      <c r="A33" s="2713" t="s">
        <v>2782</v>
      </c>
      <c r="B33" s="2711" t="s">
        <v>2781</v>
      </c>
      <c r="C33" s="471" t="e">
        <f ca="1">C35</f>
        <v>#VALUE!</v>
      </c>
      <c r="D33" s="460">
        <f ca="1">C34</f>
        <v>0.1237</v>
      </c>
      <c r="E33" s="462" t="s">
        <v>487</v>
      </c>
      <c r="F33" s="472">
        <f ca="1">IF(B1="",'数据-取费表'!Q16,INDIRECT("'数据-取费表'!q"&amp;$K$1))</f>
        <v>0.12</v>
      </c>
      <c r="G33" s="2501"/>
      <c r="H33" s="2502"/>
      <c r="I33" s="2502"/>
      <c r="J33" s="2502"/>
      <c r="K33" s="2503"/>
      <c r="L33" s="3163"/>
      <c r="M33" s="3163"/>
      <c r="N33" s="3163"/>
      <c r="O33" s="3163"/>
      <c r="P33" s="3163"/>
      <c r="Q33" s="3163"/>
      <c r="R33" s="3163"/>
      <c r="S33" s="3163"/>
      <c r="T33" s="3163"/>
      <c r="U33" s="3163"/>
      <c r="V33" s="3163"/>
      <c r="W33" s="3163"/>
      <c r="X33" s="3163"/>
      <c r="Y33" s="3163"/>
      <c r="Z33" s="3163"/>
    </row>
    <row r="34" spans="1:26" s="1977" customFormat="1" ht="13.5" customHeight="1">
      <c r="A34" s="369" t="s">
        <v>1831</v>
      </c>
      <c r="B34" s="2548" t="s">
        <v>493</v>
      </c>
      <c r="C34" s="465">
        <f ca="1">ROUND((1+C25)*F33,4)</f>
        <v>0.1237</v>
      </c>
      <c r="D34" s="465"/>
      <c r="E34" s="466"/>
      <c r="F34" s="473"/>
      <c r="G34" s="259" t="s">
        <v>2256</v>
      </c>
      <c r="H34" s="2500"/>
      <c r="I34" s="2500"/>
      <c r="J34" s="2500"/>
      <c r="K34" s="277"/>
      <c r="L34" s="3164"/>
      <c r="M34" s="3164"/>
      <c r="N34" s="3164"/>
      <c r="O34" s="3164"/>
      <c r="P34" s="3164"/>
      <c r="Q34" s="3164"/>
      <c r="R34" s="3164"/>
      <c r="S34" s="3164"/>
      <c r="T34" s="3164"/>
      <c r="U34" s="3164"/>
      <c r="V34" s="3164"/>
      <c r="W34" s="3164"/>
      <c r="X34" s="3164"/>
      <c r="Y34" s="3164"/>
      <c r="Z34" s="3164"/>
    </row>
    <row r="35" spans="1:26" s="1977" customFormat="1" ht="13.5" customHeight="1" thickBot="1">
      <c r="A35" s="1539" t="s">
        <v>1832</v>
      </c>
      <c r="B35" s="2712" t="s">
        <v>2788</v>
      </c>
      <c r="C35" s="1531" t="e">
        <f ca="1">ROUND((C18+C19+C20+C23+C24)*F33,0)</f>
        <v>#VALUE!</v>
      </c>
      <c r="D35" s="1532"/>
      <c r="E35" s="2549"/>
      <c r="F35" s="1533"/>
      <c r="G35" s="2507"/>
      <c r="H35" s="2508"/>
      <c r="I35" s="2508"/>
      <c r="J35" s="2508"/>
      <c r="K35" s="2509"/>
      <c r="L35" s="3164"/>
      <c r="M35" s="3164"/>
      <c r="N35" s="3164"/>
      <c r="O35" s="3164"/>
      <c r="P35" s="3164"/>
      <c r="Q35" s="3164"/>
      <c r="R35" s="3164"/>
      <c r="S35" s="3164"/>
      <c r="T35" s="3164"/>
      <c r="U35" s="3164"/>
      <c r="V35" s="3164"/>
      <c r="W35" s="3164"/>
      <c r="X35" s="3164"/>
      <c r="Y35" s="3164"/>
      <c r="Z35" s="3164"/>
    </row>
    <row r="36" spans="1:26" s="1939" customFormat="1" ht="13.5" customHeight="1" thickBot="1">
      <c r="A36" s="282" t="s">
        <v>1819</v>
      </c>
      <c r="B36" s="2511"/>
      <c r="C36" s="2550" t="e">
        <f ca="1">ROUND((C6-C30-C33)/(1+D30+D33),0)</f>
        <v>#VALUE!</v>
      </c>
      <c r="D36" s="2511"/>
      <c r="E36" s="2511"/>
      <c r="F36" s="2511"/>
      <c r="G36" s="2510" t="s">
        <v>2789</v>
      </c>
      <c r="H36" s="2511"/>
      <c r="I36" s="2511"/>
      <c r="J36" s="2511"/>
      <c r="K36" s="2512"/>
      <c r="L36" s="3158"/>
      <c r="M36" s="3158"/>
      <c r="N36" s="3158"/>
      <c r="O36" s="3158"/>
      <c r="P36" s="3158"/>
      <c r="Q36" s="3158"/>
      <c r="R36" s="3158"/>
      <c r="S36" s="3158"/>
      <c r="T36" s="3158"/>
      <c r="U36" s="3158"/>
      <c r="V36" s="3158"/>
      <c r="W36" s="3158"/>
      <c r="X36" s="3158"/>
      <c r="Y36" s="3158"/>
      <c r="Z36" s="3158"/>
    </row>
    <row r="37" spans="1:26" s="1969" customFormat="1">
      <c r="A37" s="3165"/>
      <c r="C37" s="3166"/>
      <c r="E37" s="3165"/>
    </row>
    <row r="38" spans="1:26" s="1969" customFormat="1" ht="12.75" customHeight="1">
      <c r="A38" s="3165"/>
      <c r="C38" s="3166"/>
      <c r="E38" s="3165"/>
    </row>
    <row r="39" spans="1:26" s="1969" customFormat="1">
      <c r="A39" s="3165"/>
      <c r="C39" s="3166"/>
      <c r="E39" s="3165"/>
    </row>
    <row r="40" spans="1:26" s="1969" customFormat="1">
      <c r="A40" s="3165"/>
      <c r="C40" s="3166"/>
      <c r="E40" s="3165"/>
    </row>
    <row r="41" spans="1:26" s="1969" customFormat="1">
      <c r="A41" s="3165"/>
      <c r="C41" s="3166"/>
      <c r="E41" s="3165"/>
    </row>
    <row r="42" spans="1:26" s="1969" customFormat="1">
      <c r="A42" s="3165"/>
      <c r="C42" s="3166"/>
      <c r="E42" s="3165"/>
    </row>
    <row r="43" spans="1:26" s="1969" customFormat="1">
      <c r="A43" s="3165"/>
      <c r="C43" s="3166"/>
      <c r="E43" s="3165"/>
    </row>
    <row r="44" spans="1:26" s="1969" customFormat="1">
      <c r="A44" s="3165"/>
      <c r="C44" s="3166"/>
      <c r="E44" s="3165"/>
    </row>
    <row r="45" spans="1:26" s="1969" customFormat="1">
      <c r="A45" s="3165"/>
      <c r="C45" s="3166"/>
      <c r="E45" s="3165"/>
    </row>
    <row r="46" spans="1:26" s="1969" customFormat="1">
      <c r="A46" s="3165"/>
      <c r="C46" s="3166"/>
      <c r="E46" s="3165"/>
    </row>
    <row r="47" spans="1:26" s="1969" customFormat="1">
      <c r="A47" s="3165"/>
      <c r="C47" s="3166"/>
      <c r="E47" s="3165"/>
    </row>
    <row r="48" spans="1:26" s="1969" customFormat="1">
      <c r="A48" s="3165"/>
      <c r="C48" s="3166"/>
      <c r="E48" s="3165"/>
    </row>
    <row r="49" spans="1:5" s="1969" customFormat="1">
      <c r="A49" s="3165"/>
      <c r="C49" s="3166"/>
      <c r="E49" s="3165"/>
    </row>
    <row r="50" spans="1:5" s="1969" customFormat="1">
      <c r="A50" s="3165"/>
      <c r="C50" s="3166"/>
      <c r="E50" s="3165"/>
    </row>
    <row r="51" spans="1:5" s="1969" customFormat="1">
      <c r="A51" s="3165"/>
      <c r="C51" s="3166"/>
      <c r="E51" s="3165"/>
    </row>
    <row r="52" spans="1:5" s="1969" customFormat="1">
      <c r="A52" s="3165"/>
      <c r="C52" s="3166"/>
      <c r="E52" s="3165"/>
    </row>
    <row r="53" spans="1:5" s="1969" customFormat="1">
      <c r="A53" s="3165"/>
      <c r="C53" s="3166"/>
      <c r="E53" s="3165"/>
    </row>
    <row r="54" spans="1:5" s="1969" customFormat="1">
      <c r="A54" s="3165"/>
      <c r="C54" s="3166"/>
      <c r="E54" s="3165"/>
    </row>
    <row r="55" spans="1:5" s="1969" customFormat="1">
      <c r="A55" s="3165"/>
      <c r="C55" s="3166"/>
      <c r="E55" s="3165"/>
    </row>
    <row r="56" spans="1:5" s="1969" customFormat="1">
      <c r="A56" s="3165"/>
      <c r="C56" s="3166"/>
      <c r="E56" s="3165"/>
    </row>
    <row r="57" spans="1:5" s="1969" customFormat="1">
      <c r="A57" s="3165"/>
      <c r="C57" s="3166"/>
      <c r="E57" s="3165"/>
    </row>
    <row r="58" spans="1:5" s="1969" customFormat="1">
      <c r="A58" s="3165"/>
      <c r="C58" s="3166"/>
      <c r="E58" s="3165"/>
    </row>
    <row r="59" spans="1:5" s="1969" customFormat="1">
      <c r="A59" s="3165"/>
      <c r="C59" s="3166"/>
      <c r="E59" s="3165"/>
    </row>
    <row r="60" spans="1:5" s="1969" customFormat="1">
      <c r="A60" s="3165"/>
      <c r="C60" s="3166"/>
      <c r="E60" s="3165"/>
    </row>
    <row r="61" spans="1:5" s="1969" customFormat="1">
      <c r="A61" s="3165"/>
      <c r="C61" s="3166"/>
      <c r="E61" s="3165"/>
    </row>
    <row r="62" spans="1:5" s="1969" customFormat="1">
      <c r="A62" s="3165"/>
      <c r="C62" s="3166"/>
      <c r="E62" s="3165"/>
    </row>
    <row r="63" spans="1:5" s="1969" customFormat="1">
      <c r="A63" s="3165"/>
      <c r="C63" s="3166"/>
      <c r="E63" s="3165"/>
    </row>
    <row r="64" spans="1:5" s="1969" customFormat="1">
      <c r="A64" s="3165"/>
      <c r="C64" s="3166"/>
      <c r="E64" s="3165"/>
    </row>
    <row r="65" spans="1:5" s="1969" customFormat="1">
      <c r="A65" s="3165"/>
      <c r="C65" s="3166"/>
      <c r="E65" s="3165"/>
    </row>
    <row r="66" spans="1:5" s="1969" customFormat="1">
      <c r="A66" s="3165"/>
      <c r="C66" s="3166"/>
      <c r="E66" s="3165"/>
    </row>
    <row r="67" spans="1:5" s="1969" customFormat="1">
      <c r="A67" s="3165"/>
      <c r="C67" s="3166"/>
      <c r="E67" s="3165"/>
    </row>
    <row r="68" spans="1:5" s="1969" customFormat="1">
      <c r="A68" s="3165"/>
      <c r="C68" s="3166"/>
      <c r="E68" s="3165"/>
    </row>
    <row r="69" spans="1:5" s="1969" customFormat="1">
      <c r="A69" s="3165"/>
      <c r="C69" s="3166"/>
      <c r="E69" s="3165"/>
    </row>
    <row r="70" spans="1:5" s="1969" customFormat="1">
      <c r="A70" s="3165"/>
      <c r="C70" s="3166"/>
      <c r="E70" s="3165"/>
    </row>
    <row r="71" spans="1:5" s="1969" customFormat="1">
      <c r="A71" s="3165"/>
      <c r="C71" s="3166"/>
      <c r="E71" s="3165"/>
    </row>
    <row r="72" spans="1:5" s="1969" customFormat="1">
      <c r="A72" s="3165"/>
      <c r="C72" s="3166"/>
      <c r="E72" s="3165"/>
    </row>
    <row r="73" spans="1:5" s="1969" customFormat="1">
      <c r="A73" s="3165"/>
      <c r="C73" s="3166"/>
      <c r="E73" s="3165"/>
    </row>
    <row r="74" spans="1:5" s="1969" customFormat="1">
      <c r="A74" s="3165"/>
      <c r="C74" s="3166"/>
      <c r="E74" s="3165"/>
    </row>
    <row r="75" spans="1:5" s="1969" customFormat="1">
      <c r="A75" s="3165"/>
      <c r="C75" s="3166"/>
      <c r="E75" s="3165"/>
    </row>
    <row r="76" spans="1:5" s="1969" customFormat="1">
      <c r="A76" s="3165"/>
      <c r="C76" s="3166"/>
      <c r="E76" s="3165"/>
    </row>
    <row r="77" spans="1:5" s="1969" customFormat="1">
      <c r="A77" s="3165"/>
      <c r="C77" s="3166"/>
      <c r="E77" s="3165"/>
    </row>
    <row r="78" spans="1:5" s="1969" customFormat="1">
      <c r="A78" s="3165"/>
      <c r="C78" s="3166"/>
      <c r="E78" s="3165"/>
    </row>
    <row r="79" spans="1:5" s="1969" customFormat="1">
      <c r="A79" s="3165"/>
      <c r="C79" s="3166"/>
      <c r="E79" s="3165"/>
    </row>
    <row r="80" spans="1:5" s="1969" customFormat="1">
      <c r="A80" s="3165"/>
      <c r="C80" s="3166"/>
      <c r="E80" s="3165"/>
    </row>
    <row r="81" spans="1:5" s="1969" customFormat="1">
      <c r="A81" s="3165"/>
      <c r="C81" s="3166"/>
      <c r="E81" s="3165"/>
    </row>
    <row r="82" spans="1:5" s="1969" customFormat="1">
      <c r="A82" s="3165"/>
      <c r="C82" s="3166"/>
      <c r="E82" s="3165"/>
    </row>
    <row r="83" spans="1:5" s="1969" customFormat="1">
      <c r="A83" s="3165"/>
      <c r="C83" s="3166"/>
      <c r="E83" s="3165"/>
    </row>
    <row r="84" spans="1:5" s="1969" customFormat="1">
      <c r="A84" s="3165"/>
      <c r="C84" s="3166"/>
      <c r="E84" s="3165"/>
    </row>
    <row r="85" spans="1:5" s="1969" customFormat="1">
      <c r="A85" s="3165"/>
      <c r="C85" s="3166"/>
      <c r="E85" s="3165"/>
    </row>
    <row r="86" spans="1:5" s="1969" customFormat="1">
      <c r="A86" s="3165"/>
      <c r="C86" s="3166"/>
      <c r="E86" s="3165"/>
    </row>
    <row r="87" spans="1:5" s="1969" customFormat="1">
      <c r="A87" s="3165"/>
      <c r="C87" s="3166"/>
      <c r="E87" s="3165"/>
    </row>
    <row r="88" spans="1:5" s="1969" customFormat="1">
      <c r="A88" s="3165"/>
      <c r="C88" s="3166"/>
      <c r="E88" s="3165"/>
    </row>
    <row r="89" spans="1:5" s="1969" customFormat="1">
      <c r="A89" s="3165"/>
      <c r="C89" s="3166"/>
      <c r="E89" s="3165"/>
    </row>
    <row r="90" spans="1:5" s="1969" customFormat="1">
      <c r="A90" s="3165"/>
      <c r="C90" s="3166"/>
      <c r="E90" s="3165"/>
    </row>
    <row r="91" spans="1:5" s="1969" customFormat="1">
      <c r="A91" s="3165"/>
      <c r="C91" s="3166"/>
      <c r="E91" s="3165"/>
    </row>
    <row r="92" spans="1:5" s="1969" customFormat="1">
      <c r="A92" s="3165"/>
      <c r="C92" s="3166"/>
      <c r="E92" s="3165"/>
    </row>
    <row r="93" spans="1:5" s="1969" customFormat="1">
      <c r="A93" s="3165"/>
      <c r="C93" s="3166"/>
      <c r="E93" s="3165"/>
    </row>
    <row r="94" spans="1:5" s="1969" customFormat="1">
      <c r="A94" s="3165"/>
      <c r="C94" s="3166"/>
      <c r="E94" s="3165"/>
    </row>
    <row r="95" spans="1:5" s="1969" customFormat="1">
      <c r="A95" s="3165"/>
      <c r="C95" s="3166"/>
      <c r="E95" s="3165"/>
    </row>
    <row r="96" spans="1:5" s="1969" customFormat="1">
      <c r="A96" s="3165"/>
      <c r="C96" s="3166"/>
      <c r="E96" s="3165"/>
    </row>
    <row r="97" spans="1:5" s="1969" customFormat="1">
      <c r="A97" s="3165"/>
      <c r="C97" s="3166"/>
      <c r="E97" s="3165"/>
    </row>
    <row r="98" spans="1:5" s="1969" customFormat="1">
      <c r="A98" s="3165"/>
      <c r="C98" s="3166"/>
      <c r="E98" s="3165"/>
    </row>
    <row r="99" spans="1:5" s="1969" customFormat="1">
      <c r="A99" s="3165"/>
      <c r="C99" s="3166"/>
      <c r="E99" s="3165"/>
    </row>
    <row r="100" spans="1:5" s="1969" customFormat="1">
      <c r="A100" s="3165"/>
      <c r="C100" s="3166"/>
      <c r="E100" s="3165"/>
    </row>
    <row r="101" spans="1:5" s="1969" customFormat="1">
      <c r="A101" s="3165"/>
      <c r="C101" s="3166"/>
      <c r="E101" s="3165"/>
    </row>
    <row r="102" spans="1:5" s="1969" customFormat="1">
      <c r="A102" s="3165"/>
      <c r="C102" s="3166"/>
      <c r="E102" s="3165"/>
    </row>
    <row r="103" spans="1:5" s="1969" customFormat="1">
      <c r="A103" s="3165"/>
      <c r="C103" s="3166"/>
      <c r="E103" s="3165"/>
    </row>
    <row r="104" spans="1:5" s="1969" customFormat="1">
      <c r="A104" s="3165"/>
      <c r="C104" s="3166"/>
      <c r="E104" s="3165"/>
    </row>
    <row r="105" spans="1:5" s="1969" customFormat="1">
      <c r="A105" s="3165"/>
      <c r="C105" s="3166"/>
      <c r="E105" s="3165"/>
    </row>
    <row r="106" spans="1:5" s="1969" customFormat="1">
      <c r="A106" s="3165"/>
      <c r="C106" s="3166"/>
      <c r="E106" s="3165"/>
    </row>
    <row r="107" spans="1:5" s="1969" customFormat="1">
      <c r="A107" s="3165"/>
      <c r="C107" s="3166"/>
      <c r="E107" s="3165"/>
    </row>
    <row r="108" spans="1:5" s="1969" customFormat="1">
      <c r="A108" s="3165"/>
      <c r="C108" s="3166"/>
      <c r="E108" s="3165"/>
    </row>
    <row r="109" spans="1:5" s="1969" customFormat="1">
      <c r="A109" s="3165"/>
      <c r="C109" s="3166"/>
      <c r="E109" s="3165"/>
    </row>
    <row r="110" spans="1:5" s="1969" customFormat="1">
      <c r="A110" s="3165"/>
      <c r="C110" s="3166"/>
      <c r="E110" s="3165"/>
    </row>
    <row r="111" spans="1:5" s="1969" customFormat="1">
      <c r="A111" s="3165"/>
      <c r="C111" s="3166"/>
      <c r="E111" s="3165"/>
    </row>
    <row r="112" spans="1:5" s="1969" customFormat="1">
      <c r="A112" s="3165"/>
      <c r="C112" s="3166"/>
      <c r="E112" s="3165"/>
    </row>
    <row r="113" spans="1:5" s="1969" customFormat="1">
      <c r="A113" s="3165"/>
      <c r="C113" s="3166"/>
      <c r="E113" s="3165"/>
    </row>
    <row r="114" spans="1:5" s="1969" customFormat="1">
      <c r="A114" s="3165"/>
      <c r="C114" s="3166"/>
      <c r="E114" s="3165"/>
    </row>
    <row r="115" spans="1:5" s="1969" customFormat="1">
      <c r="A115" s="3165"/>
      <c r="C115" s="3166"/>
      <c r="E115" s="3165"/>
    </row>
    <row r="116" spans="1:5" s="1969" customFormat="1">
      <c r="A116" s="3165"/>
      <c r="C116" s="3166"/>
      <c r="E116" s="3165"/>
    </row>
    <row r="117" spans="1:5" s="1969" customFormat="1">
      <c r="A117" s="3165"/>
      <c r="C117" s="3166"/>
      <c r="E117" s="3165"/>
    </row>
    <row r="118" spans="1:5" s="1969" customFormat="1">
      <c r="A118" s="3165"/>
      <c r="C118" s="3166"/>
      <c r="E118" s="3165"/>
    </row>
    <row r="119" spans="1:5" s="1969" customFormat="1">
      <c r="A119" s="3165"/>
      <c r="C119" s="3166"/>
      <c r="E119" s="3165"/>
    </row>
    <row r="120" spans="1:5" s="1969" customFormat="1">
      <c r="A120" s="3165"/>
      <c r="C120" s="3166"/>
      <c r="E120" s="3165"/>
    </row>
    <row r="121" spans="1:5" s="1969" customFormat="1">
      <c r="A121" s="3165"/>
      <c r="C121" s="3166"/>
      <c r="E121" s="3165"/>
    </row>
    <row r="122" spans="1:5" s="1969" customFormat="1">
      <c r="A122" s="3165"/>
      <c r="C122" s="3166"/>
      <c r="E122" s="3165"/>
    </row>
    <row r="123" spans="1:5" s="1969" customFormat="1">
      <c r="A123" s="3165"/>
      <c r="C123" s="3166"/>
      <c r="E123" s="3165"/>
    </row>
    <row r="124" spans="1:5" s="1969" customFormat="1">
      <c r="A124" s="3165"/>
      <c r="C124" s="3166"/>
      <c r="E124" s="3165"/>
    </row>
    <row r="125" spans="1:5" s="1969" customFormat="1">
      <c r="A125" s="3165"/>
      <c r="C125" s="3166"/>
      <c r="E125" s="3165"/>
    </row>
    <row r="126" spans="1:5" s="1969" customFormat="1">
      <c r="A126" s="3165"/>
      <c r="C126" s="3166"/>
      <c r="E126" s="3165"/>
    </row>
    <row r="127" spans="1:5" s="1969" customFormat="1">
      <c r="A127" s="3165"/>
      <c r="C127" s="3166"/>
      <c r="E127" s="3165"/>
    </row>
    <row r="128" spans="1:5" s="1969" customFormat="1">
      <c r="A128" s="3165"/>
      <c r="C128" s="3166"/>
      <c r="E128" s="3165"/>
    </row>
    <row r="129" spans="1:5" s="1969" customFormat="1">
      <c r="A129" s="3165"/>
      <c r="C129" s="3166"/>
      <c r="E129" s="3165"/>
    </row>
    <row r="130" spans="1:5" s="1969" customFormat="1">
      <c r="A130" s="3165"/>
      <c r="C130" s="3166"/>
      <c r="E130" s="3165"/>
    </row>
    <row r="131" spans="1:5" s="1969" customFormat="1">
      <c r="A131" s="3165"/>
      <c r="C131" s="3166"/>
      <c r="E131" s="3165"/>
    </row>
    <row r="132" spans="1:5" s="1969" customFormat="1">
      <c r="A132" s="3165"/>
      <c r="C132" s="3166"/>
      <c r="E132" s="3165"/>
    </row>
    <row r="133" spans="1:5" s="1969" customFormat="1">
      <c r="A133" s="3165"/>
      <c r="C133" s="3166"/>
      <c r="E133" s="3165"/>
    </row>
    <row r="134" spans="1:5" s="1969" customFormat="1">
      <c r="A134" s="3165"/>
      <c r="C134" s="3166"/>
      <c r="E134" s="3165"/>
    </row>
    <row r="135" spans="1:5" s="1969" customFormat="1">
      <c r="A135" s="3165"/>
      <c r="C135" s="3166"/>
      <c r="E135" s="3165"/>
    </row>
    <row r="136" spans="1:5" s="1969" customFormat="1">
      <c r="A136" s="3165"/>
      <c r="C136" s="3166"/>
      <c r="E136" s="3165"/>
    </row>
    <row r="137" spans="1:5" s="1969" customFormat="1">
      <c r="A137" s="3165"/>
      <c r="C137" s="3166"/>
      <c r="E137" s="3165"/>
    </row>
    <row r="138" spans="1:5" s="1969" customFormat="1">
      <c r="A138" s="3165"/>
      <c r="C138" s="3166"/>
      <c r="E138" s="3165"/>
    </row>
    <row r="139" spans="1:5" s="1969" customFormat="1">
      <c r="A139" s="3165"/>
      <c r="C139" s="3166"/>
      <c r="E139" s="3165"/>
    </row>
    <row r="140" spans="1:5" s="1969" customFormat="1">
      <c r="A140" s="3165"/>
      <c r="C140" s="3166"/>
      <c r="E140" s="3165"/>
    </row>
    <row r="141" spans="1:5" s="1969" customFormat="1">
      <c r="A141" s="3165"/>
      <c r="C141" s="3166"/>
      <c r="E141" s="3165"/>
    </row>
    <row r="142" spans="1:5" s="1969" customFormat="1">
      <c r="A142" s="3165"/>
      <c r="C142" s="3166"/>
      <c r="E142" s="3165"/>
    </row>
    <row r="143" spans="1:5" s="1969" customFormat="1">
      <c r="A143" s="3165"/>
      <c r="C143" s="3166"/>
      <c r="E143" s="3165"/>
    </row>
    <row r="144" spans="1:5" s="1969" customFormat="1">
      <c r="A144" s="3165"/>
      <c r="C144" s="3166"/>
      <c r="E144" s="3165"/>
    </row>
    <row r="145" spans="1:5" s="1969" customFormat="1">
      <c r="A145" s="3165"/>
      <c r="C145" s="3166"/>
      <c r="E145" s="3165"/>
    </row>
    <row r="146" spans="1:5" s="1969" customFormat="1">
      <c r="A146" s="3165"/>
      <c r="C146" s="3166"/>
      <c r="E146" s="3165"/>
    </row>
    <row r="147" spans="1:5" s="1969" customFormat="1">
      <c r="A147" s="3165"/>
      <c r="C147" s="3166"/>
      <c r="E147" s="3165"/>
    </row>
    <row r="148" spans="1:5" s="1969" customFormat="1">
      <c r="A148" s="3165"/>
      <c r="C148" s="3166"/>
      <c r="E148" s="3165"/>
    </row>
    <row r="149" spans="1:5" s="1969" customFormat="1">
      <c r="A149" s="3165"/>
      <c r="C149" s="3166"/>
      <c r="E149" s="3165"/>
    </row>
    <row r="150" spans="1:5" s="1969" customFormat="1">
      <c r="A150" s="3165"/>
      <c r="C150" s="3166"/>
      <c r="E150" s="3165"/>
    </row>
    <row r="151" spans="1:5" s="1969" customFormat="1">
      <c r="A151" s="3165"/>
      <c r="C151" s="3166"/>
      <c r="E151" s="3165"/>
    </row>
    <row r="152" spans="1:5" s="1969" customFormat="1">
      <c r="A152" s="3165"/>
      <c r="C152" s="3166"/>
      <c r="E152" s="3165"/>
    </row>
    <row r="153" spans="1:5" s="1969" customFormat="1">
      <c r="A153" s="3165"/>
      <c r="C153" s="3166"/>
      <c r="E153" s="3165"/>
    </row>
    <row r="154" spans="1:5" s="1969" customFormat="1">
      <c r="A154" s="3165"/>
      <c r="C154" s="3166"/>
      <c r="E154" s="3165"/>
    </row>
    <row r="155" spans="1:5" s="1969" customFormat="1">
      <c r="A155" s="3165"/>
      <c r="C155" s="3166"/>
      <c r="E155" s="3165"/>
    </row>
    <row r="156" spans="1:5" s="1969" customFormat="1">
      <c r="A156" s="3165"/>
      <c r="C156" s="3166"/>
      <c r="E156" s="3165"/>
    </row>
    <row r="157" spans="1:5" s="1969" customFormat="1">
      <c r="A157" s="3165"/>
      <c r="C157" s="3166"/>
      <c r="E157" s="3165"/>
    </row>
    <row r="158" spans="1:5" s="1969" customFormat="1">
      <c r="A158" s="3165"/>
      <c r="C158" s="3166"/>
      <c r="E158" s="3165"/>
    </row>
    <row r="159" spans="1:5" s="1969" customFormat="1">
      <c r="A159" s="3165"/>
      <c r="C159" s="3166"/>
      <c r="E159" s="3165"/>
    </row>
    <row r="160" spans="1:5" s="1969" customFormat="1">
      <c r="A160" s="3165"/>
      <c r="C160" s="3166"/>
      <c r="E160" s="3165"/>
    </row>
    <row r="161" spans="1:5" s="1969" customFormat="1">
      <c r="A161" s="3165"/>
      <c r="C161" s="3166"/>
      <c r="E161" s="3165"/>
    </row>
    <row r="162" spans="1:5" s="1969" customFormat="1">
      <c r="A162" s="3165"/>
      <c r="C162" s="3166"/>
      <c r="E162" s="3165"/>
    </row>
    <row r="163" spans="1:5" s="1969" customFormat="1">
      <c r="A163" s="3165"/>
      <c r="C163" s="3166"/>
      <c r="E163" s="3165"/>
    </row>
    <row r="164" spans="1:5" s="1969" customFormat="1">
      <c r="A164" s="3165"/>
      <c r="C164" s="3166"/>
      <c r="E164" s="3165"/>
    </row>
    <row r="165" spans="1:5" s="1969" customFormat="1">
      <c r="A165" s="3165"/>
      <c r="C165" s="3166"/>
      <c r="E165" s="3165"/>
    </row>
    <row r="166" spans="1:5" s="1969" customFormat="1">
      <c r="A166" s="3165"/>
      <c r="C166" s="3166"/>
      <c r="E166" s="3165"/>
    </row>
    <row r="167" spans="1:5" s="1969" customFormat="1">
      <c r="A167" s="3165"/>
      <c r="C167" s="3166"/>
      <c r="E167" s="3165"/>
    </row>
    <row r="168" spans="1:5" s="1969" customFormat="1">
      <c r="A168" s="3165"/>
      <c r="C168" s="3166"/>
      <c r="E168" s="3165"/>
    </row>
    <row r="169" spans="1:5" s="1969" customFormat="1">
      <c r="A169" s="3165"/>
      <c r="C169" s="3166"/>
      <c r="E169" s="3165"/>
    </row>
    <row r="170" spans="1:5" s="1969" customFormat="1">
      <c r="A170" s="3165"/>
      <c r="C170" s="3166"/>
      <c r="E170" s="3165"/>
    </row>
    <row r="171" spans="1:5" s="1969" customFormat="1">
      <c r="A171" s="3165"/>
      <c r="C171" s="3166"/>
      <c r="E171" s="3165"/>
    </row>
    <row r="172" spans="1:5" s="1969" customFormat="1">
      <c r="A172" s="3165"/>
      <c r="C172" s="3166"/>
      <c r="E172" s="3165"/>
    </row>
    <row r="173" spans="1:5" s="1969" customFormat="1">
      <c r="A173" s="3165"/>
      <c r="C173" s="3166"/>
      <c r="E173" s="3165"/>
    </row>
    <row r="174" spans="1:5" s="1969" customFormat="1">
      <c r="A174" s="3165"/>
      <c r="C174" s="3166"/>
      <c r="E174" s="3165"/>
    </row>
    <row r="175" spans="1:5" s="1969" customFormat="1">
      <c r="A175" s="3165"/>
      <c r="C175" s="3166"/>
      <c r="E175" s="3165"/>
    </row>
    <row r="176" spans="1:5" s="1969" customFormat="1">
      <c r="A176" s="3165"/>
      <c r="C176" s="3166"/>
      <c r="E176" s="3165"/>
    </row>
    <row r="177" spans="1:5" s="1969" customFormat="1">
      <c r="A177" s="3165"/>
      <c r="C177" s="3166"/>
      <c r="E177" s="3165"/>
    </row>
    <row r="178" spans="1:5" s="1969" customFormat="1">
      <c r="A178" s="3165"/>
      <c r="C178" s="3166"/>
      <c r="E178" s="3165"/>
    </row>
    <row r="179" spans="1:5" s="1969" customFormat="1">
      <c r="A179" s="3165"/>
      <c r="C179" s="3166"/>
      <c r="E179" s="3165"/>
    </row>
    <row r="180" spans="1:5" s="1969" customFormat="1">
      <c r="A180" s="3165"/>
      <c r="C180" s="3166"/>
      <c r="E180" s="3165"/>
    </row>
    <row r="181" spans="1:5" s="1969" customFormat="1">
      <c r="A181" s="3165"/>
      <c r="C181" s="3166"/>
      <c r="E181" s="3165"/>
    </row>
    <row r="182" spans="1:5" s="1969" customFormat="1">
      <c r="A182" s="3165"/>
      <c r="C182" s="3166"/>
      <c r="E182" s="3165"/>
    </row>
    <row r="183" spans="1:5" s="1969" customFormat="1">
      <c r="A183" s="3165"/>
      <c r="C183" s="3166"/>
      <c r="E183" s="3165"/>
    </row>
    <row r="184" spans="1:5" s="1969" customFormat="1">
      <c r="A184" s="3165"/>
      <c r="C184" s="3166"/>
      <c r="E184" s="3165"/>
    </row>
    <row r="185" spans="1:5" s="1969" customFormat="1">
      <c r="A185" s="3165"/>
      <c r="C185" s="3166"/>
      <c r="E185" s="3165"/>
    </row>
    <row r="186" spans="1:5" s="1969" customFormat="1">
      <c r="A186" s="3165"/>
      <c r="C186" s="3166"/>
      <c r="E186" s="3165"/>
    </row>
    <row r="187" spans="1:5" s="1969" customFormat="1">
      <c r="A187" s="3165"/>
      <c r="C187" s="3166"/>
      <c r="E187" s="3165"/>
    </row>
    <row r="188" spans="1:5" s="1969" customFormat="1">
      <c r="A188" s="3165"/>
      <c r="C188" s="3166"/>
      <c r="E188" s="3165"/>
    </row>
    <row r="189" spans="1:5" s="1969" customFormat="1">
      <c r="A189" s="3165"/>
      <c r="C189" s="3166"/>
      <c r="E189" s="3165"/>
    </row>
    <row r="190" spans="1:5" s="1969" customFormat="1">
      <c r="A190" s="3165"/>
      <c r="C190" s="3166"/>
      <c r="E190" s="3165"/>
    </row>
    <row r="191" spans="1:5" s="1969" customFormat="1">
      <c r="A191" s="3165"/>
      <c r="C191" s="3166"/>
      <c r="E191" s="3165"/>
    </row>
    <row r="192" spans="1:5" s="1969" customFormat="1">
      <c r="A192" s="3165"/>
      <c r="C192" s="3166"/>
      <c r="E192" s="3165"/>
    </row>
    <row r="193" spans="1:5" s="1969" customFormat="1">
      <c r="A193" s="3165"/>
      <c r="C193" s="3166"/>
      <c r="E193" s="3165"/>
    </row>
    <row r="194" spans="1:5" s="1969" customFormat="1">
      <c r="A194" s="3165"/>
      <c r="C194" s="3166"/>
      <c r="E194" s="3165"/>
    </row>
    <row r="195" spans="1:5" s="1969" customFormat="1">
      <c r="A195" s="3165"/>
      <c r="C195" s="3166"/>
      <c r="E195" s="3165"/>
    </row>
    <row r="196" spans="1:5" s="1969" customFormat="1">
      <c r="A196" s="3165"/>
      <c r="C196" s="3166"/>
      <c r="E196" s="3165"/>
    </row>
    <row r="197" spans="1:5" s="1969" customFormat="1">
      <c r="A197" s="3165"/>
      <c r="C197" s="3166"/>
      <c r="E197" s="3165"/>
    </row>
    <row r="198" spans="1:5" s="1969" customFormat="1">
      <c r="A198" s="3165"/>
      <c r="C198" s="3166"/>
      <c r="E198" s="3165"/>
    </row>
    <row r="199" spans="1:5" s="1969" customFormat="1">
      <c r="A199" s="3165"/>
      <c r="C199" s="3166"/>
      <c r="E199" s="3165"/>
    </row>
    <row r="200" spans="1:5" s="1969" customFormat="1">
      <c r="A200" s="3165"/>
      <c r="C200" s="3166"/>
      <c r="E200" s="3165"/>
    </row>
    <row r="201" spans="1:5" s="1969" customFormat="1">
      <c r="A201" s="3165"/>
      <c r="C201" s="3166"/>
      <c r="E201" s="3165"/>
    </row>
    <row r="202" spans="1:5" s="1969" customFormat="1">
      <c r="A202" s="3165"/>
      <c r="C202" s="3166"/>
      <c r="E202" s="3165"/>
    </row>
    <row r="203" spans="1:5" s="1969" customFormat="1">
      <c r="A203" s="3165"/>
      <c r="C203" s="3166"/>
      <c r="E203" s="3165"/>
    </row>
    <row r="204" spans="1:5" s="1969" customFormat="1">
      <c r="A204" s="3165"/>
      <c r="C204" s="3166"/>
      <c r="E204" s="3165"/>
    </row>
    <row r="205" spans="1:5" s="1969" customFormat="1">
      <c r="A205" s="3165"/>
      <c r="C205" s="3166"/>
      <c r="E205" s="3165"/>
    </row>
    <row r="206" spans="1:5" s="1969" customFormat="1">
      <c r="A206" s="3165"/>
      <c r="C206" s="3166"/>
      <c r="E206" s="3165"/>
    </row>
    <row r="207" spans="1:5" s="1969" customFormat="1">
      <c r="A207" s="3165"/>
      <c r="C207" s="3166"/>
      <c r="E207" s="3165"/>
    </row>
    <row r="208" spans="1:5" s="1969" customFormat="1">
      <c r="A208" s="3165"/>
      <c r="C208" s="3166"/>
      <c r="E208" s="3165"/>
    </row>
    <row r="209" spans="1:5" s="1969" customFormat="1">
      <c r="A209" s="3165"/>
      <c r="C209" s="3166"/>
      <c r="E209" s="3165"/>
    </row>
    <row r="210" spans="1:5" s="1969" customFormat="1">
      <c r="A210" s="3165"/>
      <c r="C210" s="3166"/>
      <c r="E210" s="3165"/>
    </row>
    <row r="211" spans="1:5" s="1969" customFormat="1">
      <c r="A211" s="3165"/>
      <c r="C211" s="3166"/>
      <c r="E211" s="3165"/>
    </row>
    <row r="212" spans="1:5" s="1969" customFormat="1">
      <c r="A212" s="3165"/>
      <c r="C212" s="3166"/>
      <c r="E212" s="3165"/>
    </row>
    <row r="213" spans="1:5" s="1969" customFormat="1">
      <c r="A213" s="3165"/>
      <c r="C213" s="3166"/>
      <c r="E213" s="3165"/>
    </row>
    <row r="214" spans="1:5" s="1969" customFormat="1">
      <c r="A214" s="3165"/>
      <c r="C214" s="3166"/>
      <c r="E214" s="3165"/>
    </row>
    <row r="215" spans="1:5" s="1969" customFormat="1">
      <c r="A215" s="3165"/>
      <c r="C215" s="3166"/>
      <c r="E215" s="3165"/>
    </row>
    <row r="216" spans="1:5" s="1969" customFormat="1">
      <c r="A216" s="3165"/>
      <c r="C216" s="3166"/>
      <c r="E216" s="3165"/>
    </row>
    <row r="217" spans="1:5" s="1969" customFormat="1">
      <c r="A217" s="3165"/>
      <c r="C217" s="3166"/>
      <c r="E217" s="3165"/>
    </row>
    <row r="218" spans="1:5" s="1969" customFormat="1">
      <c r="A218" s="3165"/>
      <c r="C218" s="3166"/>
      <c r="E218" s="3165"/>
    </row>
    <row r="219" spans="1:5" s="1969" customFormat="1">
      <c r="A219" s="3165"/>
      <c r="C219" s="3166"/>
      <c r="E219" s="3165"/>
    </row>
    <row r="220" spans="1:5" s="1969" customFormat="1">
      <c r="A220" s="3165"/>
      <c r="C220" s="3166"/>
      <c r="E220" s="3165"/>
    </row>
    <row r="221" spans="1:5" s="1969" customFormat="1">
      <c r="A221" s="3165"/>
      <c r="C221" s="3166"/>
      <c r="E221" s="3165"/>
    </row>
    <row r="222" spans="1:5" s="1969" customFormat="1">
      <c r="A222" s="3165"/>
      <c r="C222" s="3166"/>
      <c r="E222" s="3165"/>
    </row>
    <row r="223" spans="1:5" s="1969" customFormat="1">
      <c r="A223" s="3165"/>
      <c r="C223" s="3166"/>
      <c r="E223" s="3165"/>
    </row>
    <row r="224" spans="1:5" s="1969" customFormat="1">
      <c r="A224" s="3165"/>
      <c r="C224" s="3166"/>
      <c r="E224" s="3165"/>
    </row>
    <row r="225" spans="1:5" s="1969" customFormat="1">
      <c r="A225" s="3165"/>
      <c r="C225" s="3166"/>
      <c r="E225" s="3165"/>
    </row>
    <row r="226" spans="1:5" s="1969" customFormat="1">
      <c r="A226" s="3165"/>
      <c r="C226" s="3166"/>
      <c r="E226" s="3165"/>
    </row>
    <row r="227" spans="1:5" s="1969" customFormat="1">
      <c r="A227" s="3165"/>
      <c r="C227" s="3166"/>
      <c r="E227" s="3165"/>
    </row>
    <row r="228" spans="1:5" s="1969" customFormat="1">
      <c r="A228" s="3165"/>
      <c r="C228" s="3166"/>
      <c r="E228" s="3165"/>
    </row>
    <row r="229" spans="1:5" s="1969" customFormat="1">
      <c r="A229" s="3165"/>
      <c r="C229" s="3166"/>
      <c r="E229" s="3165"/>
    </row>
    <row r="230" spans="1:5" s="1969" customFormat="1">
      <c r="A230" s="3165"/>
      <c r="C230" s="3166"/>
      <c r="E230" s="3165"/>
    </row>
    <row r="231" spans="1:5" s="1969" customFormat="1">
      <c r="A231" s="3165"/>
      <c r="C231" s="3166"/>
      <c r="E231" s="3165"/>
    </row>
    <row r="232" spans="1:5" s="1969" customFormat="1">
      <c r="A232" s="3165"/>
      <c r="C232" s="3166"/>
      <c r="E232" s="3165"/>
    </row>
    <row r="233" spans="1:5" s="1969" customFormat="1">
      <c r="A233" s="3165"/>
      <c r="C233" s="3166"/>
      <c r="E233" s="3165"/>
    </row>
    <row r="234" spans="1:5" s="1969" customFormat="1">
      <c r="A234" s="3165"/>
      <c r="C234" s="3166"/>
      <c r="E234" s="3165"/>
    </row>
    <row r="235" spans="1:5" s="1969" customFormat="1">
      <c r="A235" s="3165"/>
      <c r="C235" s="3166"/>
      <c r="E235" s="3165"/>
    </row>
    <row r="236" spans="1:5" s="1969" customFormat="1">
      <c r="A236" s="3165"/>
      <c r="C236" s="3166"/>
      <c r="E236" s="3165"/>
    </row>
    <row r="237" spans="1:5" s="1969" customFormat="1">
      <c r="A237" s="3165"/>
      <c r="C237" s="3166"/>
      <c r="E237" s="3165"/>
    </row>
    <row r="238" spans="1:5" s="1969" customFormat="1">
      <c r="A238" s="3165"/>
      <c r="C238" s="3166"/>
      <c r="E238" s="3165"/>
    </row>
    <row r="239" spans="1:5" s="1969" customFormat="1">
      <c r="A239" s="3165"/>
      <c r="C239" s="3166"/>
      <c r="E239" s="3165"/>
    </row>
    <row r="240" spans="1:5" s="1969" customFormat="1">
      <c r="A240" s="3165"/>
      <c r="C240" s="3166"/>
      <c r="E240" s="3165"/>
    </row>
    <row r="241" spans="1:5" s="1969" customFormat="1">
      <c r="A241" s="3165"/>
      <c r="C241" s="3166"/>
      <c r="E241" s="3165"/>
    </row>
    <row r="242" spans="1:5" s="1969" customFormat="1">
      <c r="A242" s="3165"/>
      <c r="C242" s="3166"/>
      <c r="E242" s="3165"/>
    </row>
    <row r="243" spans="1:5" s="1969" customFormat="1">
      <c r="A243" s="3165"/>
      <c r="C243" s="3166"/>
      <c r="E243" s="3165"/>
    </row>
    <row r="244" spans="1:5" s="1969" customFormat="1">
      <c r="A244" s="3165"/>
      <c r="C244" s="3166"/>
      <c r="E244" s="3165"/>
    </row>
    <row r="245" spans="1:5" s="1969" customFormat="1">
      <c r="A245" s="3165"/>
      <c r="C245" s="3166"/>
      <c r="E245" s="3165"/>
    </row>
    <row r="246" spans="1:5" s="1969" customFormat="1">
      <c r="A246" s="3165"/>
      <c r="C246" s="3166"/>
      <c r="E246" s="3165"/>
    </row>
    <row r="247" spans="1:5" s="1969" customFormat="1">
      <c r="A247" s="3165"/>
      <c r="C247" s="3166"/>
      <c r="E247" s="3165"/>
    </row>
    <row r="248" spans="1:5" s="1969" customFormat="1">
      <c r="A248" s="3165"/>
      <c r="C248" s="3166"/>
      <c r="E248" s="3165"/>
    </row>
    <row r="249" spans="1:5" s="1969" customFormat="1">
      <c r="A249" s="3165"/>
      <c r="C249" s="3166"/>
      <c r="E249" s="3165"/>
    </row>
    <row r="250" spans="1:5" s="1969" customFormat="1">
      <c r="A250" s="3165"/>
      <c r="C250" s="3166"/>
      <c r="E250" s="3165"/>
    </row>
    <row r="251" spans="1:5" s="1969" customFormat="1">
      <c r="A251" s="3165"/>
      <c r="C251" s="3166"/>
      <c r="E251" s="3165"/>
    </row>
    <row r="252" spans="1:5" s="1969" customFormat="1">
      <c r="A252" s="3165"/>
      <c r="C252" s="3166"/>
      <c r="E252" s="3165"/>
    </row>
    <row r="253" spans="1:5" s="1969" customFormat="1">
      <c r="A253" s="3165"/>
      <c r="C253" s="3166"/>
      <c r="E253" s="3165"/>
    </row>
    <row r="254" spans="1:5" s="1969" customFormat="1">
      <c r="A254" s="3165"/>
      <c r="C254" s="3166"/>
      <c r="E254" s="3165"/>
    </row>
    <row r="255" spans="1:5" s="1969" customFormat="1">
      <c r="A255" s="3165"/>
      <c r="C255" s="3166"/>
      <c r="E255" s="3165"/>
    </row>
    <row r="256" spans="1:5" s="1969" customFormat="1">
      <c r="A256" s="3165"/>
      <c r="C256" s="3166"/>
      <c r="E256" s="3165"/>
    </row>
    <row r="257" spans="1:5" s="1969" customFormat="1">
      <c r="A257" s="3165"/>
      <c r="C257" s="3166"/>
      <c r="E257" s="3165"/>
    </row>
    <row r="258" spans="1:5" s="1969" customFormat="1">
      <c r="A258" s="3165"/>
      <c r="C258" s="3166"/>
      <c r="E258" s="3165"/>
    </row>
    <row r="259" spans="1:5" s="1969" customFormat="1">
      <c r="A259" s="3165"/>
      <c r="C259" s="3166"/>
      <c r="E259" s="3165"/>
    </row>
    <row r="260" spans="1:5" s="1969" customFormat="1">
      <c r="A260" s="3165"/>
      <c r="C260" s="3166"/>
      <c r="E260" s="3165"/>
    </row>
    <row r="261" spans="1:5" s="1969" customFormat="1">
      <c r="A261" s="3165"/>
      <c r="C261" s="3166"/>
      <c r="E261" s="3165"/>
    </row>
    <row r="262" spans="1:5" s="1969" customFormat="1">
      <c r="A262" s="3165"/>
      <c r="C262" s="3166"/>
      <c r="E262" s="3165"/>
    </row>
    <row r="263" spans="1:5" s="1969" customFormat="1">
      <c r="A263" s="3165"/>
      <c r="C263" s="3166"/>
      <c r="E263" s="3165"/>
    </row>
    <row r="264" spans="1:5" s="1969" customFormat="1">
      <c r="A264" s="3165"/>
      <c r="C264" s="3166"/>
      <c r="E264" s="3165"/>
    </row>
    <row r="265" spans="1:5" s="1969" customFormat="1">
      <c r="A265" s="3165"/>
      <c r="C265" s="3166"/>
      <c r="E265" s="3165"/>
    </row>
    <row r="266" spans="1:5" s="1969" customFormat="1">
      <c r="A266" s="3165"/>
      <c r="C266" s="3166"/>
      <c r="E266" s="3165"/>
    </row>
    <row r="267" spans="1:5" s="1969" customFormat="1">
      <c r="A267" s="3165"/>
      <c r="C267" s="3166"/>
      <c r="E267" s="3165"/>
    </row>
    <row r="268" spans="1:5" s="1969" customFormat="1">
      <c r="A268" s="3165"/>
      <c r="C268" s="3166"/>
      <c r="E268" s="3165"/>
    </row>
    <row r="269" spans="1:5" s="1969" customFormat="1">
      <c r="A269" s="3165"/>
      <c r="C269" s="3166"/>
      <c r="E269" s="3165"/>
    </row>
    <row r="270" spans="1:5" s="1969" customFormat="1">
      <c r="A270" s="3165"/>
      <c r="C270" s="3166"/>
      <c r="E270" s="3165"/>
    </row>
    <row r="271" spans="1:5" s="1969" customFormat="1">
      <c r="A271" s="3165"/>
      <c r="C271" s="3166"/>
      <c r="E271" s="3165"/>
    </row>
    <row r="272" spans="1:5" s="1969" customFormat="1">
      <c r="A272" s="3165"/>
      <c r="C272" s="3166"/>
      <c r="E272" s="3165"/>
    </row>
    <row r="273" spans="1:5" s="1969" customFormat="1">
      <c r="A273" s="3165"/>
      <c r="C273" s="3166"/>
      <c r="E273" s="3165"/>
    </row>
    <row r="274" spans="1:5" s="1969" customFormat="1">
      <c r="A274" s="3165"/>
      <c r="C274" s="3166"/>
      <c r="E274" s="3165"/>
    </row>
    <row r="275" spans="1:5" s="1969" customFormat="1">
      <c r="A275" s="3165"/>
      <c r="C275" s="3166"/>
      <c r="E275" s="3165"/>
    </row>
    <row r="276" spans="1:5" s="1969" customFormat="1">
      <c r="A276" s="3165"/>
      <c r="C276" s="3166"/>
      <c r="E276" s="3165"/>
    </row>
    <row r="277" spans="1:5" s="1969" customFormat="1">
      <c r="A277" s="3165"/>
      <c r="C277" s="3166"/>
      <c r="E277" s="3165"/>
    </row>
    <row r="278" spans="1:5" s="1969" customFormat="1">
      <c r="A278" s="3165"/>
      <c r="C278" s="3166"/>
      <c r="E278" s="3165"/>
    </row>
    <row r="279" spans="1:5" s="1969" customFormat="1">
      <c r="A279" s="3165"/>
      <c r="C279" s="3166"/>
      <c r="E279" s="3165"/>
    </row>
    <row r="280" spans="1:5" s="1969" customFormat="1">
      <c r="A280" s="3165"/>
      <c r="C280" s="3166"/>
      <c r="E280" s="3165"/>
    </row>
    <row r="281" spans="1:5" s="1969" customFormat="1">
      <c r="A281" s="3165"/>
      <c r="C281" s="3166"/>
      <c r="E281" s="3165"/>
    </row>
    <row r="282" spans="1:5" s="1969" customFormat="1">
      <c r="A282" s="3165"/>
      <c r="C282" s="3166"/>
      <c r="E282" s="3165"/>
    </row>
    <row r="283" spans="1:5" s="1969" customFormat="1">
      <c r="A283" s="3165"/>
      <c r="C283" s="3166"/>
      <c r="E283" s="3165"/>
    </row>
    <row r="284" spans="1:5" s="1969" customFormat="1">
      <c r="A284" s="3165"/>
      <c r="C284" s="3166"/>
      <c r="E284" s="3165"/>
    </row>
    <row r="285" spans="1:5" s="1969" customFormat="1">
      <c r="A285" s="3165"/>
      <c r="C285" s="3166"/>
      <c r="E285" s="3165"/>
    </row>
    <row r="286" spans="1:5" s="1969" customFormat="1">
      <c r="A286" s="3165"/>
      <c r="C286" s="3166"/>
      <c r="E286" s="3165"/>
    </row>
    <row r="287" spans="1:5" s="1969" customFormat="1">
      <c r="A287" s="3165"/>
      <c r="C287" s="3166"/>
      <c r="E287" s="3165"/>
    </row>
    <row r="288" spans="1:5" s="1969" customFormat="1">
      <c r="A288" s="3165"/>
      <c r="C288" s="3166"/>
      <c r="E288" s="3165"/>
    </row>
    <row r="289" spans="1:5" s="1969" customFormat="1">
      <c r="A289" s="3165"/>
      <c r="C289" s="3166"/>
      <c r="E289" s="3165"/>
    </row>
    <row r="290" spans="1:5" s="1969" customFormat="1">
      <c r="A290" s="3165"/>
      <c r="C290" s="3166"/>
      <c r="E290" s="3165"/>
    </row>
    <row r="291" spans="1:5" s="1969" customFormat="1">
      <c r="A291" s="3165"/>
      <c r="C291" s="3166"/>
      <c r="E291" s="3165"/>
    </row>
    <row r="292" spans="1:5" s="1969" customFormat="1">
      <c r="A292" s="3165"/>
      <c r="C292" s="3166"/>
      <c r="E292" s="3165"/>
    </row>
    <row r="293" spans="1:5" s="1969" customFormat="1">
      <c r="A293" s="3165"/>
      <c r="C293" s="3166"/>
      <c r="E293" s="3165"/>
    </row>
    <row r="294" spans="1:5" s="1969" customFormat="1">
      <c r="A294" s="3165"/>
      <c r="C294" s="3166"/>
      <c r="E294" s="3165"/>
    </row>
    <row r="295" spans="1:5" s="1969" customFormat="1">
      <c r="A295" s="3165"/>
      <c r="C295" s="3166"/>
      <c r="E295" s="3165"/>
    </row>
    <row r="296" spans="1:5" s="1969" customFormat="1">
      <c r="A296" s="3165"/>
      <c r="C296" s="3166"/>
      <c r="E296" s="3165"/>
    </row>
    <row r="297" spans="1:5" s="1969" customFormat="1">
      <c r="A297" s="3165"/>
      <c r="C297" s="3166"/>
      <c r="E297" s="3165"/>
    </row>
    <row r="298" spans="1:5" s="1969" customFormat="1">
      <c r="A298" s="3165"/>
      <c r="C298" s="3166"/>
      <c r="E298" s="3165"/>
    </row>
    <row r="299" spans="1:5" s="1969" customFormat="1">
      <c r="A299" s="3165"/>
      <c r="C299" s="3166"/>
      <c r="E299" s="3165"/>
    </row>
    <row r="300" spans="1:5" s="1969" customFormat="1">
      <c r="A300" s="3165"/>
      <c r="C300" s="3166"/>
      <c r="E300" s="3165"/>
    </row>
    <row r="301" spans="1:5" s="1969" customFormat="1">
      <c r="A301" s="3165"/>
      <c r="C301" s="3166"/>
      <c r="E301" s="3165"/>
    </row>
    <row r="302" spans="1:5" s="1969" customFormat="1">
      <c r="A302" s="3165"/>
      <c r="C302" s="3166"/>
      <c r="E302" s="3165"/>
    </row>
    <row r="303" spans="1:5" s="1969" customFormat="1">
      <c r="A303" s="3165"/>
      <c r="C303" s="3166"/>
      <c r="E303" s="3165"/>
    </row>
    <row r="304" spans="1:5" s="1969" customFormat="1">
      <c r="A304" s="3165"/>
      <c r="C304" s="3166"/>
      <c r="E304" s="3165"/>
    </row>
    <row r="305" spans="1:5" s="1969" customFormat="1">
      <c r="A305" s="3165"/>
      <c r="C305" s="3166"/>
      <c r="E305" s="3165"/>
    </row>
    <row r="306" spans="1:5" s="1969" customFormat="1">
      <c r="A306" s="3165"/>
      <c r="C306" s="3166"/>
      <c r="E306" s="3165"/>
    </row>
    <row r="307" spans="1:5" s="1969" customFormat="1">
      <c r="A307" s="3165"/>
      <c r="C307" s="3166"/>
      <c r="E307" s="3165"/>
    </row>
    <row r="308" spans="1:5" s="1969" customFormat="1">
      <c r="A308" s="3165"/>
      <c r="C308" s="3166"/>
      <c r="E308" s="3165"/>
    </row>
    <row r="309" spans="1:5" s="1969" customFormat="1">
      <c r="A309" s="3165"/>
      <c r="C309" s="3166"/>
      <c r="E309" s="3165"/>
    </row>
    <row r="310" spans="1:5" s="1969" customFormat="1">
      <c r="A310" s="3165"/>
      <c r="C310" s="3166"/>
      <c r="E310" s="3165"/>
    </row>
    <row r="311" spans="1:5" s="1969" customFormat="1">
      <c r="A311" s="3165"/>
      <c r="C311" s="3166"/>
      <c r="E311" s="3165"/>
    </row>
    <row r="312" spans="1:5" s="1969" customFormat="1">
      <c r="A312" s="3165"/>
      <c r="C312" s="3166"/>
      <c r="E312" s="3165"/>
    </row>
    <row r="313" spans="1:5" s="1969" customFormat="1">
      <c r="A313" s="3165"/>
      <c r="C313" s="3166"/>
      <c r="E313" s="3165"/>
    </row>
    <row r="314" spans="1:5" s="1969" customFormat="1">
      <c r="A314" s="3165"/>
      <c r="C314" s="3166"/>
      <c r="E314" s="3165"/>
    </row>
    <row r="315" spans="1:5" s="1969" customFormat="1">
      <c r="A315" s="3165"/>
      <c r="C315" s="3166"/>
      <c r="E315" s="3165"/>
    </row>
    <row r="316" spans="1:5" s="1969" customFormat="1">
      <c r="A316" s="3165"/>
      <c r="C316" s="3166"/>
      <c r="E316" s="3165"/>
    </row>
    <row r="317" spans="1:5" s="1969" customFormat="1">
      <c r="A317" s="3165"/>
      <c r="C317" s="3166"/>
      <c r="E317" s="3165"/>
    </row>
    <row r="318" spans="1:5" s="1969" customFormat="1">
      <c r="A318" s="3165"/>
      <c r="C318" s="3166"/>
      <c r="E318" s="3165"/>
    </row>
    <row r="319" spans="1:5" s="1969" customFormat="1">
      <c r="A319" s="3165"/>
      <c r="C319" s="3166"/>
      <c r="E319" s="3165"/>
    </row>
    <row r="320" spans="1:5" s="1969" customFormat="1">
      <c r="A320" s="3165"/>
      <c r="C320" s="3166"/>
      <c r="E320" s="3165"/>
    </row>
    <row r="321" spans="1:5" s="1969" customFormat="1">
      <c r="A321" s="3165"/>
      <c r="C321" s="3166"/>
      <c r="E321" s="3165"/>
    </row>
    <row r="322" spans="1:5" s="1969" customFormat="1">
      <c r="A322" s="3165"/>
      <c r="C322" s="3166"/>
      <c r="E322" s="3165"/>
    </row>
    <row r="323" spans="1:5" s="1969" customFormat="1">
      <c r="A323" s="3165"/>
      <c r="C323" s="3166"/>
      <c r="E323" s="3165"/>
    </row>
    <row r="324" spans="1:5" s="1969" customFormat="1">
      <c r="A324" s="3165"/>
      <c r="C324" s="3166"/>
      <c r="E324" s="3165"/>
    </row>
    <row r="325" spans="1:5" s="1969" customFormat="1">
      <c r="A325" s="3165"/>
      <c r="C325" s="3166"/>
      <c r="E325" s="3165"/>
    </row>
    <row r="326" spans="1:5" s="1969" customFormat="1">
      <c r="A326" s="3165"/>
      <c r="C326" s="3166"/>
      <c r="E326" s="3165"/>
    </row>
    <row r="327" spans="1:5" s="1969" customFormat="1">
      <c r="A327" s="3165"/>
      <c r="C327" s="3166"/>
      <c r="E327" s="3165"/>
    </row>
    <row r="328" spans="1:5" s="1969" customFormat="1">
      <c r="A328" s="3165"/>
      <c r="C328" s="3166"/>
      <c r="E328" s="3165"/>
    </row>
    <row r="329" spans="1:5" s="1969" customFormat="1">
      <c r="A329" s="3165"/>
      <c r="C329" s="3166"/>
      <c r="E329" s="3165"/>
    </row>
    <row r="330" spans="1:5" s="1969" customFormat="1">
      <c r="A330" s="3165"/>
      <c r="C330" s="3166"/>
      <c r="E330" s="3165"/>
    </row>
    <row r="331" spans="1:5" s="1969" customFormat="1">
      <c r="A331" s="3165"/>
      <c r="C331" s="3166"/>
      <c r="E331" s="3165"/>
    </row>
    <row r="332" spans="1:5" s="1969" customFormat="1">
      <c r="A332" s="3165"/>
      <c r="C332" s="3166"/>
      <c r="E332" s="3165"/>
    </row>
    <row r="333" spans="1:5" s="1969" customFormat="1">
      <c r="A333" s="3165"/>
      <c r="C333" s="3166"/>
      <c r="E333" s="3165"/>
    </row>
    <row r="334" spans="1:5" s="1969" customFormat="1">
      <c r="A334" s="3165"/>
      <c r="C334" s="3166"/>
      <c r="E334" s="3165"/>
    </row>
    <row r="335" spans="1:5" s="1969" customFormat="1">
      <c r="A335" s="3165"/>
      <c r="C335" s="3166"/>
      <c r="E335" s="3165"/>
    </row>
    <row r="336" spans="1:5" s="1969" customFormat="1">
      <c r="A336" s="3165"/>
      <c r="C336" s="3166"/>
      <c r="E336" s="3165"/>
    </row>
    <row r="337" spans="1:5" s="1969" customFormat="1">
      <c r="A337" s="3165"/>
      <c r="C337" s="3166"/>
      <c r="E337" s="3165"/>
    </row>
    <row r="338" spans="1:5" s="1969" customFormat="1">
      <c r="A338" s="3165"/>
      <c r="C338" s="3166"/>
      <c r="E338" s="3165"/>
    </row>
    <row r="339" spans="1:5" s="1969" customFormat="1">
      <c r="A339" s="3165"/>
      <c r="C339" s="3166"/>
      <c r="E339" s="3165"/>
    </row>
    <row r="340" spans="1:5" s="1969" customFormat="1">
      <c r="A340" s="3165"/>
      <c r="C340" s="3166"/>
      <c r="E340" s="3165"/>
    </row>
    <row r="341" spans="1:5" s="1969" customFormat="1">
      <c r="A341" s="3165"/>
      <c r="C341" s="3166"/>
      <c r="E341" s="3165"/>
    </row>
    <row r="342" spans="1:5" s="1969" customFormat="1">
      <c r="A342" s="3165"/>
      <c r="C342" s="3166"/>
      <c r="E342" s="3165"/>
    </row>
    <row r="343" spans="1:5" s="1969" customFormat="1">
      <c r="A343" s="3165"/>
      <c r="C343" s="3166"/>
      <c r="E343" s="3165"/>
    </row>
    <row r="344" spans="1:5" s="1969" customFormat="1">
      <c r="A344" s="3165"/>
      <c r="C344" s="3166"/>
      <c r="E344" s="3165"/>
    </row>
    <row r="345" spans="1:5" s="1969" customFormat="1">
      <c r="A345" s="3165"/>
      <c r="C345" s="3166"/>
      <c r="E345" s="3165"/>
    </row>
    <row r="346" spans="1:5" s="1969" customFormat="1">
      <c r="A346" s="3165"/>
      <c r="C346" s="3166"/>
      <c r="E346" s="3165"/>
    </row>
    <row r="347" spans="1:5" s="1969" customFormat="1">
      <c r="A347" s="3165"/>
      <c r="C347" s="3166"/>
      <c r="E347" s="3165"/>
    </row>
    <row r="348" spans="1:5" s="1969" customFormat="1">
      <c r="A348" s="3165"/>
      <c r="C348" s="3166"/>
      <c r="E348" s="3165"/>
    </row>
    <row r="349" spans="1:5" s="1969" customFormat="1">
      <c r="A349" s="3165"/>
      <c r="C349" s="3166"/>
      <c r="E349" s="3165"/>
    </row>
    <row r="350" spans="1:5" s="1969" customFormat="1">
      <c r="A350" s="3165"/>
      <c r="C350" s="3166"/>
      <c r="E350" s="3165"/>
    </row>
    <row r="351" spans="1:5" s="1969" customFormat="1">
      <c r="A351" s="3165"/>
      <c r="C351" s="3166"/>
      <c r="E351" s="3165"/>
    </row>
    <row r="352" spans="1:5" s="1969" customFormat="1">
      <c r="A352" s="3165"/>
      <c r="C352" s="3166"/>
      <c r="E352" s="3165"/>
    </row>
    <row r="353" spans="1:5" s="1969" customFormat="1">
      <c r="A353" s="3165"/>
      <c r="C353" s="3166"/>
      <c r="E353" s="3165"/>
    </row>
    <row r="354" spans="1:5" s="1969" customFormat="1">
      <c r="A354" s="3165"/>
      <c r="C354" s="3166"/>
      <c r="E354" s="3165"/>
    </row>
    <row r="355" spans="1:5" s="1969" customFormat="1">
      <c r="A355" s="3165"/>
      <c r="C355" s="3166"/>
      <c r="E355" s="3165"/>
    </row>
    <row r="356" spans="1:5" s="1969" customFormat="1">
      <c r="A356" s="3165"/>
      <c r="C356" s="3166"/>
      <c r="E356" s="3165"/>
    </row>
    <row r="357" spans="1:5" s="1969" customFormat="1">
      <c r="A357" s="3165"/>
      <c r="C357" s="3166"/>
      <c r="E357" s="3165"/>
    </row>
    <row r="358" spans="1:5" s="1969" customFormat="1">
      <c r="A358" s="3165"/>
      <c r="C358" s="3166"/>
      <c r="E358" s="3165"/>
    </row>
    <row r="359" spans="1:5" s="1969" customFormat="1">
      <c r="A359" s="3165"/>
      <c r="C359" s="3166"/>
      <c r="E359" s="3165"/>
    </row>
    <row r="360" spans="1:5" s="1969" customFormat="1">
      <c r="A360" s="3165"/>
      <c r="C360" s="3166"/>
      <c r="E360" s="3165"/>
    </row>
    <row r="361" spans="1:5" s="1969" customFormat="1">
      <c r="A361" s="3165"/>
      <c r="C361" s="3166"/>
      <c r="E361" s="3165"/>
    </row>
    <row r="362" spans="1:5" s="1969" customFormat="1">
      <c r="A362" s="3165"/>
      <c r="C362" s="3166"/>
      <c r="E362" s="3165"/>
    </row>
    <row r="363" spans="1:5" s="1969" customFormat="1">
      <c r="A363" s="3165"/>
      <c r="C363" s="3166"/>
      <c r="E363" s="3165"/>
    </row>
    <row r="364" spans="1:5" s="1969" customFormat="1">
      <c r="A364" s="3165"/>
      <c r="C364" s="3166"/>
      <c r="E364" s="3165"/>
    </row>
    <row r="365" spans="1:5" s="1969" customFormat="1">
      <c r="A365" s="3165"/>
      <c r="C365" s="3166"/>
      <c r="E365" s="3165"/>
    </row>
    <row r="366" spans="1:5" s="1969" customFormat="1">
      <c r="A366" s="3165"/>
      <c r="C366" s="3166"/>
      <c r="E366" s="3165"/>
    </row>
    <row r="367" spans="1:5" s="1969" customFormat="1">
      <c r="A367" s="3165"/>
      <c r="C367" s="3166"/>
      <c r="E367" s="3165"/>
    </row>
    <row r="368" spans="1:5" s="1969" customFormat="1">
      <c r="A368" s="3165"/>
      <c r="C368" s="3166"/>
      <c r="E368" s="3165"/>
    </row>
    <row r="369" spans="1:5" s="1969" customFormat="1">
      <c r="A369" s="3165"/>
      <c r="C369" s="3166"/>
      <c r="E369" s="3165"/>
    </row>
    <row r="370" spans="1:5" s="1969" customFormat="1">
      <c r="A370" s="3165"/>
      <c r="C370" s="3166"/>
      <c r="E370" s="3165"/>
    </row>
    <row r="371" spans="1:5" s="1969" customFormat="1">
      <c r="A371" s="3165"/>
      <c r="C371" s="3166"/>
      <c r="E371" s="3165"/>
    </row>
    <row r="372" spans="1:5" s="1969" customFormat="1">
      <c r="A372" s="3165"/>
      <c r="C372" s="3166"/>
      <c r="E372" s="3165"/>
    </row>
    <row r="373" spans="1:5" s="1969" customFormat="1">
      <c r="A373" s="3165"/>
      <c r="C373" s="3166"/>
      <c r="E373" s="3165"/>
    </row>
    <row r="374" spans="1:5" s="1969" customFormat="1">
      <c r="A374" s="3165"/>
      <c r="C374" s="3166"/>
      <c r="E374" s="3165"/>
    </row>
    <row r="375" spans="1:5" s="1969" customFormat="1">
      <c r="A375" s="3165"/>
      <c r="C375" s="3166"/>
      <c r="E375" s="3165"/>
    </row>
    <row r="376" spans="1:5" s="1969" customFormat="1">
      <c r="A376" s="3165"/>
      <c r="C376" s="3166"/>
      <c r="E376" s="3165"/>
    </row>
    <row r="377" spans="1:5" s="1969" customFormat="1">
      <c r="A377" s="3165"/>
      <c r="C377" s="3166"/>
      <c r="E377" s="3165"/>
    </row>
    <row r="378" spans="1:5" s="1969" customFormat="1">
      <c r="A378" s="3165"/>
      <c r="C378" s="3166"/>
      <c r="E378" s="3165"/>
    </row>
    <row r="379" spans="1:5" s="1969" customFormat="1">
      <c r="A379" s="3165"/>
      <c r="C379" s="3166"/>
      <c r="E379" s="3165"/>
    </row>
    <row r="380" spans="1:5" s="1969" customFormat="1">
      <c r="A380" s="3165"/>
      <c r="C380" s="3166"/>
      <c r="E380" s="3165"/>
    </row>
    <row r="381" spans="1:5" s="1969" customFormat="1">
      <c r="A381" s="3165"/>
      <c r="C381" s="3166"/>
      <c r="E381" s="3165"/>
    </row>
    <row r="382" spans="1:5" s="1969" customFormat="1">
      <c r="A382" s="3165"/>
      <c r="C382" s="3166"/>
      <c r="E382" s="3165"/>
    </row>
    <row r="383" spans="1:5" s="1969" customFormat="1">
      <c r="A383" s="3165"/>
      <c r="C383" s="3166"/>
      <c r="E383" s="3165"/>
    </row>
    <row r="384" spans="1:5" s="1969" customFormat="1">
      <c r="A384" s="3165"/>
      <c r="C384" s="3166"/>
      <c r="E384" s="3165"/>
    </row>
    <row r="385" spans="1:5" s="1969" customFormat="1">
      <c r="A385" s="3165"/>
      <c r="C385" s="3166"/>
      <c r="E385" s="3165"/>
    </row>
    <row r="386" spans="1:5" s="1969" customFormat="1">
      <c r="A386" s="3165"/>
      <c r="C386" s="3166"/>
      <c r="E386" s="3165"/>
    </row>
    <row r="387" spans="1:5" s="1969" customFormat="1">
      <c r="A387" s="3165"/>
      <c r="C387" s="3166"/>
      <c r="E387" s="3165"/>
    </row>
    <row r="388" spans="1:5" s="1969" customFormat="1">
      <c r="A388" s="3165"/>
      <c r="C388" s="3166"/>
      <c r="E388" s="3165"/>
    </row>
    <row r="389" spans="1:5" s="1969" customFormat="1">
      <c r="A389" s="3165"/>
      <c r="C389" s="3166"/>
      <c r="E389" s="3165"/>
    </row>
    <row r="390" spans="1:5" s="1969" customFormat="1">
      <c r="A390" s="3165"/>
      <c r="C390" s="3166"/>
      <c r="E390" s="3165"/>
    </row>
    <row r="391" spans="1:5" s="1969" customFormat="1">
      <c r="A391" s="3165"/>
      <c r="C391" s="3166"/>
      <c r="E391" s="3165"/>
    </row>
    <row r="392" spans="1:5" s="1969" customFormat="1">
      <c r="A392" s="3165"/>
      <c r="C392" s="3166"/>
      <c r="E392" s="3165"/>
    </row>
    <row r="393" spans="1:5" s="1969" customFormat="1">
      <c r="A393" s="3165"/>
      <c r="C393" s="3166"/>
      <c r="E393" s="3165"/>
    </row>
    <row r="394" spans="1:5" s="1969" customFormat="1">
      <c r="A394" s="3165"/>
      <c r="C394" s="3166"/>
      <c r="E394" s="3165"/>
    </row>
    <row r="395" spans="1:5" s="1969" customFormat="1">
      <c r="A395" s="3165"/>
      <c r="C395" s="3166"/>
      <c r="E395" s="3165"/>
    </row>
    <row r="396" spans="1:5" s="1969" customFormat="1">
      <c r="A396" s="3165"/>
      <c r="C396" s="3166"/>
      <c r="E396" s="3165"/>
    </row>
    <row r="397" spans="1:5" s="1969" customFormat="1">
      <c r="A397" s="3165"/>
      <c r="C397" s="3166"/>
      <c r="E397" s="3165"/>
    </row>
    <row r="398" spans="1:5" s="1969" customFormat="1">
      <c r="A398" s="3165"/>
      <c r="C398" s="3166"/>
      <c r="E398" s="3165"/>
    </row>
    <row r="399" spans="1:5" s="1969" customFormat="1">
      <c r="A399" s="3165"/>
      <c r="C399" s="3166"/>
      <c r="E399" s="3165"/>
    </row>
    <row r="400" spans="1:5" s="1969" customFormat="1">
      <c r="A400" s="3165"/>
      <c r="C400" s="3166"/>
      <c r="E400" s="3165"/>
    </row>
    <row r="401" spans="1:5" s="1969" customFormat="1">
      <c r="A401" s="3165"/>
      <c r="C401" s="3166"/>
      <c r="E401" s="3165"/>
    </row>
    <row r="402" spans="1:5" s="1969" customFormat="1">
      <c r="A402" s="3165"/>
      <c r="C402" s="3166"/>
      <c r="E402" s="3165"/>
    </row>
    <row r="403" spans="1:5" s="1969" customFormat="1">
      <c r="A403" s="3165"/>
      <c r="C403" s="3166"/>
      <c r="E403" s="3165"/>
    </row>
    <row r="404" spans="1:5" s="1969" customFormat="1">
      <c r="A404" s="3165"/>
      <c r="C404" s="3166"/>
      <c r="E404" s="3165"/>
    </row>
    <row r="405" spans="1:5" s="1969" customFormat="1">
      <c r="A405" s="3165"/>
      <c r="C405" s="3166"/>
      <c r="E405" s="3165"/>
    </row>
    <row r="406" spans="1:5" s="1969" customFormat="1">
      <c r="A406" s="3165"/>
      <c r="C406" s="3166"/>
      <c r="E406" s="3165"/>
    </row>
    <row r="407" spans="1:5" s="1969" customFormat="1">
      <c r="A407" s="3165"/>
      <c r="C407" s="3166"/>
      <c r="E407" s="3165"/>
    </row>
    <row r="408" spans="1:5" s="1969" customFormat="1">
      <c r="A408" s="3165"/>
      <c r="C408" s="3166"/>
      <c r="E408" s="3165"/>
    </row>
    <row r="409" spans="1:5" s="1969" customFormat="1">
      <c r="A409" s="3165"/>
      <c r="C409" s="3166"/>
      <c r="E409" s="3165"/>
    </row>
    <row r="410" spans="1:5" s="1969" customFormat="1">
      <c r="A410" s="3165"/>
      <c r="C410" s="3166"/>
      <c r="E410" s="3165"/>
    </row>
    <row r="411" spans="1:5" s="1969" customFormat="1">
      <c r="A411" s="3165"/>
      <c r="C411" s="3166"/>
      <c r="E411" s="3165"/>
    </row>
    <row r="412" spans="1:5" s="1969" customFormat="1">
      <c r="A412" s="3165"/>
      <c r="C412" s="3166"/>
      <c r="E412" s="3165"/>
    </row>
    <row r="413" spans="1:5" s="1969" customFormat="1">
      <c r="A413" s="3165"/>
      <c r="C413" s="3166"/>
      <c r="E413" s="3165"/>
    </row>
    <row r="414" spans="1:5" s="1969" customFormat="1">
      <c r="A414" s="3165"/>
      <c r="C414" s="3166"/>
      <c r="E414" s="3165"/>
    </row>
    <row r="415" spans="1:5" s="1969" customFormat="1">
      <c r="A415" s="3165"/>
      <c r="C415" s="3166"/>
      <c r="E415" s="3165"/>
    </row>
    <row r="416" spans="1:5" s="1969" customFormat="1">
      <c r="A416" s="3165"/>
      <c r="C416" s="3166"/>
      <c r="E416" s="3165"/>
    </row>
    <row r="417" spans="1:5" s="1969" customFormat="1">
      <c r="A417" s="3165"/>
      <c r="C417" s="3166"/>
      <c r="E417" s="3165"/>
    </row>
    <row r="418" spans="1:5" s="1969" customFormat="1">
      <c r="A418" s="3165"/>
      <c r="C418" s="3166"/>
      <c r="E418" s="3165"/>
    </row>
    <row r="419" spans="1:5" s="1969" customFormat="1">
      <c r="A419" s="3165"/>
      <c r="C419" s="3166"/>
      <c r="E419" s="3165"/>
    </row>
    <row r="420" spans="1:5" s="1969" customFormat="1">
      <c r="A420" s="3165"/>
      <c r="C420" s="3166"/>
      <c r="E420" s="3165"/>
    </row>
    <row r="421" spans="1:5" s="1969" customFormat="1">
      <c r="A421" s="3165"/>
      <c r="C421" s="3166"/>
      <c r="E421" s="3165"/>
    </row>
    <row r="422" spans="1:5" s="1969" customFormat="1">
      <c r="A422" s="3165"/>
      <c r="C422" s="3166"/>
      <c r="E422" s="3165"/>
    </row>
    <row r="423" spans="1:5" s="1969" customFormat="1">
      <c r="A423" s="3165"/>
      <c r="C423" s="3166"/>
      <c r="E423" s="3165"/>
    </row>
    <row r="424" spans="1:5" s="1969" customFormat="1">
      <c r="A424" s="3165"/>
      <c r="C424" s="3166"/>
      <c r="E424" s="3165"/>
    </row>
    <row r="425" spans="1:5" s="1969" customFormat="1">
      <c r="A425" s="3165"/>
      <c r="C425" s="3166"/>
      <c r="E425" s="3165"/>
    </row>
    <row r="426" spans="1:5" s="1969" customFormat="1">
      <c r="A426" s="3165"/>
      <c r="C426" s="3166"/>
      <c r="E426" s="3165"/>
    </row>
    <row r="427" spans="1:5" s="1969" customFormat="1">
      <c r="A427" s="3165"/>
      <c r="C427" s="3166"/>
      <c r="E427" s="3165"/>
    </row>
    <row r="428" spans="1:5" s="1969" customFormat="1">
      <c r="A428" s="3165"/>
      <c r="C428" s="3166"/>
      <c r="E428" s="3165"/>
    </row>
    <row r="429" spans="1:5" s="1969" customFormat="1">
      <c r="A429" s="3165"/>
      <c r="C429" s="3166"/>
      <c r="E429" s="3165"/>
    </row>
    <row r="430" spans="1:5" s="1969" customFormat="1">
      <c r="A430" s="3165"/>
      <c r="C430" s="3166"/>
      <c r="E430" s="3165"/>
    </row>
    <row r="431" spans="1:5" s="1969" customFormat="1">
      <c r="A431" s="3165"/>
      <c r="C431" s="3166"/>
      <c r="E431" s="3165"/>
    </row>
    <row r="432" spans="1:5" s="1969" customFormat="1">
      <c r="A432" s="3165"/>
      <c r="C432" s="3166"/>
      <c r="E432" s="3165"/>
    </row>
    <row r="433" spans="1:5" s="1969" customFormat="1">
      <c r="A433" s="3165"/>
      <c r="C433" s="3166"/>
      <c r="E433" s="3165"/>
    </row>
    <row r="434" spans="1:5" s="1969" customFormat="1">
      <c r="A434" s="3165"/>
      <c r="C434" s="3166"/>
      <c r="E434" s="3165"/>
    </row>
    <row r="435" spans="1:5" s="1969" customFormat="1">
      <c r="A435" s="3165"/>
      <c r="C435" s="3166"/>
      <c r="E435" s="3165"/>
    </row>
    <row r="436" spans="1:5" s="1969" customFormat="1">
      <c r="A436" s="3165"/>
      <c r="C436" s="3166"/>
      <c r="E436" s="3165"/>
    </row>
    <row r="437" spans="1:5" s="1969" customFormat="1">
      <c r="A437" s="3165"/>
      <c r="C437" s="3166"/>
      <c r="E437" s="3165"/>
    </row>
    <row r="438" spans="1:5" s="1969" customFormat="1">
      <c r="A438" s="3165"/>
      <c r="C438" s="3166"/>
      <c r="E438" s="3165"/>
    </row>
    <row r="439" spans="1:5" s="1969" customFormat="1">
      <c r="A439" s="3165"/>
      <c r="C439" s="3166"/>
      <c r="E439" s="3165"/>
    </row>
    <row r="440" spans="1:5" s="1969" customFormat="1">
      <c r="A440" s="3165"/>
      <c r="C440" s="3166"/>
      <c r="E440" s="3165"/>
    </row>
    <row r="441" spans="1:5" s="1969" customFormat="1">
      <c r="A441" s="3165"/>
      <c r="C441" s="3166"/>
      <c r="E441" s="3165"/>
    </row>
    <row r="442" spans="1:5" s="1969" customFormat="1">
      <c r="A442" s="3165"/>
      <c r="C442" s="3166"/>
      <c r="E442" s="3165"/>
    </row>
    <row r="443" spans="1:5" s="1969" customFormat="1">
      <c r="A443" s="3165"/>
      <c r="C443" s="3166"/>
      <c r="E443" s="3165"/>
    </row>
    <row r="444" spans="1:5" s="1969" customFormat="1">
      <c r="A444" s="3165"/>
      <c r="C444" s="3166"/>
      <c r="E444" s="3165"/>
    </row>
    <row r="445" spans="1:5" s="1969" customFormat="1">
      <c r="A445" s="3165"/>
      <c r="C445" s="3166"/>
      <c r="E445" s="3165"/>
    </row>
    <row r="446" spans="1:5" s="1969" customFormat="1">
      <c r="A446" s="3165"/>
      <c r="C446" s="3166"/>
      <c r="E446" s="3165"/>
    </row>
    <row r="447" spans="1:5" s="1969" customFormat="1">
      <c r="A447" s="3165"/>
      <c r="C447" s="3166"/>
      <c r="E447" s="3165"/>
    </row>
    <row r="448" spans="1:5" s="1969" customFormat="1">
      <c r="A448" s="3165"/>
      <c r="C448" s="3166"/>
      <c r="E448" s="3165"/>
    </row>
    <row r="449" spans="1:5" s="1969" customFormat="1">
      <c r="A449" s="3165"/>
      <c r="C449" s="3166"/>
      <c r="E449" s="3165"/>
    </row>
    <row r="450" spans="1:5" s="1969" customFormat="1">
      <c r="A450" s="3165"/>
      <c r="C450" s="3166"/>
      <c r="E450" s="3165"/>
    </row>
    <row r="451" spans="1:5" s="1969" customFormat="1">
      <c r="A451" s="3165"/>
      <c r="C451" s="3166"/>
      <c r="E451" s="3165"/>
    </row>
    <row r="452" spans="1:5" s="1969" customFormat="1">
      <c r="A452" s="3165"/>
      <c r="C452" s="3166"/>
      <c r="E452" s="3165"/>
    </row>
    <row r="453" spans="1:5" s="1969" customFormat="1">
      <c r="A453" s="3165"/>
      <c r="C453" s="3166"/>
      <c r="E453" s="3165"/>
    </row>
    <row r="454" spans="1:5" s="1969" customFormat="1">
      <c r="A454" s="3165"/>
      <c r="C454" s="3166"/>
      <c r="E454" s="3165"/>
    </row>
    <row r="455" spans="1:5" s="1969" customFormat="1">
      <c r="A455" s="3165"/>
      <c r="C455" s="3166"/>
      <c r="E455" s="3165"/>
    </row>
    <row r="456" spans="1:5" s="1969" customFormat="1">
      <c r="A456" s="3165"/>
      <c r="C456" s="3166"/>
      <c r="E456" s="3165"/>
    </row>
    <row r="457" spans="1:5" s="1969" customFormat="1">
      <c r="A457" s="3165"/>
      <c r="C457" s="3166"/>
      <c r="E457" s="3165"/>
    </row>
    <row r="458" spans="1:5" s="1969" customFormat="1">
      <c r="A458" s="3165"/>
      <c r="C458" s="3166"/>
      <c r="E458" s="3165"/>
    </row>
    <row r="459" spans="1:5" s="1969" customFormat="1">
      <c r="A459" s="3165"/>
      <c r="C459" s="3166"/>
      <c r="E459" s="3165"/>
    </row>
    <row r="460" spans="1:5" s="1969" customFormat="1">
      <c r="A460" s="3165"/>
      <c r="C460" s="3166"/>
      <c r="E460" s="3165"/>
    </row>
    <row r="461" spans="1:5" s="1969" customFormat="1">
      <c r="A461" s="3165"/>
      <c r="C461" s="3166"/>
      <c r="E461" s="3165"/>
    </row>
    <row r="462" spans="1:5" s="1969" customFormat="1">
      <c r="A462" s="3165"/>
      <c r="C462" s="3166"/>
      <c r="E462" s="3165"/>
    </row>
    <row r="463" spans="1:5" s="1969" customFormat="1">
      <c r="A463" s="3165"/>
      <c r="C463" s="3166"/>
      <c r="E463" s="3165"/>
    </row>
    <row r="464" spans="1:5" s="1969" customFormat="1">
      <c r="A464" s="3165"/>
      <c r="C464" s="3166"/>
      <c r="E464" s="3165"/>
    </row>
    <row r="465" spans="1:5" s="1969" customFormat="1">
      <c r="A465" s="3165"/>
      <c r="C465" s="3166"/>
      <c r="E465" s="3165"/>
    </row>
    <row r="466" spans="1:5" s="1969" customFormat="1">
      <c r="A466" s="3165"/>
      <c r="C466" s="3166"/>
      <c r="E466" s="3165"/>
    </row>
    <row r="467" spans="1:5" s="1969" customFormat="1">
      <c r="A467" s="3165"/>
      <c r="C467" s="3166"/>
      <c r="E467" s="3165"/>
    </row>
    <row r="468" spans="1:5" s="1969" customFormat="1">
      <c r="A468" s="3165"/>
      <c r="C468" s="3166"/>
      <c r="E468" s="3165"/>
    </row>
    <row r="469" spans="1:5" s="1969" customFormat="1">
      <c r="A469" s="3165"/>
      <c r="C469" s="3166"/>
      <c r="E469" s="3165"/>
    </row>
    <row r="470" spans="1:5" s="1969" customFormat="1">
      <c r="A470" s="3165"/>
      <c r="C470" s="3166"/>
      <c r="E470" s="3165"/>
    </row>
    <row r="471" spans="1:5" s="1969" customFormat="1">
      <c r="A471" s="3165"/>
      <c r="C471" s="3166"/>
      <c r="E471" s="3165"/>
    </row>
    <row r="472" spans="1:5" s="1969" customFormat="1">
      <c r="A472" s="3165"/>
      <c r="C472" s="3166"/>
      <c r="E472" s="3165"/>
    </row>
    <row r="473" spans="1:5" s="1969" customFormat="1">
      <c r="A473" s="3165"/>
      <c r="C473" s="3166"/>
      <c r="E473" s="3165"/>
    </row>
    <row r="474" spans="1:5" s="1969" customFormat="1">
      <c r="A474" s="3165"/>
      <c r="C474" s="3166"/>
      <c r="E474" s="3165"/>
    </row>
    <row r="475" spans="1:5" s="1969" customFormat="1">
      <c r="A475" s="3165"/>
      <c r="C475" s="3166"/>
      <c r="E475" s="3165"/>
    </row>
    <row r="476" spans="1:5" s="1969" customFormat="1">
      <c r="A476" s="3165"/>
      <c r="C476" s="3166"/>
      <c r="E476" s="3165"/>
    </row>
    <row r="477" spans="1:5" s="1969" customFormat="1">
      <c r="A477" s="3165"/>
      <c r="C477" s="3166"/>
      <c r="E477" s="3165"/>
    </row>
    <row r="478" spans="1:5" s="1969" customFormat="1">
      <c r="A478" s="3165"/>
      <c r="C478" s="3166"/>
      <c r="E478" s="3165"/>
    </row>
    <row r="479" spans="1:5" s="1969" customFormat="1">
      <c r="A479" s="3165"/>
      <c r="C479" s="3166"/>
      <c r="E479" s="3165"/>
    </row>
    <row r="480" spans="1:5" s="1969" customFormat="1">
      <c r="A480" s="3165"/>
      <c r="C480" s="3166"/>
      <c r="E480" s="3165"/>
    </row>
    <row r="481" spans="1:5" s="1969" customFormat="1">
      <c r="A481" s="3165"/>
      <c r="C481" s="3166"/>
      <c r="E481" s="3165"/>
    </row>
    <row r="482" spans="1:5" s="1969" customFormat="1">
      <c r="A482" s="3165"/>
      <c r="C482" s="3166"/>
      <c r="E482" s="3165"/>
    </row>
    <row r="483" spans="1:5" s="1969" customFormat="1">
      <c r="A483" s="3165"/>
      <c r="C483" s="3166"/>
      <c r="E483" s="3165"/>
    </row>
    <row r="484" spans="1:5" s="1969" customFormat="1">
      <c r="A484" s="3165"/>
      <c r="C484" s="3166"/>
      <c r="E484" s="3165"/>
    </row>
    <row r="485" spans="1:5" s="1969" customFormat="1">
      <c r="A485" s="3165"/>
      <c r="C485" s="3166"/>
      <c r="E485" s="3165"/>
    </row>
    <row r="486" spans="1:5" s="1969" customFormat="1">
      <c r="A486" s="3165"/>
      <c r="C486" s="3166"/>
      <c r="E486" s="3165"/>
    </row>
    <row r="487" spans="1:5" s="1969" customFormat="1">
      <c r="A487" s="3165"/>
      <c r="C487" s="3166"/>
      <c r="E487" s="3165"/>
    </row>
    <row r="488" spans="1:5" s="1969" customFormat="1">
      <c r="A488" s="3165"/>
      <c r="C488" s="3166"/>
      <c r="E488" s="3165"/>
    </row>
    <row r="489" spans="1:5" s="1969" customFormat="1">
      <c r="A489" s="3165"/>
      <c r="C489" s="3166"/>
      <c r="E489" s="3165"/>
    </row>
    <row r="490" spans="1:5" s="1969" customFormat="1">
      <c r="A490" s="3165"/>
      <c r="C490" s="3166"/>
      <c r="E490" s="316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1B4D3-D885-4A58-97C7-DAFA9937BEFB}">
  <dimension ref="A1:H22"/>
  <sheetViews>
    <sheetView tabSelected="1" workbookViewId="0">
      <selection activeCell="E9" sqref="E9"/>
    </sheetView>
  </sheetViews>
  <sheetFormatPr defaultColWidth="8.875" defaultRowHeight="13.5"/>
  <cols>
    <col min="1" max="1" width="8.875" style="3567"/>
    <col min="2" max="2" width="9.5" style="3567" bestFit="1" customWidth="1"/>
    <col min="3" max="3" width="22" style="3567" customWidth="1"/>
    <col min="4" max="4" width="14.875" style="3567" customWidth="1"/>
    <col min="5" max="5" width="11.625" style="3567" bestFit="1" customWidth="1"/>
    <col min="6" max="6" width="8.875" style="3567"/>
    <col min="7" max="7" width="9.375" style="3567" customWidth="1"/>
    <col min="8" max="16384" width="8.875" style="3567"/>
  </cols>
  <sheetData>
    <row r="1" spans="1:8">
      <c r="A1" s="3564" t="s">
        <v>3352</v>
      </c>
      <c r="B1" s="3565" t="s">
        <v>3353</v>
      </c>
      <c r="C1" s="3566" t="s">
        <v>3354</v>
      </c>
      <c r="D1" s="3939" t="s">
        <v>3381</v>
      </c>
      <c r="E1" s="3564" t="s">
        <v>3355</v>
      </c>
      <c r="F1" s="3564"/>
      <c r="G1" s="3564"/>
    </row>
    <row r="2" spans="1:8">
      <c r="A2" s="3564">
        <f>[3]基准地价修正!$C$33</f>
        <v>1317</v>
      </c>
      <c r="B2" s="3565">
        <f ca="1">'剩余法-现房'!B4</f>
        <v>2754</v>
      </c>
      <c r="C2" s="3564">
        <f ca="1">ROUND(A5*(1-C5),0)</f>
        <v>1324</v>
      </c>
      <c r="D2" s="3940">
        <f ca="1">ROUND(C2/(1-1/((1+不动产收益法!F40)^50)),0)</f>
        <v>1450</v>
      </c>
      <c r="E2" s="3564">
        <v>0.3</v>
      </c>
      <c r="F2" s="3564" t="s">
        <v>3356</v>
      </c>
      <c r="G2" s="3564" t="s">
        <v>3357</v>
      </c>
      <c r="H2" s="3578" t="s">
        <v>3380</v>
      </c>
    </row>
    <row r="3" spans="1:8">
      <c r="A3" s="3564">
        <v>0.3</v>
      </c>
      <c r="B3" s="3565">
        <f>1-A3</f>
        <v>0.7</v>
      </c>
      <c r="C3" s="3564" t="s">
        <v>3358</v>
      </c>
      <c r="D3" s="3564"/>
      <c r="E3" s="3564"/>
      <c r="F3" s="3564">
        <f ca="1">ROUND(D2*E2+C4*E4,0)</f>
        <v>4247</v>
      </c>
      <c r="G3" s="3568">
        <f ca="1">F3/15</f>
        <v>283.13333333333333</v>
      </c>
    </row>
    <row r="4" spans="1:8">
      <c r="A4" s="3564"/>
      <c r="B4" s="3565"/>
      <c r="C4" s="3940">
        <f ca="1">成本逼近法!B4</f>
        <v>5445</v>
      </c>
      <c r="D4" s="3564"/>
      <c r="E4" s="3564">
        <f>1-E2</f>
        <v>0.7</v>
      </c>
      <c r="F4" s="3564"/>
      <c r="G4" s="3564"/>
    </row>
    <row r="5" spans="1:8">
      <c r="A5" s="3567">
        <f ca="1">ROUND(A2*A3+B2*B3,0)</f>
        <v>2323</v>
      </c>
      <c r="B5" s="3567">
        <f ca="1">A5*'数据-汇总表'!D3</f>
        <v>51388941.399999999</v>
      </c>
      <c r="C5" s="3569">
        <v>0.43</v>
      </c>
      <c r="E5" s="3570">
        <f ca="1">F3*'[1]数据-汇总表'!D3/10000</f>
        <v>9395.1284599999999</v>
      </c>
    </row>
    <row r="7" spans="1:8">
      <c r="B7" s="3752" t="s">
        <v>3359</v>
      </c>
      <c r="C7" s="3752"/>
      <c r="D7" s="3752"/>
    </row>
    <row r="8" spans="1:8">
      <c r="B8" s="3565" t="s">
        <v>3360</v>
      </c>
      <c r="C8" s="3565" t="s">
        <v>2821</v>
      </c>
      <c r="D8" s="3565" t="s">
        <v>3361</v>
      </c>
    </row>
    <row r="9" spans="1:8">
      <c r="B9" s="3565">
        <v>1</v>
      </c>
      <c r="C9" s="3565" t="s">
        <v>3362</v>
      </c>
      <c r="D9" s="3571">
        <f ca="1">ROUND(F3*'[1]数据-基础表'!A3/10000,4)</f>
        <v>9395.1285000000007</v>
      </c>
    </row>
    <row r="10" spans="1:8">
      <c r="B10" s="3565">
        <v>2</v>
      </c>
      <c r="C10" s="3565" t="s">
        <v>3363</v>
      </c>
      <c r="D10" s="3571">
        <f>[4]南法信!$B$30/10000</f>
        <v>580.98389999999995</v>
      </c>
    </row>
    <row r="11" spans="1:8">
      <c r="B11" s="3565">
        <v>3</v>
      </c>
      <c r="C11" s="3565" t="s">
        <v>3364</v>
      </c>
      <c r="D11" s="3571">
        <f>([5]Sheet1!$J$26+[4]Sheet1!$G$51)/10000</f>
        <v>67.515500000000003</v>
      </c>
    </row>
    <row r="12" spans="1:8">
      <c r="B12" s="3565">
        <v>4</v>
      </c>
      <c r="C12" s="3565" t="s">
        <v>3365</v>
      </c>
      <c r="D12" s="3572">
        <v>0</v>
      </c>
    </row>
    <row r="13" spans="1:8" ht="67.5">
      <c r="B13" s="3565">
        <v>5</v>
      </c>
      <c r="C13" s="3565" t="s">
        <v>3366</v>
      </c>
      <c r="D13" s="3572">
        <f>[6]停产停业损失补偿!G14</f>
        <v>0</v>
      </c>
      <c r="G13" s="3446" t="s">
        <v>3367</v>
      </c>
    </row>
    <row r="14" spans="1:8">
      <c r="B14" s="3565">
        <v>6</v>
      </c>
      <c r="C14" s="3565" t="s">
        <v>3368</v>
      </c>
      <c r="D14" s="3572">
        <v>0</v>
      </c>
    </row>
    <row r="15" spans="1:8" ht="77.099999999999994" customHeight="1">
      <c r="B15" s="3565">
        <v>7</v>
      </c>
      <c r="C15" s="3565" t="s">
        <v>3369</v>
      </c>
      <c r="D15" s="3571">
        <f>ROUND(6546.1*50/10000,4)</f>
        <v>32.730499999999999</v>
      </c>
      <c r="G15" s="3446" t="s">
        <v>3370</v>
      </c>
    </row>
    <row r="16" spans="1:8">
      <c r="B16" s="3753" t="s">
        <v>3371</v>
      </c>
      <c r="C16" s="3753"/>
      <c r="D16" s="3565">
        <f ca="1">SUM(D9:D15)</f>
        <v>10076.358399999999</v>
      </c>
    </row>
    <row r="17" spans="2:4">
      <c r="B17" s="3753" t="s">
        <v>3168</v>
      </c>
      <c r="C17" s="3753"/>
      <c r="D17" s="3565">
        <f ca="1">ROUND(D16*10000/'[1]数据-基础表'!A3,0)</f>
        <v>4555</v>
      </c>
    </row>
    <row r="18" spans="2:4">
      <c r="B18" s="3753" t="s">
        <v>3357</v>
      </c>
      <c r="C18" s="3753"/>
      <c r="D18" s="3565">
        <f ca="1">ROUND(D17/15,0)</f>
        <v>304</v>
      </c>
    </row>
    <row r="22" spans="2:4">
      <c r="D22" s="3567">
        <f ca="1">D16-9573.6936</f>
        <v>502.66479999999865</v>
      </c>
    </row>
  </sheetData>
  <mergeCells count="4">
    <mergeCell ref="B7:D7"/>
    <mergeCell ref="B16:C16"/>
    <mergeCell ref="B17:C17"/>
    <mergeCell ref="B18:C18"/>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1870</v>
      </c>
      <c r="B36" s="1556" t="s">
        <v>1871</v>
      </c>
    </row>
    <row r="37" spans="1:9" ht="28.5" customHeight="1">
      <c r="A37" s="1556"/>
      <c r="B37" s="3579" t="str">
        <f>项目基本情况!B1</f>
        <v>北京市划拨国有建设用地使用权市场价格预评估</v>
      </c>
      <c r="C37" s="3579"/>
      <c r="D37" s="3579"/>
      <c r="E37" s="3579"/>
      <c r="F37" s="3579"/>
      <c r="G37" s="3579"/>
      <c r="H37" s="3579"/>
      <c r="I37" s="3579"/>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2.7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4CDC3-E6A2-4351-8FD8-46D484B7348A}">
  <sheetPr>
    <tabColor rgb="FF92D050"/>
  </sheetPr>
  <dimension ref="A1:AR118"/>
  <sheetViews>
    <sheetView view="pageBreakPreview" zoomScale="85" zoomScaleNormal="60" zoomScaleSheetLayoutView="85" workbookViewId="0">
      <selection activeCell="C19" sqref="C19"/>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966</v>
      </c>
      <c r="D1" s="1435">
        <f>SUM(D29:D30,D33:D39)</f>
        <v>22121.8</v>
      </c>
      <c r="E1" s="1329" t="s">
        <v>2389</v>
      </c>
      <c r="F1" s="2278">
        <f>'数据-汇总表'!F19</f>
        <v>22121.8</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75">
      <c r="A2" s="1329" t="s">
        <v>895</v>
      </c>
      <c r="B2" s="1007">
        <f ca="1">C26</f>
        <v>15244</v>
      </c>
      <c r="C2" s="1330" t="s">
        <v>896</v>
      </c>
      <c r="D2" s="1331" t="s">
        <v>873</v>
      </c>
      <c r="E2" s="1332" t="s">
        <v>3377</v>
      </c>
      <c r="F2" s="1331" t="s">
        <v>874</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Ⅷ-顺1</v>
      </c>
      <c r="J2" s="1333"/>
      <c r="K2" s="3191"/>
      <c r="L2" s="1772" t="s">
        <v>2206</v>
      </c>
      <c r="M2" s="1773">
        <f>SUMPRODUCT((区片价!B10:B28=I2)*(区片价!C3:F3=E2)*(区片价!C10:F28))</f>
        <v>0</v>
      </c>
      <c r="N2" s="1774">
        <f>SUMPRODUCT((因素修正幅度!B10:B28=I2)*(因素修正幅度!C3:F3=E2)*(因素修正幅度!C10:F28))</f>
        <v>0</v>
      </c>
      <c r="O2" s="3191"/>
      <c r="P2" s="2041"/>
      <c r="Q2" s="2041"/>
      <c r="R2" s="2622">
        <v>1</v>
      </c>
      <c r="S2" s="2622">
        <f>ROUND(IF(G3&gt;1,IF(R2&lt;7,SUMPRODUCT((B93:B98=R2)*(C92:N92=G2)*(C93:N98)),SUMIF(C92:N92,G2,C100:N100)),IF(R2&lt;7,SUMPRODUCT((B102:B107=R2)*(C92:N92=G2)*(C102:N107)),SUMIF(C92:N92,G2,C109:N109))),4)</f>
        <v>1.9419999999999999</v>
      </c>
      <c r="T2" s="2622">
        <f ca="1">ROUND($C$5*$C$18*$C$19*$C$20*S2*$C$24,0)</f>
        <v>15022</v>
      </c>
      <c r="U2" s="2611"/>
      <c r="V2" s="2622">
        <f ca="1">ROUND(T2*U2/10000,0)</f>
        <v>0</v>
      </c>
      <c r="W2" s="2041"/>
      <c r="X2" s="2041"/>
      <c r="Y2" s="2041"/>
      <c r="Z2" s="2041"/>
      <c r="AA2" s="2041"/>
      <c r="AB2" s="2041"/>
      <c r="AC2" s="2042"/>
    </row>
    <row r="3" spans="1:39" ht="15.75">
      <c r="A3" s="1334" t="s">
        <v>1662</v>
      </c>
      <c r="B3" s="1007">
        <f ca="1">ROUND(B2*10000/D1,0)</f>
        <v>6891</v>
      </c>
      <c r="C3" s="1330" t="s">
        <v>902</v>
      </c>
      <c r="D3" s="1331" t="s">
        <v>903</v>
      </c>
      <c r="E3" s="1335" t="s">
        <v>3379</v>
      </c>
      <c r="F3" s="1336" t="s">
        <v>3145</v>
      </c>
      <c r="G3" s="1008">
        <v>2.5</v>
      </c>
      <c r="H3" s="1337" t="s">
        <v>904</v>
      </c>
      <c r="I3" s="1009"/>
      <c r="J3" s="1333" t="s">
        <v>905</v>
      </c>
      <c r="K3" s="3191"/>
      <c r="L3" s="1772" t="s">
        <v>2207</v>
      </c>
      <c r="M3" s="1773">
        <f>SUMPRODUCT((区片价!B29:B48=I2)*(区片价!C3:F3=E2)*(区片价!C29:F48))</f>
        <v>0</v>
      </c>
      <c r="N3" s="1774">
        <f>SUMPRODUCT((因素修正幅度!B29:B48=I2)*(因素修正幅度!C3:F3=E2)*(因素修正幅度!C29:F48))</f>
        <v>0</v>
      </c>
      <c r="O3" s="3191"/>
      <c r="P3" s="2041"/>
      <c r="Q3" s="2041"/>
      <c r="R3" s="2622">
        <v>2</v>
      </c>
      <c r="S3" s="2622">
        <f>ROUND(IF(G3&gt;1,IF(R3&lt;7,SUMPRODUCT((B93:B98=R3)*(C92:N92=G2)*(C93:N98)),SUMIF(C92:N92,G2,C100:N100)),IF(R3&lt;7,SUMPRODUCT((B102:B107=R3)*(C92:N92=G2)*(C102:N107)),SUMIF(C92:N92,G2,C109:N109))),4)</f>
        <v>1.2799</v>
      </c>
      <c r="T3" s="2622">
        <f t="shared" ref="T3:T16" ca="1" si="0">ROUND($C$5*$C$18*$C$19*$C$20*S3*$C$24,0)</f>
        <v>9901</v>
      </c>
      <c r="U3" s="2611"/>
      <c r="V3" s="2622">
        <f t="shared" ref="V3:V16" ca="1" si="1">ROUND(T3*U3/10000,0)</f>
        <v>0</v>
      </c>
      <c r="W3" s="2041"/>
      <c r="X3" s="2041"/>
      <c r="Y3" s="2041"/>
      <c r="Z3" s="2041"/>
      <c r="AA3" s="2041"/>
      <c r="AB3" s="2041"/>
      <c r="AC3" s="2042"/>
    </row>
    <row r="4" spans="1:39" ht="28.5">
      <c r="A4" s="1778" t="s">
        <v>2246</v>
      </c>
      <c r="B4" s="2279">
        <f ca="1">ROUND(B2*10000/F1,0)</f>
        <v>6891</v>
      </c>
      <c r="C4" s="1781" t="s">
        <v>2221</v>
      </c>
      <c r="D4" s="1781">
        <f ca="1">ROUND(B2/(F1/666.67),0)</f>
        <v>459</v>
      </c>
      <c r="E4" s="1781" t="s">
        <v>2222</v>
      </c>
      <c r="F4" s="1779"/>
      <c r="G4" s="1779"/>
      <c r="H4" s="1779"/>
      <c r="I4" s="1779"/>
      <c r="J4" s="1780"/>
      <c r="K4" s="3192"/>
      <c r="L4" s="1772" t="s">
        <v>2208</v>
      </c>
      <c r="M4" s="1773">
        <f>SUMPRODUCT((区片价!B49:B75=I2)*(区片价!C3:F3=E2)*(区片价!C49:F75))</f>
        <v>0</v>
      </c>
      <c r="N4" s="1774">
        <f>SUMPRODUCT((因素修正幅度!B49:B75=I2)*(因素修正幅度!C3:F3=E2)*(因素修正幅度!C49:F75))</f>
        <v>0</v>
      </c>
      <c r="O4" s="3192"/>
      <c r="P4" s="2041"/>
      <c r="Q4" s="2041"/>
      <c r="R4" s="2622">
        <v>3</v>
      </c>
      <c r="S4" s="2622">
        <f>ROUND(IF(G3&gt;1,IF(R4&lt;7,SUMPRODUCT((B93:B98=R4)*(C92:N92=G2)*(C93:N98)),SUMIF(C92:N92,G2,C100:N100)),IF(R4&lt;7,SUMPRODUCT((B102:B107=R4)*(C92:N92=G2)*(C102:N107)),SUMIF(C92:N92,G2,C109:N109))),4)</f>
        <v>1.0072000000000001</v>
      </c>
      <c r="T4" s="2622">
        <f t="shared" ca="1" si="0"/>
        <v>7791</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5540</v>
      </c>
      <c r="D5" s="2759">
        <f>ROUND(C6+C16,0)</f>
        <v>5540</v>
      </c>
      <c r="E5" s="2759"/>
      <c r="F5" s="1339"/>
      <c r="G5" s="1340"/>
      <c r="H5" s="1340"/>
      <c r="I5" s="1340"/>
      <c r="J5" s="1341"/>
      <c r="K5" s="3193"/>
      <c r="L5" s="1772" t="s">
        <v>2209</v>
      </c>
      <c r="M5" s="1773">
        <f>SUMPRODUCT((区片价!B76:B109=I2)*(区片价!C3:F3=E2)*(区片价!C76:F109))</f>
        <v>0</v>
      </c>
      <c r="N5" s="1774">
        <f>SUMPRODUCT((因素修正幅度!B76:B109=I2)*(因素修正幅度!C3:F3=E2)*(因素修正幅度!C76:F109))</f>
        <v>0</v>
      </c>
      <c r="O5" s="3193"/>
      <c r="P5" s="3196"/>
      <c r="Q5" s="2041"/>
      <c r="R5" s="2622">
        <v>4</v>
      </c>
      <c r="S5" s="2622">
        <f>ROUND(IF(G3&gt;1,IF(R5&lt;7,SUMPRODUCT((B93:B98=R5)*(C92:N92=G2)*(C93:N98)),SUMIF(C92:N92,G2,C100:N100)),IF(R5&lt;7,SUMPRODUCT((B102:B107=R5)*(C92:N92=G2)*(C102:N107)),SUMIF(C92:N92,G2,C109:N109))),4)</f>
        <v>0.75249999999999995</v>
      </c>
      <c r="T5" s="2622">
        <f t="shared" ca="1" si="0"/>
        <v>5821</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 (商业)'!G2,M1:M12)</f>
        <v>5540</v>
      </c>
      <c r="D6" s="1346" t="s">
        <v>1670</v>
      </c>
      <c r="E6" s="1347"/>
      <c r="F6" s="1347"/>
      <c r="G6" s="1348"/>
      <c r="H6" s="1348"/>
      <c r="I6" s="1348"/>
      <c r="J6" s="1349"/>
      <c r="K6" s="3194"/>
      <c r="L6" s="1772" t="s">
        <v>2210</v>
      </c>
      <c r="M6" s="1773">
        <f>SUMPRODUCT((区片价!B110:B157=I2)*(区片价!C3:F3=E2)*(区片价!C110:F157))</f>
        <v>0</v>
      </c>
      <c r="N6" s="1774">
        <f>SUMPRODUCT((因素修正幅度!B110:B157=I2)*(因素修正幅度!C3:F3=E2)*(因素修正幅度!C110:F157))</f>
        <v>0</v>
      </c>
      <c r="O6" s="3194"/>
      <c r="P6" s="3197"/>
      <c r="Q6" s="2041"/>
      <c r="R6" s="2622">
        <v>5</v>
      </c>
      <c r="S6" s="2622">
        <f>ROUND(IF(G3&gt;1,IF(R6&lt;7,SUMPRODUCT((B93:B98=R6)*(C92:N92=G2)*(C93:N98)),SUMIF(C92:N92,G2,C100:N100)),IF(R6&lt;7,SUMPRODUCT((B102:B107=R6)*(C92:N92=G2)*(C102:N107)),SUMIF(C92:N92,G2,C109:N109))),4)</f>
        <v>0.56589999999999996</v>
      </c>
      <c r="T6" s="2622">
        <f t="shared" ca="1" si="0"/>
        <v>4378</v>
      </c>
      <c r="U6" s="2611"/>
      <c r="V6" s="2622">
        <f t="shared" ca="1" si="1"/>
        <v>0</v>
      </c>
      <c r="W6" s="2041"/>
      <c r="X6" s="2041"/>
      <c r="Y6" s="2041"/>
      <c r="Z6" s="2041"/>
      <c r="AA6" s="2041"/>
      <c r="AB6" s="2041"/>
      <c r="AC6" s="2043"/>
      <c r="AD6" s="1342"/>
      <c r="AE6" s="1342"/>
      <c r="AF6" s="1342"/>
      <c r="AG6" s="1342"/>
      <c r="AH6" s="1342"/>
      <c r="AI6" s="1342"/>
      <c r="AJ6" s="1343"/>
    </row>
    <row r="7" spans="1:39" ht="24">
      <c r="A7" s="3754" t="str">
        <f>IF(E2="商业",IF(C8="不临58条商业街","",2),"")</f>
        <v/>
      </c>
      <c r="B7" s="1350" t="s">
        <v>907</v>
      </c>
      <c r="C7" s="1012">
        <f>IF(C8="不临58条商业街",1,ROUND(1+(1.6*E8+1.2*E9+0.8*E10+0.4*E11)*C9,4))</f>
        <v>1</v>
      </c>
      <c r="D7" s="1351" t="s">
        <v>908</v>
      </c>
      <c r="E7" s="1013"/>
      <c r="F7" s="1352"/>
      <c r="G7" s="1353"/>
      <c r="H7" s="1353"/>
      <c r="I7" s="1353"/>
      <c r="J7" s="1354"/>
      <c r="K7" s="3194"/>
      <c r="L7" s="1772" t="s">
        <v>2211</v>
      </c>
      <c r="M7" s="1773">
        <f>SUMPRODUCT((区片价!B158:B205=I2)*(区片价!C3:F3=E2)*(区片价!C158:F205))</f>
        <v>0</v>
      </c>
      <c r="N7" s="1774">
        <f>SUMPRODUCT((因素修正幅度!B158:B205=I2)*(因素修正幅度!C3:F3=E2)*(因素修正幅度!C158:F205))</f>
        <v>0</v>
      </c>
      <c r="O7" s="3194"/>
      <c r="P7" s="3197"/>
      <c r="Q7" s="2041"/>
      <c r="R7" s="2622">
        <v>6</v>
      </c>
      <c r="S7" s="2622">
        <f>ROUND(IF(G3&gt;1,IF(R7&lt;7,SUMPRODUCT((B93:B98=R7)*(C92:N92=G2)*(C93:N98)),SUMIF(C92:N92,G2,C100:N100)),IF(R7&lt;7,SUMPRODUCT((B102:B107=R7)*(C92:N92=G2)*(C102:N107)),SUMIF(C92:N92,G2,C109:N109))),4)</f>
        <v>0.45250000000000001</v>
      </c>
      <c r="T7" s="2622">
        <f t="shared" ca="1" si="0"/>
        <v>3500</v>
      </c>
      <c r="U7" s="2611"/>
      <c r="V7" s="2622">
        <f t="shared" ca="1" si="1"/>
        <v>0</v>
      </c>
      <c r="W7" s="3577" t="s">
        <v>2717</v>
      </c>
      <c r="X7" s="2612" t="str">
        <f>G2</f>
        <v>八级</v>
      </c>
      <c r="Y7" s="2612" t="s">
        <v>2718</v>
      </c>
      <c r="Z7" s="2613">
        <f>G3</f>
        <v>2.5</v>
      </c>
      <c r="AA7" s="2044"/>
      <c r="AB7" s="2044"/>
      <c r="AC7" s="2045"/>
      <c r="AD7" s="2614"/>
      <c r="AE7" s="2614"/>
      <c r="AF7" s="2614"/>
      <c r="AG7" s="2614"/>
      <c r="AH7" s="2614"/>
      <c r="AI7" s="2614"/>
      <c r="AJ7" s="2615"/>
    </row>
    <row r="8" spans="1:39" ht="25.5">
      <c r="A8" s="3758"/>
      <c r="B8" s="1337" t="s">
        <v>909</v>
      </c>
      <c r="C8" s="1443" t="s">
        <v>3378</v>
      </c>
      <c r="D8" s="1014" t="s">
        <v>910</v>
      </c>
      <c r="E8" s="1015" t="e">
        <f>ROUND(C11/E7,4)</f>
        <v>#DIV/0!</v>
      </c>
      <c r="F8" s="1355" t="s">
        <v>911</v>
      </c>
      <c r="G8" s="1356"/>
      <c r="H8" s="1356"/>
      <c r="I8" s="1356"/>
      <c r="J8" s="1357"/>
      <c r="K8" s="3194"/>
      <c r="L8" s="1772" t="s">
        <v>2212</v>
      </c>
      <c r="M8" s="1773">
        <f>SUMPRODUCT((区片价!B206:B244=I2)*(区片价!C3:F3=E2)*(区片价!C206:F244))</f>
        <v>5540</v>
      </c>
      <c r="N8" s="1774">
        <f>SUMPRODUCT((因素修正幅度!B206:B244=I2)*(因素修正幅度!C3:F3=E2)*(因素修正幅度!C206:F244))</f>
        <v>0.15</v>
      </c>
      <c r="O8" s="3194"/>
      <c r="P8" s="2041"/>
      <c r="Q8" s="2041"/>
      <c r="R8" s="2622">
        <v>7</v>
      </c>
      <c r="S8" s="2611"/>
      <c r="T8" s="2622">
        <f t="shared" ca="1" si="0"/>
        <v>0</v>
      </c>
      <c r="U8" s="2611"/>
      <c r="V8" s="2622">
        <f t="shared" ca="1" si="1"/>
        <v>0</v>
      </c>
      <c r="W8" s="3759" t="s">
        <v>2735</v>
      </c>
      <c r="X8" s="3760"/>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58"/>
      <c r="B9" s="1337" t="s">
        <v>912</v>
      </c>
      <c r="C9" s="1016">
        <f>SUMIF(修正!C59:C119,C8,修正!E59:E119)</f>
        <v>0</v>
      </c>
      <c r="D9" s="1017" t="s">
        <v>913</v>
      </c>
      <c r="E9" s="1017" t="e">
        <f>ROUND(C11/E7,4)</f>
        <v>#DIV/0!</v>
      </c>
      <c r="F9" s="1355" t="s">
        <v>914</v>
      </c>
      <c r="G9" s="1356"/>
      <c r="H9" s="1356"/>
      <c r="I9" s="1356"/>
      <c r="J9" s="1357"/>
      <c r="K9" s="3194"/>
      <c r="L9" s="1772" t="s">
        <v>2213</v>
      </c>
      <c r="M9" s="1773">
        <f>SUMPRODUCT((区片价!B245:B289=I2)*(区片价!C3:F3=E2)*(区片价!C245:F289))</f>
        <v>0</v>
      </c>
      <c r="N9" s="1774">
        <f>SUMPRODUCT((因素修正幅度!B245:B289=I2)*(因素修正幅度!C3:F3=E2)*(因素修正幅度!C245:F289))</f>
        <v>0</v>
      </c>
      <c r="O9" s="3194"/>
      <c r="P9" s="2041"/>
      <c r="Q9" s="2041"/>
      <c r="R9" s="2622">
        <v>8</v>
      </c>
      <c r="S9" s="2611"/>
      <c r="T9" s="2622">
        <f t="shared" ca="1" si="0"/>
        <v>0</v>
      </c>
      <c r="U9" s="2611"/>
      <c r="V9" s="2622">
        <f t="shared" ca="1" si="1"/>
        <v>0</v>
      </c>
      <c r="W9" s="3761"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58"/>
      <c r="B10" s="1337" t="s">
        <v>915</v>
      </c>
      <c r="C10" s="1017">
        <f>SUMIF(修正!C59:C119,C8,修正!F59:F119)</f>
        <v>0</v>
      </c>
      <c r="D10" s="1017" t="s">
        <v>916</v>
      </c>
      <c r="E10" s="1017" t="e">
        <f>ROUND(C11/E7,4)</f>
        <v>#DIV/0!</v>
      </c>
      <c r="F10" s="1355" t="s">
        <v>917</v>
      </c>
      <c r="G10" s="1356"/>
      <c r="H10" s="1356"/>
      <c r="I10" s="1356"/>
      <c r="J10" s="1357"/>
      <c r="K10" s="3194"/>
      <c r="L10" s="1772" t="s">
        <v>2214</v>
      </c>
      <c r="M10" s="1773">
        <f>SUMPRODUCT((区片价!B290:B316=I2)*(区片价!C3:F3=E2)*(区片价!C290:F316))</f>
        <v>0</v>
      </c>
      <c r="N10" s="1774">
        <f>SUMPRODUCT((因素修正幅度!B290:B316=I2)*(因素修正幅度!C3:F3=E2)*(因素修正幅度!C290:F316))</f>
        <v>0</v>
      </c>
      <c r="O10" s="3194"/>
      <c r="P10" s="2041"/>
      <c r="Q10" s="2041"/>
      <c r="R10" s="2622">
        <v>9</v>
      </c>
      <c r="S10" s="2611"/>
      <c r="T10" s="2622">
        <f t="shared" ca="1" si="0"/>
        <v>0</v>
      </c>
      <c r="U10" s="2611"/>
      <c r="V10" s="2622">
        <f t="shared" ca="1" si="1"/>
        <v>0</v>
      </c>
      <c r="W10" s="3761"/>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58"/>
      <c r="B11" s="1358" t="s">
        <v>918</v>
      </c>
      <c r="C11" s="1018">
        <f>C10/4</f>
        <v>0</v>
      </c>
      <c r="D11" s="1018" t="s">
        <v>919</v>
      </c>
      <c r="E11" s="1018" t="e">
        <f>ROUND(C11/E7,4)</f>
        <v>#DIV/0!</v>
      </c>
      <c r="F11" s="1359" t="s">
        <v>920</v>
      </c>
      <c r="G11" s="1360"/>
      <c r="H11" s="1360"/>
      <c r="I11" s="1360"/>
      <c r="J11" s="1361"/>
      <c r="K11" s="3194"/>
      <c r="L11" s="1772" t="s">
        <v>2215</v>
      </c>
      <c r="M11" s="1773">
        <f>SUMPRODUCT((区片价!B317:B337=I2)*(区片价!C3:F3=E2)*(区片价!C317:F337))</f>
        <v>0</v>
      </c>
      <c r="N11" s="1774">
        <f>SUMPRODUCT((因素修正幅度!B317:B337=I2)*(因素修正幅度!C3:F3=E2)*(因素修正幅度!C317:F337))</f>
        <v>0</v>
      </c>
      <c r="O11" s="3194"/>
      <c r="P11" s="2041"/>
      <c r="Q11" s="2041"/>
      <c r="R11" s="2622">
        <v>10</v>
      </c>
      <c r="S11" s="2611"/>
      <c r="T11" s="2622">
        <f t="shared" ca="1" si="0"/>
        <v>0</v>
      </c>
      <c r="U11" s="2611"/>
      <c r="V11" s="2622">
        <f t="shared" ca="1" si="1"/>
        <v>0</v>
      </c>
      <c r="W11" s="3761" t="s">
        <v>2733</v>
      </c>
      <c r="X11" s="1017" t="s">
        <v>2718</v>
      </c>
      <c r="Y11" s="1555">
        <f>$G$3</f>
        <v>2.5</v>
      </c>
      <c r="Z11" s="1555">
        <f t="shared" ref="Z11:AJ11" si="3">$G$3</f>
        <v>2.5</v>
      </c>
      <c r="AA11" s="1555">
        <f t="shared" si="3"/>
        <v>2.5</v>
      </c>
      <c r="AB11" s="1555">
        <f t="shared" si="3"/>
        <v>2.5</v>
      </c>
      <c r="AC11" s="1555">
        <f t="shared" si="3"/>
        <v>2.5</v>
      </c>
      <c r="AD11" s="1555">
        <f t="shared" si="3"/>
        <v>2.5</v>
      </c>
      <c r="AE11" s="1555">
        <f t="shared" si="3"/>
        <v>2.5</v>
      </c>
      <c r="AF11" s="1555">
        <f t="shared" si="3"/>
        <v>2.5</v>
      </c>
      <c r="AG11" s="1555">
        <f t="shared" si="3"/>
        <v>2.5</v>
      </c>
      <c r="AH11" s="1555">
        <f t="shared" si="3"/>
        <v>2.5</v>
      </c>
      <c r="AI11" s="1555">
        <f t="shared" si="3"/>
        <v>2.5</v>
      </c>
      <c r="AJ11" s="1555">
        <f t="shared" si="3"/>
        <v>2.5</v>
      </c>
    </row>
    <row r="12" spans="1:39" ht="25.5" thickBot="1">
      <c r="A12" s="3754" t="s">
        <v>1840</v>
      </c>
      <c r="B12" s="1362" t="s">
        <v>921</v>
      </c>
      <c r="C12" s="1012">
        <f>ROUND(C15*D15*E15*F15*G15*H15*I15*J15,4)</f>
        <v>1</v>
      </c>
      <c r="D12" s="1363" t="s">
        <v>922</v>
      </c>
      <c r="E12" s="1364"/>
      <c r="F12" s="1364"/>
      <c r="G12" s="1365"/>
      <c r="H12" s="1365"/>
      <c r="I12" s="1365"/>
      <c r="J12" s="1366"/>
      <c r="K12" s="3194"/>
      <c r="L12" s="1775" t="s">
        <v>2216</v>
      </c>
      <c r="M12" s="1776">
        <f>SUMPRODUCT((区片价!B338:B344=I2)*(区片价!C3:F3=E2)*(区片价!C338:F344))</f>
        <v>0</v>
      </c>
      <c r="N12" s="1777">
        <f>SUMPRODUCT((因素修正幅度!B338:B344=I2)*(因素修正幅度!C3:F3=E2)*(因素修正幅度!C338:F344))</f>
        <v>0</v>
      </c>
      <c r="O12" s="3194"/>
      <c r="P12" s="2041"/>
      <c r="Q12" s="2041"/>
      <c r="R12" s="2622">
        <v>11</v>
      </c>
      <c r="S12" s="2611"/>
      <c r="T12" s="2622">
        <f t="shared" ca="1" si="0"/>
        <v>0</v>
      </c>
      <c r="U12" s="2611"/>
      <c r="V12" s="2622">
        <f t="shared" ca="1" si="1"/>
        <v>0</v>
      </c>
      <c r="W12" s="3761"/>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62"/>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61"/>
      <c r="X13" s="2619"/>
      <c r="Y13" s="2618">
        <f>(-0.163*(Y12^2)-0.59*Y12+7617)*(10^(-4))/Y11</f>
        <v>0.30468000000000001</v>
      </c>
      <c r="Z13" s="2618">
        <f t="shared" ref="Z13:AJ13" si="5">(-0.163*(Z12^2)-0.59*Z12+7617)*(10^(-4))/Z11</f>
        <v>0.30468000000000001</v>
      </c>
      <c r="AA13" s="2618">
        <f t="shared" si="5"/>
        <v>0.30468000000000001</v>
      </c>
      <c r="AB13" s="2618">
        <f t="shared" si="5"/>
        <v>0.30468000000000001</v>
      </c>
      <c r="AC13" s="2618">
        <f t="shared" si="5"/>
        <v>0.30468000000000001</v>
      </c>
      <c r="AD13" s="2618">
        <f t="shared" si="5"/>
        <v>0.30468000000000001</v>
      </c>
      <c r="AE13" s="2618">
        <f t="shared" si="5"/>
        <v>0.30468000000000001</v>
      </c>
      <c r="AF13" s="2618">
        <f t="shared" si="5"/>
        <v>0.30468000000000001</v>
      </c>
      <c r="AG13" s="2618">
        <f t="shared" si="5"/>
        <v>0.30468000000000001</v>
      </c>
      <c r="AH13" s="2618">
        <f t="shared" si="5"/>
        <v>0.30468000000000001</v>
      </c>
      <c r="AI13" s="2618">
        <f t="shared" si="5"/>
        <v>0.30468000000000001</v>
      </c>
      <c r="AJ13" s="2618">
        <f t="shared" si="5"/>
        <v>0.30468000000000001</v>
      </c>
    </row>
    <row r="14" spans="1:39" ht="12.75" customHeight="1">
      <c r="A14" s="3762"/>
      <c r="B14" s="1374"/>
      <c r="C14" s="1375"/>
      <c r="D14" s="1376"/>
      <c r="E14" s="1376"/>
      <c r="F14" s="1377"/>
      <c r="G14" s="1378" t="s">
        <v>924</v>
      </c>
      <c r="H14" s="1379"/>
      <c r="I14" s="1380"/>
      <c r="J14" s="1381"/>
      <c r="K14" s="3195"/>
      <c r="L14" s="3195"/>
      <c r="M14" s="3195"/>
      <c r="N14" s="3195"/>
      <c r="O14" s="3195"/>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63"/>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54" t="s">
        <v>1813</v>
      </c>
      <c r="B16" s="1350" t="s">
        <v>925</v>
      </c>
      <c r="C16" s="1021">
        <f>ROUND(IF(F17="与级别开发程度一致",0,(G17-E17)/C17),0)</f>
        <v>0</v>
      </c>
      <c r="D16" s="3756" t="s">
        <v>929</v>
      </c>
      <c r="E16" s="3757"/>
      <c r="F16" s="3756" t="s">
        <v>926</v>
      </c>
      <c r="G16" s="3757"/>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55"/>
      <c r="B17" s="2820" t="s">
        <v>928</v>
      </c>
      <c r="C17" s="2821">
        <f>SUMPRODUCT((修正!A2:A5=E2)*(修正!B1:M1=G2)*(修正!B2:M5))</f>
        <v>2</v>
      </c>
      <c r="D17" s="2822" t="str">
        <f>IF(OR(G2="八级",G2="九级",G2="十级",G2="十一级",G2="十二级"),"五通一平","七通一平")</f>
        <v>五通一平</v>
      </c>
      <c r="E17" s="2812">
        <f>SUMPRODUCT((修正!B1:M1=G2)*(修正!B15:M15))</f>
        <v>155</v>
      </c>
      <c r="F17" s="2813" t="s">
        <v>3146</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1801</v>
      </c>
      <c r="B18" s="2815" t="s">
        <v>930</v>
      </c>
      <c r="C18" s="2816">
        <f>SUMIF(修正!C18:C39,E3,修正!E18:E39)</f>
        <v>1</v>
      </c>
      <c r="D18" s="2817"/>
      <c r="E18" s="2818"/>
      <c r="F18" s="2801"/>
      <c r="G18" s="2800"/>
      <c r="H18" s="2800"/>
      <c r="I18" s="2800"/>
      <c r="J18" s="2808"/>
      <c r="K18" s="3193"/>
      <c r="L18" s="2800"/>
      <c r="M18" s="2800"/>
      <c r="N18" s="2800"/>
      <c r="O18" s="2800"/>
      <c r="P18" s="3198"/>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1802</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44614</v>
      </c>
      <c r="H19" s="1390" t="s">
        <v>3147</v>
      </c>
      <c r="I19" s="2471" t="str">
        <f>IF(H19="季度增幅（自定义）",SUMIF(N21:N24,E2,O21:O24),"")</f>
        <v/>
      </c>
      <c r="J19" s="1386"/>
      <c r="K19" s="3193"/>
      <c r="L19" s="2719" t="s">
        <v>2790</v>
      </c>
      <c r="M19" s="2720">
        <f>ROUND(SUMIF(地价!B2:F2,E2,地价!B37:F37),0)</f>
        <v>258</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v>40</v>
      </c>
      <c r="J20" s="2470">
        <f>IF(E2="住宅",70,IF(E2="商业",40,50))</f>
        <v>40</v>
      </c>
      <c r="K20" s="2810"/>
      <c r="L20" s="2721" t="s">
        <v>2791</v>
      </c>
      <c r="M20" s="2803">
        <f>ROUND(SUMPRODUCT((地价!A4:A37=YEAR(G19)&amp;"-"&amp;ROUNDUP(MONTH(G19)/3,0))*(地价!B2:F2=E2)*(地价!B4:F37)),0)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3148</v>
      </c>
      <c r="C21" s="1123">
        <f>IF(B21="容积率修正",IF(G3&lt;=10,D22,J22),C23)</f>
        <v>0.89080000000000004</v>
      </c>
      <c r="D21" s="1396"/>
      <c r="E21" s="1396"/>
      <c r="F21" s="1396"/>
      <c r="G21" s="1396"/>
      <c r="H21" s="1396"/>
      <c r="I21" s="1396"/>
      <c r="J21" s="1397"/>
      <c r="K21" s="3193"/>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0.89080000000000004</v>
      </c>
      <c r="E22" s="1008">
        <f>ROUNDDOWN(G3,1)</f>
        <v>2.5</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0.89080000000000004</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0.89080000000000004</v>
      </c>
      <c r="I22" s="1025" t="s">
        <v>952</v>
      </c>
      <c r="J22" s="1025" t="str">
        <f>IF(G3&gt;10,D113,"——")</f>
        <v>——</v>
      </c>
      <c r="K22" s="3199"/>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0"/>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0"/>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194"/>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15244</v>
      </c>
      <c r="D26" s="1404"/>
      <c r="E26" s="1379"/>
      <c r="F26" s="1405"/>
      <c r="G26" s="1379"/>
      <c r="H26" s="1379"/>
      <c r="I26" s="1379"/>
      <c r="J26" s="1406"/>
      <c r="K26" s="3194"/>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194"/>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194"/>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6891</v>
      </c>
      <c r="D29" s="1418">
        <f>F1</f>
        <v>22121.8</v>
      </c>
      <c r="E29" s="1736">
        <f ca="1">ROUND(C29*D29/10000,0)</f>
        <v>15244</v>
      </c>
      <c r="F29" s="1419" t="s">
        <v>1676</v>
      </c>
      <c r="G29" s="1420"/>
      <c r="H29" s="1420"/>
      <c r="I29" s="1420"/>
      <c r="J29" s="1421"/>
      <c r="K29" s="3201"/>
      <c r="L29" s="3201"/>
      <c r="M29" s="3201"/>
      <c r="N29" s="3201"/>
      <c r="O29" s="3201"/>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1723</v>
      </c>
      <c r="D30" s="1424"/>
      <c r="E30" s="1736">
        <f ca="1">ROUND(C30*D30/10000,0)</f>
        <v>0</v>
      </c>
      <c r="F30" s="1425" t="s">
        <v>970</v>
      </c>
      <c r="G30" s="1426"/>
      <c r="H30" s="1426"/>
      <c r="I30" s="1426"/>
      <c r="J30" s="1427"/>
      <c r="K30" s="3194"/>
      <c r="L30" s="3194"/>
      <c r="M30" s="3194"/>
      <c r="N30" s="3194"/>
      <c r="O30" s="3194"/>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194"/>
      <c r="L31" s="3194"/>
      <c r="M31" s="3194"/>
      <c r="N31" s="3194"/>
      <c r="O31" s="3194"/>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2"/>
      <c r="L32" s="3202"/>
      <c r="M32" s="3202"/>
      <c r="N32" s="3202"/>
      <c r="O32" s="3202"/>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70"/>
      <c r="B33" s="1438" t="s">
        <v>974</v>
      </c>
      <c r="C33" s="1028">
        <f ca="1">ROUND(D5*C19*C20*C24*F33,0)</f>
        <v>4641</v>
      </c>
      <c r="D33" s="1451"/>
      <c r="E33" s="1017">
        <f ca="1">ROUND(C33*D33/10000,0)</f>
        <v>0</v>
      </c>
      <c r="F33" s="1017">
        <f>SUMIF(修正!A45:A56,G2,修正!B45:B56)</f>
        <v>0.6</v>
      </c>
      <c r="G33" s="1017">
        <f t="shared" ref="G33" ca="1" si="6">ROUND(IF(E2="工业",C33*$M$39,C33*$M$38),0)</f>
        <v>1160</v>
      </c>
      <c r="H33" s="1017">
        <f>D33</f>
        <v>0</v>
      </c>
      <c r="I33" s="1017">
        <f ca="1">ROUND(G33*H33/10000,0)</f>
        <v>0</v>
      </c>
      <c r="J33" s="3770" t="s">
        <v>2951</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71"/>
      <c r="B34" s="1368" t="s">
        <v>975</v>
      </c>
      <c r="C34" s="1028">
        <f ca="1">ROUND(D5*C19*C20*C24*F34,0)</f>
        <v>2321</v>
      </c>
      <c r="D34" s="1451"/>
      <c r="E34" s="1017">
        <f t="shared" ref="E34:E39" ca="1" si="7">ROUND(C34*D34/10000,0)</f>
        <v>0</v>
      </c>
      <c r="F34" s="1017">
        <f>SUMIF(修正!A45:A56,G2,修正!C45:C56)</f>
        <v>0.3</v>
      </c>
      <c r="G34" s="1017">
        <f ca="1">ROUND(IF(E2="工业",C34*$M$39,C34*$M$38),0)</f>
        <v>580</v>
      </c>
      <c r="H34" s="1017">
        <f t="shared" ref="H34:H39" si="8">D34</f>
        <v>0</v>
      </c>
      <c r="I34" s="1017">
        <f t="shared" ref="I34:I39" ca="1" si="9">ROUND(G34*H34/10000,0)</f>
        <v>0</v>
      </c>
      <c r="J34" s="3771"/>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71"/>
      <c r="B35" s="1368" t="s">
        <v>976</v>
      </c>
      <c r="C35" s="1028">
        <f ca="1">ROUND(D5*C19*C20*C24*F35,0)</f>
        <v>1547</v>
      </c>
      <c r="D35" s="1451"/>
      <c r="E35" s="1017">
        <f t="shared" ca="1" si="7"/>
        <v>0</v>
      </c>
      <c r="F35" s="1017">
        <f>SUMIF(修正!A45:A56,G2,修正!D45:D56)</f>
        <v>0.2</v>
      </c>
      <c r="G35" s="1017">
        <f ca="1">ROUND(IF(E2="工业",C35*$M$39,C35*$M$38),0)</f>
        <v>387</v>
      </c>
      <c r="H35" s="1017">
        <f t="shared" si="8"/>
        <v>0</v>
      </c>
      <c r="I35" s="1017">
        <f t="shared" ca="1" si="9"/>
        <v>0</v>
      </c>
      <c r="J35" s="3771"/>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72"/>
      <c r="B36" s="1368" t="s">
        <v>977</v>
      </c>
      <c r="C36" s="1028">
        <f ca="1">ROUND(D5*C19*C20*C24*F36,0)</f>
        <v>1547</v>
      </c>
      <c r="D36" s="1451"/>
      <c r="E36" s="1017">
        <f t="shared" ca="1" si="7"/>
        <v>0</v>
      </c>
      <c r="F36" s="1017">
        <f>SUMIF(修正!A45:A56,G2,修正!E45:E56)</f>
        <v>0.2</v>
      </c>
      <c r="G36" s="1017">
        <f ca="1">ROUND(IF(E2="工业",C36*$M$39,C36*$M$38),0)</f>
        <v>387</v>
      </c>
      <c r="H36" s="1017">
        <f t="shared" si="8"/>
        <v>0</v>
      </c>
      <c r="I36" s="1017">
        <f t="shared" ca="1" si="9"/>
        <v>0</v>
      </c>
      <c r="J36" s="3772"/>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1547</v>
      </c>
      <c r="D37" s="1451"/>
      <c r="E37" s="1017">
        <f t="shared" ca="1" si="7"/>
        <v>0</v>
      </c>
      <c r="F37" s="1028">
        <f>SUMIF(修正!A45:A56,G2,修正!F45:F56)</f>
        <v>0.2</v>
      </c>
      <c r="G37" s="1017">
        <f ca="1">ROUND(IF(E2="工业",C37*$M$39,C37*$M$38),0)</f>
        <v>387</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2909</v>
      </c>
      <c r="C41" s="810">
        <f ca="1">ROUND(POWER(1+E41,H41-G41)*(POWER(1+E41,G41)-1)/(POWER(1+E41,H41)-1),4)</f>
        <v>0</v>
      </c>
      <c r="D41" s="372" t="s">
        <v>2907</v>
      </c>
      <c r="E41" s="2798">
        <f ca="1">G20</f>
        <v>5.3999999999999999E-2</v>
      </c>
      <c r="F41" s="372" t="s">
        <v>2908</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75" hidden="1" thickBot="1">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75" hidden="1" thickBot="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75" hidden="1" thickBot="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0.15</v>
      </c>
      <c r="G47" s="2241"/>
      <c r="H47" s="2286">
        <f t="shared" ref="H47:H55" si="11">IFERROR(ROUNDDOWN(($F$47*I47/2),4),"——")</f>
        <v>2.47E-2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72.75" hidden="1" thickBot="1">
      <c r="A48" s="1032" t="s">
        <v>996</v>
      </c>
      <c r="B48" s="2234" t="str">
        <f>估价对象房地状况!C18</f>
        <v>估价对象周边有顺2路、顺27路、顺28路、顺38路、顺43路、顺59路、顺60路等多条公交线路，距地铁15号线（南法信站）约500米，综合评价交通便捷度较好</v>
      </c>
      <c r="C48" s="1019"/>
      <c r="D48" s="2243">
        <f t="shared" si="10"/>
        <v>0</v>
      </c>
      <c r="E48" s="2265"/>
      <c r="F48" s="2263"/>
      <c r="G48" s="2241"/>
      <c r="H48" s="2286">
        <f t="shared" si="11"/>
        <v>1.8700000000000001E-2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75" hidden="1" thickBot="1">
      <c r="A49" s="1032" t="s">
        <v>997</v>
      </c>
      <c r="B49" s="2234">
        <f>估价对象房地状况!C19</f>
        <v>0</v>
      </c>
      <c r="C49" s="1019"/>
      <c r="D49" s="2243">
        <f t="shared" si="10"/>
        <v>0</v>
      </c>
      <c r="E49" s="2265"/>
      <c r="F49" s="2263"/>
      <c r="G49" s="2241"/>
      <c r="H49" s="2286">
        <f t="shared" si="11"/>
        <v>3.7000000000000002E-3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75" hidden="1" thickBot="1">
      <c r="A50" s="1032" t="s">
        <v>998</v>
      </c>
      <c r="B50" s="2751" t="s">
        <v>2866</v>
      </c>
      <c r="C50" s="1019"/>
      <c r="D50" s="2243">
        <f t="shared" si="10"/>
        <v>0</v>
      </c>
      <c r="E50" s="2265"/>
      <c r="F50" s="2263"/>
      <c r="G50" s="2241"/>
      <c r="H50" s="2286">
        <f t="shared" si="11"/>
        <v>3.7000000000000002E-3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75" hidden="1" thickBot="1">
      <c r="A51" s="1032" t="s">
        <v>999</v>
      </c>
      <c r="B51" s="2234" t="str">
        <f>估价对象房地状况!C24</f>
        <v>城市次干道——顺余路</v>
      </c>
      <c r="C51" s="1019"/>
      <c r="D51" s="2243">
        <f t="shared" si="10"/>
        <v>0</v>
      </c>
      <c r="E51" s="2265"/>
      <c r="F51" s="2263"/>
      <c r="G51" s="2241"/>
      <c r="H51" s="2286">
        <f t="shared" si="11"/>
        <v>6.0000000000000001E-3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75" hidden="1" thickBot="1">
      <c r="A52" s="1032" t="s">
        <v>1000</v>
      </c>
      <c r="B52" s="2750" t="s">
        <v>2865</v>
      </c>
      <c r="C52" s="1019"/>
      <c r="D52" s="2243">
        <f t="shared" si="10"/>
        <v>0</v>
      </c>
      <c r="E52" s="2265"/>
      <c r="F52" s="2263"/>
      <c r="G52" s="2241"/>
      <c r="H52" s="2286">
        <f t="shared" si="11"/>
        <v>2.2000000000000001E-3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75" hidden="1" thickBot="1">
      <c r="A53" s="2266" t="s">
        <v>1001</v>
      </c>
      <c r="B53" s="2235" t="str">
        <f>估价对象房地状况!C21</f>
        <v>估价对象所在区域公共配套设施齐备情况一般</v>
      </c>
      <c r="C53" s="1019"/>
      <c r="D53" s="2243">
        <f t="shared" si="10"/>
        <v>0</v>
      </c>
      <c r="E53" s="2265"/>
      <c r="F53" s="2263"/>
      <c r="G53" s="2241"/>
      <c r="H53" s="2286">
        <f t="shared" si="11"/>
        <v>3.7000000000000002E-3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75" hidden="1" thickBot="1">
      <c r="A54" s="2266" t="s">
        <v>1002</v>
      </c>
      <c r="B54" s="2234" t="str">
        <f>估价对象房地状况!C22</f>
        <v>估价对象所在区域基础设施水平</v>
      </c>
      <c r="C54" s="1019"/>
      <c r="D54" s="2243">
        <f t="shared" si="10"/>
        <v>0</v>
      </c>
      <c r="E54" s="2265"/>
      <c r="F54" s="2263"/>
      <c r="G54" s="2241"/>
      <c r="H54" s="2286">
        <f t="shared" si="11"/>
        <v>7.4999999999999997E-3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48.75" hidden="1" thickBot="1">
      <c r="A55" s="2267" t="s">
        <v>1003</v>
      </c>
      <c r="B55" s="2238" t="str">
        <f>估价对象房地状况!C20</f>
        <v>区域自然环境：小众和；人文环境：国家新闻出版广电总局研修学院；综合评价环境状况一般</v>
      </c>
      <c r="C55" s="1019"/>
      <c r="D55" s="2243">
        <f t="shared" si="10"/>
        <v>0</v>
      </c>
      <c r="E55" s="2269"/>
      <c r="F55" s="2263"/>
      <c r="G55" s="2241"/>
      <c r="H55" s="2286">
        <f t="shared" si="11"/>
        <v>4.4999999999999997E-3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75" hidden="1" thickBot="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75" hidden="1" thickBot="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75" hidden="1" thickBot="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72.75" hidden="1" thickBot="1">
      <c r="A59" s="1032" t="s">
        <v>996</v>
      </c>
      <c r="B59" s="2234" t="str">
        <f>估价对象房地状况!C18</f>
        <v>估价对象周边有顺2路、顺27路、顺28路、顺38路、顺43路、顺59路、顺60路等多条公交线路，距地铁15号线（南法信站）约500米，综合评价交通便捷度较好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75" hidden="1" thickBot="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75" hidden="1" thickBot="1">
      <c r="A61" s="1032" t="s">
        <v>998</v>
      </c>
      <c r="B61" s="2751" t="s">
        <v>2866</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75" hidden="1" thickBot="1">
      <c r="A62" s="1032" t="s">
        <v>999</v>
      </c>
      <c r="B62" s="2234" t="str">
        <f>估价对象房地状况!C24</f>
        <v>城市次干道——顺余路</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75" hidden="1" thickBot="1">
      <c r="A63" s="1032" t="s">
        <v>1000</v>
      </c>
      <c r="B63" s="2750" t="s">
        <v>2865</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75" hidden="1" thickBot="1">
      <c r="A64" s="1032" t="s">
        <v>1001</v>
      </c>
      <c r="B64" s="2235" t="str">
        <f>估价对象房地状况!C21</f>
        <v>估价对象所在区域公共配套设施齐备情况一般</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75" hidden="1" thickBot="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48.75" hidden="1" thickBot="1">
      <c r="A66" s="2267" t="s">
        <v>1003</v>
      </c>
      <c r="B66" s="2239" t="str">
        <f>估价对象房地状况!C20</f>
        <v>区域自然环境：小众和；人文环境：国家新闻出版广电总局研修学院；综合评价环境状况一般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75" hidden="1" thickBot="1">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75" hidden="1" thickBot="1">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75" hidden="1" thickBot="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72.75" hidden="1" thickBot="1">
      <c r="A70" s="1032" t="s">
        <v>996</v>
      </c>
      <c r="B70" s="2234" t="str">
        <f>估价对象房地状况!C18</f>
        <v>估价对象周边有顺2路、顺27路、顺28路、顺38路、顺43路、顺59路、顺60路等多条公交线路，距地铁15号线（南法信站）约500米，综合评价交通便捷度较好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75" hidden="1" thickBot="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5" hidden="1" thickBot="1">
      <c r="A72" s="1032" t="s">
        <v>1009</v>
      </c>
      <c r="B72" s="2234" t="str">
        <f>估价对象房地状况!C24</f>
        <v>城市次干道——顺余路</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75" hidden="1" thickBot="1">
      <c r="A73" s="1032" t="s">
        <v>1001</v>
      </c>
      <c r="B73" s="2235" t="str">
        <f>估价对象房地状况!C21</f>
        <v>估价对象所在区域公共配套设施齐备情况一般</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75" hidden="1" thickBot="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75" hidden="1" thickBot="1">
      <c r="A75" s="1032" t="s">
        <v>1000</v>
      </c>
      <c r="B75" s="2750" t="s">
        <v>2865</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48.75" hidden="1" thickBot="1">
      <c r="A76" s="1032" t="s">
        <v>1003</v>
      </c>
      <c r="B76" s="2237" t="str">
        <f>估价对象房地状况!C20</f>
        <v>区域自然环境：小众和；人文环境：国家新闻出版广电总局研修学院；综合评价环境状况一般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960</v>
      </c>
      <c r="B78" s="2251">
        <f>1+E80</f>
        <v>1.0516000000000001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84">
      <c r="A80" s="1032" t="s">
        <v>1012</v>
      </c>
      <c r="B80" s="2234" t="str">
        <f>估价对象房地状况!G15</f>
        <v>估价对象现状周边以产业用地为主，邻近周边有乐铁设备(北京)有限公司、综合信兴物流(南法信卫生院东北)、安博北京首都机场第二物流中心等，物流企业较多，产业集聚程度较好。</v>
      </c>
      <c r="C80" s="1019" t="s">
        <v>3142</v>
      </c>
      <c r="D80" s="2243">
        <f t="shared" ref="D80:D87" si="25">SUMIF($J$79:$N$79,C80,J80:N80)</f>
        <v>1.95E-2</v>
      </c>
      <c r="E80" s="2262">
        <f>ROUND(SUM(D80:D87),4)</f>
        <v>5.16E-2</v>
      </c>
      <c r="F80" s="2263" t="str">
        <f>IF(E2="工业",SUMIF(L1:L12,G2,N1:N12),"——")</f>
        <v>——</v>
      </c>
      <c r="G80" s="2241">
        <v>1.95E-2</v>
      </c>
      <c r="H80" s="2286" t="str">
        <f t="shared" ref="H80:H87" si="26">IFERROR(ROUNDDOWN($F$80*I80/2,4),"——")</f>
        <v>——</v>
      </c>
      <c r="I80" s="2261">
        <v>0.26</v>
      </c>
      <c r="J80" s="2264">
        <f t="shared" ref="J80:J87" si="27">K80+$G80</f>
        <v>3.9E-2</v>
      </c>
      <c r="K80" s="2264">
        <f t="shared" ref="K80:K87" si="28">$L80+$G80</f>
        <v>1.95E-2</v>
      </c>
      <c r="L80" s="2264">
        <v>0</v>
      </c>
      <c r="M80" s="2264">
        <f t="shared" ref="M80:N87" si="29">L80-$G80</f>
        <v>-1.95E-2</v>
      </c>
      <c r="N80" s="2264">
        <f t="shared" si="29"/>
        <v>-3.9E-2</v>
      </c>
      <c r="AC80" s="1328"/>
      <c r="AD80" s="1327"/>
      <c r="AJ80" s="1326"/>
      <c r="AN80" s="1327"/>
    </row>
    <row r="81" spans="1:40" ht="72">
      <c r="A81" s="1032" t="s">
        <v>996</v>
      </c>
      <c r="B81" s="2234" t="str">
        <f>估价对象房地状况!G16</f>
        <v>估价对象周边有顺2路、顺27路、顺28路、顺38路、顺43路、顺59路、顺60路等多条公交线路，距地铁15号线（南法信站）约500米，综合评价交通便捷度较好</v>
      </c>
      <c r="C81" s="1019" t="s">
        <v>3142</v>
      </c>
      <c r="D81" s="2243">
        <f t="shared" si="25"/>
        <v>2.47E-2</v>
      </c>
      <c r="E81" s="2271"/>
      <c r="F81" s="2272"/>
      <c r="G81" s="2241">
        <v>2.47E-2</v>
      </c>
      <c r="H81" s="2286" t="str">
        <f t="shared" si="26"/>
        <v>——</v>
      </c>
      <c r="I81" s="2261">
        <v>0.33</v>
      </c>
      <c r="J81" s="2264">
        <f t="shared" si="27"/>
        <v>4.9399999999999999E-2</v>
      </c>
      <c r="K81" s="2264">
        <f t="shared" si="28"/>
        <v>2.47E-2</v>
      </c>
      <c r="L81" s="2264">
        <v>0</v>
      </c>
      <c r="M81" s="2264">
        <f t="shared" si="29"/>
        <v>-2.47E-2</v>
      </c>
      <c r="N81" s="2264">
        <f t="shared" si="29"/>
        <v>-4.9399999999999999E-2</v>
      </c>
      <c r="AC81" s="1328"/>
      <c r="AD81" s="1327"/>
      <c r="AJ81" s="1326"/>
      <c r="AN81" s="1327"/>
    </row>
    <row r="82" spans="1:40" ht="24">
      <c r="A82" s="1032" t="s">
        <v>997</v>
      </c>
      <c r="B82" s="2234">
        <f>估价对象房地状况!G17</f>
        <v>0</v>
      </c>
      <c r="C82" s="1019" t="s">
        <v>3142</v>
      </c>
      <c r="D82" s="2243">
        <f t="shared" si="25"/>
        <v>3.7000000000000002E-3</v>
      </c>
      <c r="E82" s="2271"/>
      <c r="F82" s="2272"/>
      <c r="G82" s="2241">
        <v>3.7000000000000002E-3</v>
      </c>
      <c r="H82" s="2286" t="str">
        <f t="shared" si="26"/>
        <v>——</v>
      </c>
      <c r="I82" s="2261">
        <v>0.05</v>
      </c>
      <c r="J82" s="2264">
        <f t="shared" si="27"/>
        <v>7.4000000000000003E-3</v>
      </c>
      <c r="K82" s="2264">
        <f t="shared" si="28"/>
        <v>3.7000000000000002E-3</v>
      </c>
      <c r="L82" s="2264">
        <v>0</v>
      </c>
      <c r="M82" s="2264">
        <f t="shared" si="29"/>
        <v>-3.7000000000000002E-3</v>
      </c>
      <c r="N82" s="2264">
        <f t="shared" si="29"/>
        <v>-7.4000000000000003E-3</v>
      </c>
      <c r="AC82" s="1328"/>
      <c r="AD82" s="1327"/>
      <c r="AJ82" s="1326"/>
      <c r="AN82" s="1327"/>
    </row>
    <row r="83" spans="1:40" ht="14.25">
      <c r="A83" s="1032" t="s">
        <v>1009</v>
      </c>
      <c r="B83" s="2234">
        <f>估价对象房地状况!G22</f>
        <v>0</v>
      </c>
      <c r="C83" s="1019" t="s">
        <v>3143</v>
      </c>
      <c r="D83" s="2243">
        <f t="shared" si="25"/>
        <v>0</v>
      </c>
      <c r="E83" s="2271"/>
      <c r="F83" s="2272"/>
      <c r="G83" s="2241">
        <v>3.0000000000000001E-3</v>
      </c>
      <c r="H83" s="2286" t="str">
        <f t="shared" si="26"/>
        <v>——</v>
      </c>
      <c r="I83" s="2261">
        <v>0.04</v>
      </c>
      <c r="J83" s="2264">
        <f t="shared" si="27"/>
        <v>6.0000000000000001E-3</v>
      </c>
      <c r="K83" s="2264">
        <f t="shared" si="28"/>
        <v>3.0000000000000001E-3</v>
      </c>
      <c r="L83" s="2264">
        <v>0</v>
      </c>
      <c r="M83" s="2264">
        <f t="shared" si="29"/>
        <v>-3.0000000000000001E-3</v>
      </c>
      <c r="N83" s="2264">
        <f t="shared" si="29"/>
        <v>-6.0000000000000001E-3</v>
      </c>
      <c r="AC83" s="1328"/>
      <c r="AD83" s="1327"/>
      <c r="AJ83" s="1326"/>
      <c r="AN83" s="1327"/>
    </row>
    <row r="84" spans="1:40" ht="24">
      <c r="A84" s="1032" t="s">
        <v>1001</v>
      </c>
      <c r="B84" s="2235" t="str">
        <f>估价对象房地状况!G19</f>
        <v>估价对象所在区域公共配套设施齐备情况一般</v>
      </c>
      <c r="C84" s="1019" t="s">
        <v>3143</v>
      </c>
      <c r="D84" s="2243">
        <f t="shared" si="25"/>
        <v>0</v>
      </c>
      <c r="E84" s="2271"/>
      <c r="F84" s="2272"/>
      <c r="G84" s="2241">
        <v>4.4999999999999997E-3</v>
      </c>
      <c r="H84" s="2286" t="str">
        <f t="shared" si="26"/>
        <v>——</v>
      </c>
      <c r="I84" s="2261">
        <v>0.06</v>
      </c>
      <c r="J84" s="2264">
        <f t="shared" si="27"/>
        <v>8.9999999999999993E-3</v>
      </c>
      <c r="K84" s="2264">
        <f t="shared" si="28"/>
        <v>4.4999999999999997E-3</v>
      </c>
      <c r="L84" s="2264">
        <v>0</v>
      </c>
      <c r="M84" s="2264">
        <f t="shared" si="29"/>
        <v>-4.4999999999999997E-3</v>
      </c>
      <c r="N84" s="2264">
        <f t="shared" si="29"/>
        <v>-8.9999999999999993E-3</v>
      </c>
      <c r="AC84" s="1328"/>
      <c r="AD84" s="1327"/>
      <c r="AJ84" s="1326"/>
      <c r="AN84" s="1327"/>
    </row>
    <row r="85" spans="1:40" ht="72">
      <c r="A85" s="1032" t="s">
        <v>1002</v>
      </c>
      <c r="B85" s="2235" t="str">
        <f>估价对象房地状况!G20</f>
        <v>估价对象所在区域内基础设施配套条件达到“五通”（包括通路、通电、通讯、通上水、通下水），基本能够保证工作、生产需要，基础设施配套完善度一般。</v>
      </c>
      <c r="C85" s="1019" t="s">
        <v>3143</v>
      </c>
      <c r="D85" s="2243">
        <f t="shared" si="25"/>
        <v>0</v>
      </c>
      <c r="E85" s="2271"/>
      <c r="F85" s="2272"/>
      <c r="G85" s="2241">
        <v>1.12E-2</v>
      </c>
      <c r="H85" s="2286" t="str">
        <f t="shared" si="26"/>
        <v>——</v>
      </c>
      <c r="I85" s="2261">
        <v>0.15</v>
      </c>
      <c r="J85" s="2264">
        <f t="shared" si="27"/>
        <v>2.24E-2</v>
      </c>
      <c r="K85" s="2264">
        <f t="shared" si="28"/>
        <v>1.12E-2</v>
      </c>
      <c r="L85" s="2264">
        <v>0</v>
      </c>
      <c r="M85" s="2264">
        <f t="shared" si="29"/>
        <v>-1.12E-2</v>
      </c>
      <c r="N85" s="2264">
        <f t="shared" si="29"/>
        <v>-2.24E-2</v>
      </c>
      <c r="AC85" s="1328"/>
      <c r="AD85" s="1327"/>
      <c r="AJ85" s="1326"/>
      <c r="AN85" s="1327"/>
    </row>
    <row r="86" spans="1:40" ht="24">
      <c r="A86" s="1032" t="s">
        <v>1000</v>
      </c>
      <c r="B86" s="2750" t="s">
        <v>2865</v>
      </c>
      <c r="C86" s="1019" t="s">
        <v>3142</v>
      </c>
      <c r="D86" s="2243">
        <f t="shared" si="25"/>
        <v>3.7000000000000002E-3</v>
      </c>
      <c r="E86" s="2271"/>
      <c r="F86" s="2272"/>
      <c r="G86" s="2241">
        <v>3.7000000000000002E-3</v>
      </c>
      <c r="H86" s="2286" t="str">
        <f t="shared" si="26"/>
        <v>——</v>
      </c>
      <c r="I86" s="2261">
        <v>0.05</v>
      </c>
      <c r="J86" s="2264">
        <f t="shared" si="27"/>
        <v>7.4000000000000003E-3</v>
      </c>
      <c r="K86" s="2264">
        <f t="shared" si="28"/>
        <v>3.7000000000000002E-3</v>
      </c>
      <c r="L86" s="2264">
        <v>0</v>
      </c>
      <c r="M86" s="2264">
        <f t="shared" si="29"/>
        <v>-3.7000000000000002E-3</v>
      </c>
      <c r="N86" s="2264">
        <f t="shared" si="29"/>
        <v>-7.4000000000000003E-3</v>
      </c>
      <c r="AC86" s="1328"/>
      <c r="AD86" s="1327"/>
      <c r="AJ86" s="1326"/>
      <c r="AN86" s="1327"/>
    </row>
    <row r="87" spans="1:40" ht="48.75" thickBot="1">
      <c r="A87" s="2267" t="s">
        <v>1013</v>
      </c>
      <c r="B87" s="2236" t="str">
        <f>估价对象房地状况!G18</f>
        <v>区域自然环境：小众河；人文环境：国家新闻出版广电总局研修学院；综合评价环境状况一般</v>
      </c>
      <c r="C87" s="1019" t="s">
        <v>3143</v>
      </c>
      <c r="D87" s="2243">
        <f t="shared" si="25"/>
        <v>0</v>
      </c>
      <c r="E87" s="2273"/>
      <c r="F87" s="2272"/>
      <c r="G87" s="2241">
        <v>4.4999999999999997E-3</v>
      </c>
      <c r="H87" s="2286" t="str">
        <f t="shared" si="26"/>
        <v>——</v>
      </c>
      <c r="I87" s="2268">
        <v>0.06</v>
      </c>
      <c r="J87" s="2264">
        <f t="shared" si="27"/>
        <v>8.9999999999999993E-3</v>
      </c>
      <c r="K87" s="2264">
        <f t="shared" si="28"/>
        <v>4.4999999999999997E-3</v>
      </c>
      <c r="L87" s="2264">
        <v>0</v>
      </c>
      <c r="M87" s="2264">
        <f t="shared" si="29"/>
        <v>-4.4999999999999997E-3</v>
      </c>
      <c r="N87" s="2264">
        <f t="shared" si="29"/>
        <v>-8.9999999999999993E-3</v>
      </c>
      <c r="AC87" s="1328"/>
      <c r="AD87" s="1327"/>
      <c r="AJ87" s="1326"/>
      <c r="AN87" s="1327"/>
    </row>
    <row r="90" spans="1:40">
      <c r="A90" s="3773" t="s">
        <v>1608</v>
      </c>
      <c r="B90" s="3773"/>
      <c r="C90" s="3773"/>
      <c r="D90" s="3773"/>
      <c r="E90" s="3773"/>
      <c r="F90" s="3773"/>
      <c r="G90" s="3773"/>
      <c r="H90" s="3773"/>
      <c r="I90" s="3773"/>
      <c r="J90" s="3773"/>
      <c r="K90" s="3575"/>
      <c r="L90" s="3575"/>
      <c r="M90" s="3575"/>
      <c r="N90" s="3575"/>
    </row>
    <row r="91" spans="1:40">
      <c r="A91" s="3774" t="s">
        <v>873</v>
      </c>
      <c r="B91" s="3774" t="s">
        <v>1609</v>
      </c>
      <c r="C91" s="1105" t="s">
        <v>1610</v>
      </c>
      <c r="D91" s="1106"/>
      <c r="E91" s="1106"/>
      <c r="F91" s="1106"/>
      <c r="G91" s="1106"/>
      <c r="H91" s="1106"/>
      <c r="I91" s="1106"/>
      <c r="J91" s="1107"/>
      <c r="K91" s="1099"/>
      <c r="L91" s="1099"/>
      <c r="M91" s="1099"/>
      <c r="N91" s="1099"/>
    </row>
    <row r="92" spans="1:40">
      <c r="A92" s="3774"/>
      <c r="B92" s="3774"/>
      <c r="C92" s="3576" t="s">
        <v>859</v>
      </c>
      <c r="D92" s="3576" t="s">
        <v>860</v>
      </c>
      <c r="E92" s="3576" t="s">
        <v>861</v>
      </c>
      <c r="F92" s="3576" t="s">
        <v>862</v>
      </c>
      <c r="G92" s="3576" t="s">
        <v>863</v>
      </c>
      <c r="H92" s="3576" t="s">
        <v>864</v>
      </c>
      <c r="I92" s="3576" t="s">
        <v>865</v>
      </c>
      <c r="J92" s="3576" t="s">
        <v>866</v>
      </c>
      <c r="K92" s="3576" t="s">
        <v>867</v>
      </c>
      <c r="L92" s="3576" t="s">
        <v>868</v>
      </c>
      <c r="M92" s="3576" t="s">
        <v>869</v>
      </c>
      <c r="N92" s="3576" t="s">
        <v>870</v>
      </c>
    </row>
    <row r="93" spans="1:40">
      <c r="A93" s="3764"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5"/>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5"/>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5"/>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5"/>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5"/>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5"/>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66"/>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64" t="s">
        <v>1612</v>
      </c>
      <c r="B101" s="1112" t="s">
        <v>858</v>
      </c>
      <c r="C101" s="1113">
        <f>$G$3</f>
        <v>2.5</v>
      </c>
      <c r="D101" s="1113">
        <f t="shared" ref="D101:N101" si="31">$G$3</f>
        <v>2.5</v>
      </c>
      <c r="E101" s="1113">
        <f t="shared" si="31"/>
        <v>2.5</v>
      </c>
      <c r="F101" s="1113">
        <f t="shared" si="31"/>
        <v>2.5</v>
      </c>
      <c r="G101" s="1113">
        <f t="shared" si="31"/>
        <v>2.5</v>
      </c>
      <c r="H101" s="1113">
        <f t="shared" si="31"/>
        <v>2.5</v>
      </c>
      <c r="I101" s="1113">
        <f t="shared" si="31"/>
        <v>2.5</v>
      </c>
      <c r="J101" s="1113">
        <f t="shared" si="31"/>
        <v>2.5</v>
      </c>
      <c r="K101" s="1113">
        <f t="shared" si="31"/>
        <v>2.5</v>
      </c>
      <c r="L101" s="1113">
        <f t="shared" si="31"/>
        <v>2.5</v>
      </c>
      <c r="M101" s="1113">
        <f t="shared" si="31"/>
        <v>2.5</v>
      </c>
      <c r="N101" s="1113">
        <f t="shared" si="31"/>
        <v>2.5</v>
      </c>
    </row>
    <row r="102" spans="1:14">
      <c r="A102" s="3765"/>
      <c r="B102" s="1108">
        <v>1</v>
      </c>
      <c r="C102" s="1109">
        <f>1.9362/C101</f>
        <v>0.77447999999999995</v>
      </c>
      <c r="D102" s="1109">
        <f>1.9362/D101</f>
        <v>0.77447999999999995</v>
      </c>
      <c r="E102" s="1109">
        <f>1.8629/E101</f>
        <v>0.74516000000000004</v>
      </c>
      <c r="F102" s="1109">
        <f>1.8629/F101</f>
        <v>0.74516000000000004</v>
      </c>
      <c r="G102" s="1109">
        <f>1.8629/G101</f>
        <v>0.74516000000000004</v>
      </c>
      <c r="H102" s="1109">
        <f>1.8629/H101</f>
        <v>0.74516000000000004</v>
      </c>
      <c r="I102" s="1109">
        <f>1.8629/I101</f>
        <v>0.74516000000000004</v>
      </c>
      <c r="J102" s="1109">
        <f>1.942/J101</f>
        <v>0.77679999999999993</v>
      </c>
      <c r="K102" s="1109">
        <f>1.942/K101</f>
        <v>0.77679999999999993</v>
      </c>
      <c r="L102" s="1109">
        <f>1.942/L101</f>
        <v>0.77679999999999993</v>
      </c>
      <c r="M102" s="1109">
        <f>1.942/M101</f>
        <v>0.77679999999999993</v>
      </c>
      <c r="N102" s="1109">
        <f>1.942/N101</f>
        <v>0.77679999999999993</v>
      </c>
    </row>
    <row r="103" spans="1:14">
      <c r="A103" s="3765"/>
      <c r="B103" s="1108">
        <v>2</v>
      </c>
      <c r="C103" s="1109">
        <f>1.4198/C101</f>
        <v>0.56791999999999998</v>
      </c>
      <c r="D103" s="1109">
        <f>1.4198/D101</f>
        <v>0.56791999999999998</v>
      </c>
      <c r="E103" s="1109">
        <f>1.3372/E101</f>
        <v>0.53488000000000002</v>
      </c>
      <c r="F103" s="1109">
        <f>1.3372/F101</f>
        <v>0.53488000000000002</v>
      </c>
      <c r="G103" s="1109">
        <f>1.3372/G101</f>
        <v>0.53488000000000002</v>
      </c>
      <c r="H103" s="1109">
        <f>1.3372/H101</f>
        <v>0.53488000000000002</v>
      </c>
      <c r="I103" s="1109">
        <f>1.3372/I101</f>
        <v>0.53488000000000002</v>
      </c>
      <c r="J103" s="1109">
        <f>1.2799/J101</f>
        <v>0.51195999999999997</v>
      </c>
      <c r="K103" s="1109">
        <f>1.2799/K101</f>
        <v>0.51195999999999997</v>
      </c>
      <c r="L103" s="1109">
        <f>1.2799/L101</f>
        <v>0.51195999999999997</v>
      </c>
      <c r="M103" s="1109">
        <f>1.2799/M101</f>
        <v>0.51195999999999997</v>
      </c>
      <c r="N103" s="1109">
        <f>1.2799/N101</f>
        <v>0.51195999999999997</v>
      </c>
    </row>
    <row r="104" spans="1:14">
      <c r="A104" s="3765"/>
      <c r="B104" s="1108">
        <v>3</v>
      </c>
      <c r="C104" s="1109">
        <f>1.1594/C101</f>
        <v>0.46376000000000001</v>
      </c>
      <c r="D104" s="1109">
        <f>1.1594/D101</f>
        <v>0.46376000000000001</v>
      </c>
      <c r="E104" s="1109">
        <f>1.0788/E101</f>
        <v>0.43152000000000001</v>
      </c>
      <c r="F104" s="1109">
        <f>1.0788/F101</f>
        <v>0.43152000000000001</v>
      </c>
      <c r="G104" s="1109">
        <f>1.0788/G101</f>
        <v>0.43152000000000001</v>
      </c>
      <c r="H104" s="1109">
        <f>1.0788/H101</f>
        <v>0.43152000000000001</v>
      </c>
      <c r="I104" s="1109">
        <f>1.0788/I101</f>
        <v>0.43152000000000001</v>
      </c>
      <c r="J104" s="1109">
        <f>1.0072/J101</f>
        <v>0.40288000000000002</v>
      </c>
      <c r="K104" s="1109">
        <f>1.0072/K101</f>
        <v>0.40288000000000002</v>
      </c>
      <c r="L104" s="1109">
        <f>1.0072/L101</f>
        <v>0.40288000000000002</v>
      </c>
      <c r="M104" s="1109">
        <f>1.0072/M101</f>
        <v>0.40288000000000002</v>
      </c>
      <c r="N104" s="1109">
        <f>1.0072/N101</f>
        <v>0.40288000000000002</v>
      </c>
    </row>
    <row r="105" spans="1:14">
      <c r="A105" s="3765"/>
      <c r="B105" s="1108">
        <v>4</v>
      </c>
      <c r="C105" s="1109">
        <f>0.9622/C101</f>
        <v>0.38488</v>
      </c>
      <c r="D105" s="1109">
        <f>0.9622/D101</f>
        <v>0.38488</v>
      </c>
      <c r="E105" s="1109">
        <f>0.8656/E101</f>
        <v>0.34623999999999999</v>
      </c>
      <c r="F105" s="1109">
        <f>0.8656/F101</f>
        <v>0.34623999999999999</v>
      </c>
      <c r="G105" s="1109">
        <f>0.8656/G101</f>
        <v>0.34623999999999999</v>
      </c>
      <c r="H105" s="1109">
        <f>0.8656/H101</f>
        <v>0.34623999999999999</v>
      </c>
      <c r="I105" s="1109">
        <f>0.8656/I101</f>
        <v>0.34623999999999999</v>
      </c>
      <c r="J105" s="1109">
        <f>0.7525/J101</f>
        <v>0.30099999999999999</v>
      </c>
      <c r="K105" s="1109">
        <f>0.7525/K101</f>
        <v>0.30099999999999999</v>
      </c>
      <c r="L105" s="1109">
        <f>0.7525/L101</f>
        <v>0.30099999999999999</v>
      </c>
      <c r="M105" s="1109">
        <f>0.7525/M101</f>
        <v>0.30099999999999999</v>
      </c>
      <c r="N105" s="1109">
        <f>0.7525/N101</f>
        <v>0.30099999999999999</v>
      </c>
    </row>
    <row r="106" spans="1:14">
      <c r="A106" s="3765"/>
      <c r="B106" s="1108">
        <v>5</v>
      </c>
      <c r="C106" s="1109">
        <f>0.8417/C101</f>
        <v>0.33667999999999998</v>
      </c>
      <c r="D106" s="1109">
        <f>0.8417/D101</f>
        <v>0.33667999999999998</v>
      </c>
      <c r="E106" s="1109">
        <f>0.7371/E101</f>
        <v>0.29483999999999999</v>
      </c>
      <c r="F106" s="1109">
        <f>0.7371/F101</f>
        <v>0.29483999999999999</v>
      </c>
      <c r="G106" s="1109">
        <f>0.7371/G101</f>
        <v>0.29483999999999999</v>
      </c>
      <c r="H106" s="1109">
        <f>0.7371/H101</f>
        <v>0.29483999999999999</v>
      </c>
      <c r="I106" s="1109">
        <f>0.7371/I101</f>
        <v>0.29483999999999999</v>
      </c>
      <c r="J106" s="1109">
        <f>0.5659/J101</f>
        <v>0.22635999999999998</v>
      </c>
      <c r="K106" s="1109">
        <f>0.5659/K101</f>
        <v>0.22635999999999998</v>
      </c>
      <c r="L106" s="1109">
        <f>0.5659/L101</f>
        <v>0.22635999999999998</v>
      </c>
      <c r="M106" s="1109">
        <f>0.5659/M101</f>
        <v>0.22635999999999998</v>
      </c>
      <c r="N106" s="1109">
        <f>0.5659/N101</f>
        <v>0.22635999999999998</v>
      </c>
    </row>
    <row r="107" spans="1:14">
      <c r="A107" s="3765"/>
      <c r="B107" s="1108">
        <v>6</v>
      </c>
      <c r="C107" s="1109">
        <f>0.7608/C101</f>
        <v>0.30432000000000003</v>
      </c>
      <c r="D107" s="1109">
        <f>0.7608/D101</f>
        <v>0.30432000000000003</v>
      </c>
      <c r="E107" s="1109">
        <f>0.6482/E101</f>
        <v>0.25928000000000001</v>
      </c>
      <c r="F107" s="1109">
        <f>0.6482/F101</f>
        <v>0.25928000000000001</v>
      </c>
      <c r="G107" s="1109">
        <f>0.6482/G101</f>
        <v>0.25928000000000001</v>
      </c>
      <c r="H107" s="1109">
        <f>0.6482/H101</f>
        <v>0.25928000000000001</v>
      </c>
      <c r="I107" s="1109">
        <f>0.6482/I101</f>
        <v>0.25928000000000001</v>
      </c>
      <c r="J107" s="1109">
        <f>0.4525/J101</f>
        <v>0.18099999999999999</v>
      </c>
      <c r="K107" s="1109">
        <f>0.4525/K101</f>
        <v>0.18099999999999999</v>
      </c>
      <c r="L107" s="1109">
        <f>0.4525/L101</f>
        <v>0.18099999999999999</v>
      </c>
      <c r="M107" s="1109">
        <f>0.4525/M101</f>
        <v>0.18099999999999999</v>
      </c>
      <c r="N107" s="1109">
        <f>0.4525/N101</f>
        <v>0.18099999999999999</v>
      </c>
    </row>
    <row r="108" spans="1:14">
      <c r="A108" s="3765"/>
      <c r="B108" s="3767"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66"/>
      <c r="B109" s="3768"/>
      <c r="C109" s="1111">
        <f>(-0.163*(C108^2)-0.59*C108+7617)*(10^(-4))/C101</f>
        <v>0.30468000000000001</v>
      </c>
      <c r="D109" s="1111">
        <f>(-0.163*(D108^2)-0.59*D108+7617)*(10^(-4))/D101</f>
        <v>0.30468000000000001</v>
      </c>
      <c r="E109" s="1111">
        <f>(-0.161*(E108^2)-7.509*E108+6533)*(10^(-4))/E101</f>
        <v>0.26132</v>
      </c>
      <c r="F109" s="1111">
        <f>(-0.161*(F108^2)-7.509*F108+6533)*(10^(-4))/F101</f>
        <v>0.26132</v>
      </c>
      <c r="G109" s="1111">
        <f>(-0.161*(G108^2)-7.509*G108+6533)*(10^(-4))/G101</f>
        <v>0.26132</v>
      </c>
      <c r="H109" s="1111">
        <f>(-0.161*(H108^2)-7.509*H108+6533)*(10^(-4))/H101</f>
        <v>0.26132</v>
      </c>
      <c r="I109" s="1111">
        <f>(-0.161*(I108^2)-7.509*I108+6533)*(10^(-4))/I101</f>
        <v>0.26132</v>
      </c>
      <c r="J109" s="1111">
        <f>(-0.214*(J108^2)-21.991*J108+4665)*(10^(-4))/J101</f>
        <v>0.18660000000000002</v>
      </c>
      <c r="K109" s="1111">
        <f>(-0.214*(K108^2)-21.991*K108+4665)*(10^(-4))/K101</f>
        <v>0.18660000000000002</v>
      </c>
      <c r="L109" s="1111">
        <f>(-0.214*(L108^2)-21.991*L108+4665)*(10^(-4))/L101</f>
        <v>0.18660000000000002</v>
      </c>
      <c r="M109" s="1111">
        <f>(-0.214*(M108^2)-21.991*M108+4665)*(10^(-4))/M101</f>
        <v>0.18660000000000002</v>
      </c>
      <c r="N109" s="1111">
        <f>(-0.214*(N108^2)-21.991*N108+4665)*(10^(-4))/N101</f>
        <v>0.18660000000000002</v>
      </c>
    </row>
    <row r="110" spans="1:14">
      <c r="A110" s="3769" t="s">
        <v>1614</v>
      </c>
      <c r="B110" s="3769"/>
      <c r="C110" s="3769"/>
      <c r="D110" s="3769"/>
      <c r="E110" s="3769"/>
      <c r="F110" s="3769"/>
      <c r="G110" s="3769"/>
      <c r="H110" s="3769"/>
      <c r="I110" s="3769"/>
      <c r="J110" s="3769"/>
      <c r="K110" s="3574"/>
      <c r="L110" s="3574"/>
      <c r="M110" s="3574"/>
      <c r="N110" s="3574"/>
    </row>
    <row r="112" spans="1:14" ht="12.75" thickBot="1"/>
    <row r="113" spans="1:13" ht="25.5" thickBot="1">
      <c r="A113" s="985" t="s">
        <v>871</v>
      </c>
      <c r="B113" s="2277">
        <f>G3</f>
        <v>2.5</v>
      </c>
      <c r="C113" s="986" t="s">
        <v>872</v>
      </c>
      <c r="D113" s="987">
        <f>SUMPRODUCT((A115:A118=F113)*(B114:M114=H113)*B115:M118)</f>
        <v>0.65029999999999999</v>
      </c>
      <c r="E113" s="988" t="s">
        <v>873</v>
      </c>
      <c r="F113" s="989" t="str">
        <f>E2</f>
        <v>商业</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2.75">
      <c r="A116" s="998" t="s">
        <v>876</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2.75">
      <c r="A117" s="1001" t="s">
        <v>877</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3.5" thickBot="1">
      <c r="A118" s="1002" t="s">
        <v>878</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72" priority="5" stopIfTrue="1" operator="notEqual">
      <formula>"——"</formula>
    </cfRule>
  </conditionalFormatting>
  <conditionalFormatting sqref="F58">
    <cfRule type="cellIs" dxfId="171" priority="4" stopIfTrue="1" operator="notEqual">
      <formula>"——"</formula>
    </cfRule>
  </conditionalFormatting>
  <conditionalFormatting sqref="F69">
    <cfRule type="cellIs" dxfId="170" priority="3" stopIfTrue="1" operator="notEqual">
      <formula>"——"</formula>
    </cfRule>
  </conditionalFormatting>
  <conditionalFormatting sqref="F80">
    <cfRule type="cellIs" dxfId="169" priority="2" stopIfTrue="1" operator="notEqual">
      <formula>"——"</formula>
    </cfRule>
  </conditionalFormatting>
  <conditionalFormatting sqref="H58:H66 H47:H55 H69:H77 H80:H87">
    <cfRule type="cellIs" dxfId="168" priority="1" operator="notEqual">
      <formula>"——"</formula>
    </cfRule>
  </conditionalFormatting>
  <dataValidations count="11">
    <dataValidation type="list" allowBlank="1" showInputMessage="1" showErrorMessage="1" sqref="H16:O16" xr:uid="{E379C5DD-7917-4829-BE0D-5A2C3F581AF6}">
      <formula1>七通一平</formula1>
    </dataValidation>
    <dataValidation type="list" allowBlank="1" showInputMessage="1" showErrorMessage="1" sqref="C69:C77 C80:C87 C47:C55 C58:C66" xr:uid="{1FFA38EC-58CF-434C-8D32-F952A63648FA}">
      <formula1>五等判定</formula1>
    </dataValidation>
    <dataValidation type="list" allowBlank="1" showInputMessage="1" showErrorMessage="1" sqref="E3" xr:uid="{B4C01A70-1FCE-4AF9-9D25-E167A0151871}">
      <formula1>二级分类</formula1>
    </dataValidation>
    <dataValidation type="list" allowBlank="1" showInputMessage="1" showErrorMessage="1" sqref="C8" xr:uid="{13183587-61FA-46E6-A7B4-37B36F9DA153}">
      <formula1>商业街名称</formula1>
    </dataValidation>
    <dataValidation type="list" allowBlank="1" showInputMessage="1" showErrorMessage="1" sqref="F3" xr:uid="{D97456D9-DDBA-4D75-AB1B-4C4B81442BCA}">
      <formula1>"宗地容积率,估价对象容积率,自定义容积率"</formula1>
    </dataValidation>
    <dataValidation type="list" allowBlank="1" showInputMessage="1" showErrorMessage="1" sqref="H19" xr:uid="{81BA6A04-8419-4497-8033-CECEBA3C2F7D}">
      <formula1>"地价指数,季度增幅（自定义）,按公示增长率计算"</formula1>
    </dataValidation>
    <dataValidation type="list" allowBlank="1" showInputMessage="1" showErrorMessage="1" sqref="F14" xr:uid="{EBD79FED-E672-4CD3-8CAF-3D9D8142528E}">
      <formula1>"500米范围内,500-1000米,1000米以外"</formula1>
    </dataValidation>
    <dataValidation type="list" allowBlank="1" showInputMessage="1" showErrorMessage="1" sqref="C14:E14" xr:uid="{489DD80A-52C1-4728-8B8F-D83F036A41EC}">
      <formula1>"有,无"</formula1>
    </dataValidation>
    <dataValidation type="list" allowBlank="1" showInputMessage="1" showErrorMessage="1" sqref="B21" xr:uid="{B76B6A52-BDD0-4AC0-B274-D304191D977F}">
      <formula1>"容积率修正,楼层修正"</formula1>
    </dataValidation>
    <dataValidation type="list" allowBlank="1" showInputMessage="1" showErrorMessage="1" sqref="F17" xr:uid="{D015BA6A-31AB-4BF2-ADF1-862CA631D292}">
      <formula1>"与级别开发程度一致,与级别开发程度不一致"</formula1>
    </dataValidation>
    <dataValidation type="list" allowBlank="1" showInputMessage="1" showErrorMessage="1" sqref="E2" xr:uid="{2B4C4275-4DF2-4D23-8C1C-B21E45E42B4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4" zoomScale="80" zoomScaleNormal="60" zoomScaleSheetLayoutView="80" workbookViewId="0">
      <selection activeCell="O19" sqref="O19"/>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2388</v>
      </c>
      <c r="D1" s="1435">
        <f>SUM(D29:D30,D33:D39)</f>
        <v>22121.8</v>
      </c>
      <c r="E1" s="1329" t="s">
        <v>2389</v>
      </c>
      <c r="F1" s="2278">
        <f>'数据-汇总表'!F19</f>
        <v>22121.8</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75">
      <c r="A2" s="1329" t="s">
        <v>895</v>
      </c>
      <c r="B2" s="1007">
        <f ca="1">C26</f>
        <v>3495</v>
      </c>
      <c r="C2" s="1330" t="s">
        <v>896</v>
      </c>
      <c r="D2" s="1331" t="s">
        <v>897</v>
      </c>
      <c r="E2" s="1332" t="s">
        <v>956</v>
      </c>
      <c r="F2" s="1331" t="s">
        <v>899</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Ⅷ-顺1</v>
      </c>
      <c r="J2" s="1333"/>
      <c r="K2" s="3191"/>
      <c r="L2" s="1772" t="s">
        <v>2206</v>
      </c>
      <c r="M2" s="1773">
        <f>SUMPRODUCT((区片价!B10:B28=I2)*(区片价!C3:F3=E2)*(区片价!C10:F28))</f>
        <v>0</v>
      </c>
      <c r="N2" s="1774">
        <f>SUMPRODUCT((因素修正幅度!B10:B28=I2)*(因素修正幅度!C3:F3=E2)*(因素修正幅度!C10:F28))</f>
        <v>0</v>
      </c>
      <c r="O2" s="3191"/>
      <c r="P2" s="2041"/>
      <c r="Q2" s="2041"/>
      <c r="R2" s="2622">
        <v>1</v>
      </c>
      <c r="S2" s="2622">
        <f>ROUND(IF(G3&gt;1,IF(R2&lt;7,SUMPRODUCT((B93:B98=R2)*(C92:N92=G2)*(C93:N98)),SUMIF(C92:N92,G2,C100:N100)),IF(R2&lt;7,SUMPRODUCT((B102:B107=R2)*(C92:N92=G2)*(C102:N107)),SUMIF(C92:N92,G2,C109:N109))),4)</f>
        <v>1.9419999999999999</v>
      </c>
      <c r="T2" s="2622">
        <f ca="1">ROUND($C$5*$C$18*$C$19*$C$20*S2*$C$24,0)</f>
        <v>3068</v>
      </c>
      <c r="U2" s="2611"/>
      <c r="V2" s="2622">
        <f ca="1">ROUND(T2*U2/10000,0)</f>
        <v>0</v>
      </c>
      <c r="W2" s="2041"/>
      <c r="X2" s="2041"/>
      <c r="Y2" s="2041"/>
      <c r="Z2" s="2041"/>
      <c r="AA2" s="2041"/>
      <c r="AB2" s="2041"/>
      <c r="AC2" s="2042"/>
    </row>
    <row r="3" spans="1:39" ht="15.75">
      <c r="A3" s="1334" t="s">
        <v>1662</v>
      </c>
      <c r="B3" s="1007">
        <f ca="1">ROUND(B2*10000/D1,0)</f>
        <v>1580</v>
      </c>
      <c r="C3" s="1330" t="s">
        <v>902</v>
      </c>
      <c r="D3" s="1331" t="s">
        <v>903</v>
      </c>
      <c r="E3" s="1335" t="s">
        <v>3144</v>
      </c>
      <c r="F3" s="1336" t="s">
        <v>3145</v>
      </c>
      <c r="G3" s="1008">
        <f>IF(F3="宗地容积率",'数据-汇总表'!I4,IF(F3="估价对象容积率",'数据-汇总表'!I6,'数据-汇总表'!I7))</f>
        <v>1</v>
      </c>
      <c r="H3" s="1337" t="s">
        <v>904</v>
      </c>
      <c r="I3" s="1009"/>
      <c r="J3" s="1333" t="s">
        <v>905</v>
      </c>
      <c r="K3" s="3191"/>
      <c r="L3" s="1772" t="s">
        <v>2207</v>
      </c>
      <c r="M3" s="1773">
        <f>SUMPRODUCT((区片价!B29:B48=I2)*(区片价!C3:F3=E2)*(区片价!C29:F48))</f>
        <v>0</v>
      </c>
      <c r="N3" s="1774">
        <f>SUMPRODUCT((因素修正幅度!B29:B48=I2)*(因素修正幅度!C3:F3=E2)*(因素修正幅度!C29:F48))</f>
        <v>0</v>
      </c>
      <c r="O3" s="3191"/>
      <c r="P3" s="2041"/>
      <c r="Q3" s="2041"/>
      <c r="R3" s="2622">
        <v>2</v>
      </c>
      <c r="S3" s="2622">
        <f>ROUND(IF(G3&gt;1,IF(R3&lt;7,SUMPRODUCT((B93:B98=R3)*(C92:N92=G2)*(C93:N98)),SUMIF(C92:N92,G2,C100:N100)),IF(R3&lt;7,SUMPRODUCT((B102:B107=R3)*(C92:N92=G2)*(C102:N107)),SUMIF(C92:N92,G2,C109:N109))),4)</f>
        <v>1.2799</v>
      </c>
      <c r="T3" s="2622">
        <f t="shared" ref="T3:T16" ca="1" si="0">ROUND($C$5*$C$18*$C$19*$C$20*S3*$C$24,0)</f>
        <v>2022</v>
      </c>
      <c r="U3" s="2611"/>
      <c r="V3" s="2622">
        <f t="shared" ref="V3:V16" ca="1" si="1">ROUND(T3*U3/10000,0)</f>
        <v>0</v>
      </c>
      <c r="W3" s="2041"/>
      <c r="X3" s="2041"/>
      <c r="Y3" s="2041"/>
      <c r="Z3" s="2041"/>
      <c r="AA3" s="2041"/>
      <c r="AB3" s="2041"/>
      <c r="AC3" s="2042"/>
    </row>
    <row r="4" spans="1:39" ht="28.5">
      <c r="A4" s="1778" t="s">
        <v>2246</v>
      </c>
      <c r="B4" s="2279">
        <f ca="1">ROUND(B2*10000/F1,0)</f>
        <v>1580</v>
      </c>
      <c r="C4" s="1781" t="s">
        <v>2221</v>
      </c>
      <c r="D4" s="1781">
        <f ca="1">ROUND(B2/(F1/666.67),0)</f>
        <v>105</v>
      </c>
      <c r="E4" s="1781" t="s">
        <v>2222</v>
      </c>
      <c r="F4" s="1779"/>
      <c r="G4" s="1779"/>
      <c r="H4" s="1779"/>
      <c r="I4" s="1779"/>
      <c r="J4" s="1780"/>
      <c r="K4" s="3192"/>
      <c r="L4" s="1772" t="s">
        <v>2208</v>
      </c>
      <c r="M4" s="1773">
        <f>SUMPRODUCT((区片价!B49:B75=I2)*(区片价!C3:F3=E2)*(区片价!C49:F75))</f>
        <v>0</v>
      </c>
      <c r="N4" s="1774">
        <f>SUMPRODUCT((因素修正幅度!B49:B75=I2)*(因素修正幅度!C3:F3=E2)*(因素修正幅度!C49:F75))</f>
        <v>0</v>
      </c>
      <c r="O4" s="3192"/>
      <c r="P4" s="2041"/>
      <c r="Q4" s="2041"/>
      <c r="R4" s="2622">
        <v>3</v>
      </c>
      <c r="S4" s="2622">
        <f>ROUND(IF(G3&gt;1,IF(R4&lt;7,SUMPRODUCT((B93:B98=R4)*(C92:N92=G2)*(C93:N98)),SUMIF(C92:N92,G2,C100:N100)),IF(R4&lt;7,SUMPRODUCT((B102:B107=R4)*(C92:N92=G2)*(C102:N107)),SUMIF(C92:N92,G2,C109:N109))),4)</f>
        <v>1.0072000000000001</v>
      </c>
      <c r="T4" s="2622">
        <f t="shared" ca="1" si="0"/>
        <v>1591</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1020</v>
      </c>
      <c r="D5" s="2759">
        <f>ROUND(C6+C16,0)</f>
        <v>1020</v>
      </c>
      <c r="E5" s="2759"/>
      <c r="F5" s="1339"/>
      <c r="G5" s="1340"/>
      <c r="H5" s="1340"/>
      <c r="I5" s="1340"/>
      <c r="J5" s="1341"/>
      <c r="K5" s="3193"/>
      <c r="L5" s="1772" t="s">
        <v>2209</v>
      </c>
      <c r="M5" s="1773">
        <f>SUMPRODUCT((区片价!B76:B109=I2)*(区片价!C3:F3=E2)*(区片价!C76:F109))</f>
        <v>0</v>
      </c>
      <c r="N5" s="1774">
        <f>SUMPRODUCT((因素修正幅度!B76:B109=I2)*(因素修正幅度!C3:F3=E2)*(因素修正幅度!C76:F109))</f>
        <v>0</v>
      </c>
      <c r="O5" s="3193"/>
      <c r="P5" s="3196"/>
      <c r="Q5" s="2041"/>
      <c r="R5" s="2622">
        <v>4</v>
      </c>
      <c r="S5" s="2622">
        <f>ROUND(IF(G3&gt;1,IF(R5&lt;7,SUMPRODUCT((B93:B98=R5)*(C92:N92=G2)*(C93:N98)),SUMIF(C92:N92,G2,C100:N100)),IF(R5&lt;7,SUMPRODUCT((B102:B107=R5)*(C92:N92=G2)*(C102:N107)),SUMIF(C92:N92,G2,C109:N109))),4)</f>
        <v>0.75249999999999995</v>
      </c>
      <c r="T5" s="2622">
        <f t="shared" ca="1" si="0"/>
        <v>1189</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SUMIF(L1:L12,基准地价!G2,M1:M12)</f>
        <v>1020</v>
      </c>
      <c r="D6" s="1346" t="s">
        <v>1670</v>
      </c>
      <c r="E6" s="1347"/>
      <c r="F6" s="1347"/>
      <c r="G6" s="1348"/>
      <c r="H6" s="1348"/>
      <c r="I6" s="1348"/>
      <c r="J6" s="1349"/>
      <c r="K6" s="3194"/>
      <c r="L6" s="1772" t="s">
        <v>2210</v>
      </c>
      <c r="M6" s="1773">
        <f>SUMPRODUCT((区片价!B110:B157=I2)*(区片价!C3:F3=E2)*(区片价!C110:F157))</f>
        <v>0</v>
      </c>
      <c r="N6" s="1774">
        <f>SUMPRODUCT((因素修正幅度!B110:B157=I2)*(因素修正幅度!C3:F3=E2)*(因素修正幅度!C110:F157))</f>
        <v>0</v>
      </c>
      <c r="O6" s="3194"/>
      <c r="P6" s="3197"/>
      <c r="Q6" s="2041"/>
      <c r="R6" s="2622">
        <v>5</v>
      </c>
      <c r="S6" s="2622">
        <f>ROUND(IF(G3&gt;1,IF(R6&lt;7,SUMPRODUCT((B93:B98=R6)*(C92:N92=G2)*(C93:N98)),SUMIF(C92:N92,G2,C100:N100)),IF(R6&lt;7,SUMPRODUCT((B102:B107=R6)*(C92:N92=G2)*(C102:N107)),SUMIF(C92:N92,G2,C109:N109))),4)</f>
        <v>0.56589999999999996</v>
      </c>
      <c r="T6" s="2622">
        <f t="shared" ca="1" si="0"/>
        <v>894</v>
      </c>
      <c r="U6" s="2611"/>
      <c r="V6" s="2622">
        <f t="shared" ca="1" si="1"/>
        <v>0</v>
      </c>
      <c r="W6" s="2041"/>
      <c r="X6" s="2041"/>
      <c r="Y6" s="2041"/>
      <c r="Z6" s="2041"/>
      <c r="AA6" s="2041"/>
      <c r="AB6" s="2041"/>
      <c r="AC6" s="2043"/>
      <c r="AD6" s="1342"/>
      <c r="AE6" s="1342"/>
      <c r="AF6" s="1342"/>
      <c r="AG6" s="1342"/>
      <c r="AH6" s="1342"/>
      <c r="AI6" s="1342"/>
      <c r="AJ6" s="1343"/>
    </row>
    <row r="7" spans="1:39" ht="24">
      <c r="A7" s="3754" t="str">
        <f>IF(E2="商业",IF(C8="不临58条商业街","",2),"")</f>
        <v/>
      </c>
      <c r="B7" s="1350" t="s">
        <v>907</v>
      </c>
      <c r="C7" s="1012" t="e">
        <f>IF(C8="不临58条商业街",1,ROUND(1+(1.6*E8+1.2*E9+0.8*E10+0.4*E11)*C9,4))</f>
        <v>#DIV/0!</v>
      </c>
      <c r="D7" s="1351" t="s">
        <v>908</v>
      </c>
      <c r="E7" s="1013"/>
      <c r="F7" s="1352"/>
      <c r="G7" s="1353"/>
      <c r="H7" s="1353"/>
      <c r="I7" s="1353"/>
      <c r="J7" s="1354"/>
      <c r="K7" s="3194"/>
      <c r="L7" s="1772" t="s">
        <v>2211</v>
      </c>
      <c r="M7" s="1773">
        <f>SUMPRODUCT((区片价!B158:B205=I2)*(区片价!C3:F3=E2)*(区片价!C158:F205))</f>
        <v>0</v>
      </c>
      <c r="N7" s="1774">
        <f>SUMPRODUCT((因素修正幅度!B158:B205=I2)*(因素修正幅度!C3:F3=E2)*(因素修正幅度!C158:F205))</f>
        <v>0</v>
      </c>
      <c r="O7" s="3194"/>
      <c r="P7" s="3197"/>
      <c r="Q7" s="2041"/>
      <c r="R7" s="2622">
        <v>6</v>
      </c>
      <c r="S7" s="2622">
        <f>ROUND(IF(G3&gt;1,IF(R7&lt;7,SUMPRODUCT((B93:B98=R7)*(C92:N92=G2)*(C93:N98)),SUMIF(C92:N92,G2,C100:N100)),IF(R7&lt;7,SUMPRODUCT((B102:B107=R7)*(C92:N92=G2)*(C102:N107)),SUMIF(C92:N92,G2,C109:N109))),4)</f>
        <v>0.45250000000000001</v>
      </c>
      <c r="T7" s="2622">
        <f t="shared" ca="1" si="0"/>
        <v>715</v>
      </c>
      <c r="U7" s="2611"/>
      <c r="V7" s="2622">
        <f t="shared" ca="1" si="1"/>
        <v>0</v>
      </c>
      <c r="W7" s="2620" t="s">
        <v>2717</v>
      </c>
      <c r="X7" s="2612" t="str">
        <f>G2</f>
        <v>八级</v>
      </c>
      <c r="Y7" s="2612" t="s">
        <v>2718</v>
      </c>
      <c r="Z7" s="2613">
        <f>G3</f>
        <v>1</v>
      </c>
      <c r="AA7" s="2044"/>
      <c r="AB7" s="2044"/>
      <c r="AC7" s="2045"/>
      <c r="AD7" s="2614"/>
      <c r="AE7" s="2614"/>
      <c r="AF7" s="2614"/>
      <c r="AG7" s="2614"/>
      <c r="AH7" s="2614"/>
      <c r="AI7" s="2614"/>
      <c r="AJ7" s="2615"/>
    </row>
    <row r="8" spans="1:39" ht="15">
      <c r="A8" s="3758"/>
      <c r="B8" s="1337" t="s">
        <v>909</v>
      </c>
      <c r="C8" s="1443"/>
      <c r="D8" s="1014" t="s">
        <v>910</v>
      </c>
      <c r="E8" s="1015" t="e">
        <f>ROUND(C11/E7,4)</f>
        <v>#DIV/0!</v>
      </c>
      <c r="F8" s="1355" t="s">
        <v>911</v>
      </c>
      <c r="G8" s="1356"/>
      <c r="H8" s="1356"/>
      <c r="I8" s="1356"/>
      <c r="J8" s="1357"/>
      <c r="K8" s="3194"/>
      <c r="L8" s="1772" t="s">
        <v>2212</v>
      </c>
      <c r="M8" s="1773">
        <f>SUMPRODUCT((区片价!B206:B244=I2)*(区片价!C3:F3=E2)*(区片价!C206:F244))</f>
        <v>1020</v>
      </c>
      <c r="N8" s="1774">
        <f>SUMPRODUCT((因素修正幅度!B206:B244=I2)*(因素修正幅度!C3:F3=E2)*(因素修正幅度!C206:F244))</f>
        <v>0.15</v>
      </c>
      <c r="O8" s="3194"/>
      <c r="P8" s="2041"/>
      <c r="Q8" s="2041"/>
      <c r="R8" s="2622">
        <v>7</v>
      </c>
      <c r="S8" s="2611"/>
      <c r="T8" s="2622">
        <f t="shared" ca="1" si="0"/>
        <v>0</v>
      </c>
      <c r="U8" s="2611"/>
      <c r="V8" s="2622">
        <f t="shared" ca="1" si="1"/>
        <v>0</v>
      </c>
      <c r="W8" s="3759" t="s">
        <v>2735</v>
      </c>
      <c r="X8" s="3760"/>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58"/>
      <c r="B9" s="1337" t="s">
        <v>912</v>
      </c>
      <c r="C9" s="1016">
        <f>SUMIF(修正!C59:C119,C8,修正!E59:E119)</f>
        <v>0</v>
      </c>
      <c r="D9" s="1017" t="s">
        <v>913</v>
      </c>
      <c r="E9" s="1017" t="e">
        <f>ROUND(C11/E7,4)</f>
        <v>#DIV/0!</v>
      </c>
      <c r="F9" s="1355" t="s">
        <v>914</v>
      </c>
      <c r="G9" s="1356"/>
      <c r="H9" s="1356"/>
      <c r="I9" s="1356"/>
      <c r="J9" s="1357"/>
      <c r="K9" s="3194"/>
      <c r="L9" s="1772" t="s">
        <v>2213</v>
      </c>
      <c r="M9" s="1773">
        <f>SUMPRODUCT((区片价!B245:B289=I2)*(区片价!C3:F3=E2)*(区片价!C245:F289))</f>
        <v>0</v>
      </c>
      <c r="N9" s="1774">
        <f>SUMPRODUCT((因素修正幅度!B245:B289=I2)*(因素修正幅度!C3:F3=E2)*(因素修正幅度!C245:F289))</f>
        <v>0</v>
      </c>
      <c r="O9" s="3194"/>
      <c r="P9" s="2041"/>
      <c r="Q9" s="2041"/>
      <c r="R9" s="2622">
        <v>8</v>
      </c>
      <c r="S9" s="2611"/>
      <c r="T9" s="2622">
        <f t="shared" ca="1" si="0"/>
        <v>0</v>
      </c>
      <c r="U9" s="2611"/>
      <c r="V9" s="2622">
        <f t="shared" ca="1" si="1"/>
        <v>0</v>
      </c>
      <c r="W9" s="3761"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58"/>
      <c r="B10" s="1337" t="s">
        <v>915</v>
      </c>
      <c r="C10" s="1017">
        <f>SUMIF(修正!C59:C119,C8,修正!F59:F119)</f>
        <v>0</v>
      </c>
      <c r="D10" s="1017" t="s">
        <v>916</v>
      </c>
      <c r="E10" s="1017" t="e">
        <f>ROUND(C11/E7,4)</f>
        <v>#DIV/0!</v>
      </c>
      <c r="F10" s="1355" t="s">
        <v>917</v>
      </c>
      <c r="G10" s="1356"/>
      <c r="H10" s="1356"/>
      <c r="I10" s="1356"/>
      <c r="J10" s="1357"/>
      <c r="K10" s="3194"/>
      <c r="L10" s="1772" t="s">
        <v>2214</v>
      </c>
      <c r="M10" s="1773">
        <f>SUMPRODUCT((区片价!B290:B316=I2)*(区片价!C3:F3=E2)*(区片价!C290:F316))</f>
        <v>0</v>
      </c>
      <c r="N10" s="1774">
        <f>SUMPRODUCT((因素修正幅度!B290:B316=I2)*(因素修正幅度!C3:F3=E2)*(因素修正幅度!C290:F316))</f>
        <v>0</v>
      </c>
      <c r="O10" s="3194"/>
      <c r="P10" s="2041"/>
      <c r="Q10" s="2041"/>
      <c r="R10" s="2622">
        <v>9</v>
      </c>
      <c r="S10" s="2611"/>
      <c r="T10" s="2622">
        <f t="shared" ca="1" si="0"/>
        <v>0</v>
      </c>
      <c r="U10" s="2611"/>
      <c r="V10" s="2622">
        <f t="shared" ca="1" si="1"/>
        <v>0</v>
      </c>
      <c r="W10" s="3761"/>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58"/>
      <c r="B11" s="1358" t="s">
        <v>918</v>
      </c>
      <c r="C11" s="1018">
        <f>C10/4</f>
        <v>0</v>
      </c>
      <c r="D11" s="1018" t="s">
        <v>919</v>
      </c>
      <c r="E11" s="1018" t="e">
        <f>ROUND(C11/E7,4)</f>
        <v>#DIV/0!</v>
      </c>
      <c r="F11" s="1359" t="s">
        <v>920</v>
      </c>
      <c r="G11" s="1360"/>
      <c r="H11" s="1360"/>
      <c r="I11" s="1360"/>
      <c r="J11" s="1361"/>
      <c r="K11" s="3194"/>
      <c r="L11" s="1772" t="s">
        <v>2215</v>
      </c>
      <c r="M11" s="1773">
        <f>SUMPRODUCT((区片价!B317:B337=I2)*(区片价!C3:F3=E2)*(区片价!C317:F337))</f>
        <v>0</v>
      </c>
      <c r="N11" s="1774">
        <f>SUMPRODUCT((因素修正幅度!B317:B337=I2)*(因素修正幅度!C3:F3=E2)*(因素修正幅度!C317:F337))</f>
        <v>0</v>
      </c>
      <c r="O11" s="3194"/>
      <c r="P11" s="2041"/>
      <c r="Q11" s="2041"/>
      <c r="R11" s="2622">
        <v>10</v>
      </c>
      <c r="S11" s="2611"/>
      <c r="T11" s="2622">
        <f t="shared" ca="1" si="0"/>
        <v>0</v>
      </c>
      <c r="U11" s="2611"/>
      <c r="V11" s="2622">
        <f t="shared" ca="1" si="1"/>
        <v>0</v>
      </c>
      <c r="W11" s="3761" t="s">
        <v>2733</v>
      </c>
      <c r="X11" s="1017" t="s">
        <v>2718</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54" t="s">
        <v>1840</v>
      </c>
      <c r="B12" s="1362" t="s">
        <v>921</v>
      </c>
      <c r="C12" s="1012">
        <f>ROUND(C15*D15*E15*F15*G15*H15*I15*J15,4)</f>
        <v>1</v>
      </c>
      <c r="D12" s="1363" t="s">
        <v>922</v>
      </c>
      <c r="E12" s="1364"/>
      <c r="F12" s="1364"/>
      <c r="G12" s="1365"/>
      <c r="H12" s="1365"/>
      <c r="I12" s="1365"/>
      <c r="J12" s="1366"/>
      <c r="K12" s="3194"/>
      <c r="L12" s="1775" t="s">
        <v>2216</v>
      </c>
      <c r="M12" s="1776">
        <f>SUMPRODUCT((区片价!B338:B344=I2)*(区片价!C3:F3=E2)*(区片价!C338:F344))</f>
        <v>0</v>
      </c>
      <c r="N12" s="1777">
        <f>SUMPRODUCT((因素修正幅度!B338:B344=I2)*(因素修正幅度!C3:F3=E2)*(因素修正幅度!C338:F344))</f>
        <v>0</v>
      </c>
      <c r="O12" s="3194"/>
      <c r="P12" s="2041"/>
      <c r="Q12" s="2041"/>
      <c r="R12" s="2622">
        <v>11</v>
      </c>
      <c r="S12" s="2611"/>
      <c r="T12" s="2622">
        <f t="shared" ca="1" si="0"/>
        <v>0</v>
      </c>
      <c r="U12" s="2611"/>
      <c r="V12" s="2622">
        <f t="shared" ca="1" si="1"/>
        <v>0</v>
      </c>
      <c r="W12" s="3761"/>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62"/>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61"/>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62"/>
      <c r="B14" s="1374"/>
      <c r="C14" s="1375"/>
      <c r="D14" s="1376"/>
      <c r="E14" s="1376"/>
      <c r="F14" s="1377"/>
      <c r="G14" s="1378" t="s">
        <v>924</v>
      </c>
      <c r="H14" s="1379"/>
      <c r="I14" s="1380"/>
      <c r="J14" s="1381"/>
      <c r="K14" s="3195"/>
      <c r="L14" s="3195"/>
      <c r="M14" s="3195"/>
      <c r="N14" s="3195"/>
      <c r="O14" s="3195"/>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63"/>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54" t="s">
        <v>1813</v>
      </c>
      <c r="B16" s="1350" t="s">
        <v>925</v>
      </c>
      <c r="C16" s="1021">
        <f>ROUND(IF(F17="与级别开发程度一致",0,(G17-E17)/C17),0)</f>
        <v>0</v>
      </c>
      <c r="D16" s="3756" t="s">
        <v>929</v>
      </c>
      <c r="E16" s="3757"/>
      <c r="F16" s="3756" t="s">
        <v>926</v>
      </c>
      <c r="G16" s="3757"/>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55"/>
      <c r="B17" s="2820" t="s">
        <v>928</v>
      </c>
      <c r="C17" s="2821">
        <f>SUMPRODUCT((修正!A2:A5=E2)*(修正!B1:M1=G2)*(修正!B2:M5))</f>
        <v>1</v>
      </c>
      <c r="D17" s="2822" t="str">
        <f>IF(OR(G2="八级",G2="九级",G2="十级",G2="十一级",G2="十二级"),"五通一平","七通一平")</f>
        <v>五通一平</v>
      </c>
      <c r="E17" s="2812">
        <f>SUMPRODUCT((修正!B1:M1=G2)*(修正!B15:M15))</f>
        <v>155</v>
      </c>
      <c r="F17" s="2813" t="s">
        <v>3146</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1804</v>
      </c>
      <c r="B18" s="2815" t="s">
        <v>930</v>
      </c>
      <c r="C18" s="2816">
        <f>SUMIF(修正!C18:C39,E3,修正!E18:E39)</f>
        <v>1</v>
      </c>
      <c r="D18" s="2817"/>
      <c r="E18" s="2818"/>
      <c r="F18" s="2801"/>
      <c r="G18" s="2800"/>
      <c r="H18" s="2800"/>
      <c r="I18" s="2800"/>
      <c r="J18" s="2808"/>
      <c r="K18" s="3193"/>
      <c r="L18" s="2800"/>
      <c r="M18" s="2800"/>
      <c r="N18" s="2800"/>
      <c r="O18" s="2800"/>
      <c r="P18" s="3198"/>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1810</v>
      </c>
      <c r="B19" s="1385" t="s">
        <v>931</v>
      </c>
      <c r="C19" s="1022">
        <f>ROUND(IF(H19="按公示增长率计算",SUMPRODUCT((地价!A3:A37=YEAR(G19)&amp;"-"&amp;ROUNDUP(MONTH(G19)/3,0))*(地价!X2:AB2=E2)*(地价!X3:AB37)),IF(H19="地价指数",M20/M19,(1+I19)^O19)),4)</f>
        <v>1.4726999999999999</v>
      </c>
      <c r="D19" s="1389" t="s">
        <v>932</v>
      </c>
      <c r="E19" s="1023">
        <v>41640</v>
      </c>
      <c r="F19" s="1389" t="s">
        <v>933</v>
      </c>
      <c r="G19" s="1024">
        <f>'数据-取费表'!B2</f>
        <v>44614</v>
      </c>
      <c r="H19" s="1390" t="s">
        <v>3147</v>
      </c>
      <c r="I19" s="2471" t="str">
        <f>IF(H19="季度增幅（自定义）",SUMIF(N21:N24,E2,O21:O24),"")</f>
        <v/>
      </c>
      <c r="J19" s="1386"/>
      <c r="K19" s="3193"/>
      <c r="L19" s="2719" t="s">
        <v>2790</v>
      </c>
      <c r="M19" s="2720">
        <f>ROUND(SUMIF(地价!B2:F2,E2,地价!B37:F37),0)</f>
        <v>230</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4.8000000000000001E-2</v>
      </c>
      <c r="H20" s="2468" t="s">
        <v>949</v>
      </c>
      <c r="I20" s="2464">
        <f>SUMIF('数据-取费表'!C6:C15,E2,'数据-取费表'!F6:F15)/COUNTIF('数据-取费表'!C6:C15,E2)</f>
        <v>50</v>
      </c>
      <c r="J20" s="2470">
        <f>IF(E2="住宅",70,IF(E2="商业",40,50))</f>
        <v>50</v>
      </c>
      <c r="K20" s="2810"/>
      <c r="L20" s="2721" t="s">
        <v>2791</v>
      </c>
      <c r="M20" s="2803">
        <f>ROUND(SUMPRODUCT((地价!A4:A37=YEAR(G19)&amp;"-"&amp;ROUNDUP(MONTH(G19)/3,0))*(地价!B2:F2=E2)*(地价!B4:F37)),0)</f>
        <v>334</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3148</v>
      </c>
      <c r="C21" s="1123">
        <f>IF(B21="容积率修正",IF(G3&lt;=10,D22,J22),C23)</f>
        <v>1</v>
      </c>
      <c r="D21" s="1396"/>
      <c r="E21" s="1396"/>
      <c r="F21" s="1396"/>
      <c r="G21" s="1396"/>
      <c r="H21" s="1396"/>
      <c r="I21" s="1396"/>
      <c r="J21" s="1397"/>
      <c r="K21" s="3193"/>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5" t="s">
        <v>952</v>
      </c>
      <c r="J22" s="1025" t="str">
        <f>IF(G3&gt;10,D113,"——")</f>
        <v>——</v>
      </c>
      <c r="K22" s="3199"/>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0"/>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1.0516000000000001</v>
      </c>
      <c r="D24" s="1449"/>
      <c r="E24" s="1450"/>
      <c r="F24" s="1450"/>
      <c r="G24" s="1450"/>
      <c r="H24" s="1450"/>
      <c r="I24" s="1450"/>
      <c r="J24" s="1450"/>
      <c r="K24" s="3200"/>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194"/>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3495</v>
      </c>
      <c r="D26" s="1404"/>
      <c r="E26" s="1379"/>
      <c r="F26" s="1405"/>
      <c r="G26" s="1379"/>
      <c r="H26" s="1379"/>
      <c r="I26" s="1379"/>
      <c r="J26" s="1406"/>
      <c r="K26" s="3194"/>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194"/>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194"/>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1580</v>
      </c>
      <c r="D29" s="1418">
        <f>F1</f>
        <v>22121.8</v>
      </c>
      <c r="E29" s="1736">
        <f ca="1">ROUND(C29*D29/10000,0)</f>
        <v>3495</v>
      </c>
      <c r="F29" s="1419" t="s">
        <v>1676</v>
      </c>
      <c r="G29" s="1420"/>
      <c r="H29" s="1420"/>
      <c r="I29" s="1420"/>
      <c r="J29" s="1421"/>
      <c r="K29" s="3201"/>
      <c r="L29" s="3201"/>
      <c r="M29" s="3201"/>
      <c r="N29" s="3201"/>
      <c r="O29" s="3201"/>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237</v>
      </c>
      <c r="D30" s="1424"/>
      <c r="E30" s="1736">
        <f ca="1">ROUND(C30*D30/10000,0)</f>
        <v>0</v>
      </c>
      <c r="F30" s="1425" t="s">
        <v>970</v>
      </c>
      <c r="G30" s="1426"/>
      <c r="H30" s="1426"/>
      <c r="I30" s="1426"/>
      <c r="J30" s="1427"/>
      <c r="K30" s="3194"/>
      <c r="L30" s="3194"/>
      <c r="M30" s="3194"/>
      <c r="N30" s="3194"/>
      <c r="O30" s="3194"/>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194"/>
      <c r="L31" s="3194"/>
      <c r="M31" s="3194"/>
      <c r="N31" s="3194"/>
      <c r="O31" s="3194"/>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2"/>
      <c r="L32" s="3202"/>
      <c r="M32" s="3202"/>
      <c r="N32" s="3202"/>
      <c r="O32" s="3202"/>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70"/>
      <c r="B33" s="1438" t="s">
        <v>974</v>
      </c>
      <c r="C33" s="1028">
        <f ca="1">ROUND(D5*C19*C20*C24*F33,0)</f>
        <v>948</v>
      </c>
      <c r="D33" s="1451"/>
      <c r="E33" s="1017">
        <f ca="1">ROUND(C33*D33/10000,0)</f>
        <v>0</v>
      </c>
      <c r="F33" s="1017">
        <f>SUMIF(修正!A45:A56,G2,修正!B45:B56)</f>
        <v>0.6</v>
      </c>
      <c r="G33" s="1017">
        <f t="shared" ref="G33" ca="1" si="6">ROUND(IF(E2="工业",C33*$M$39,C33*$M$38),0)</f>
        <v>142</v>
      </c>
      <c r="H33" s="1017">
        <f>D33</f>
        <v>0</v>
      </c>
      <c r="I33" s="1017">
        <f ca="1">ROUND(G33*H33/10000,0)</f>
        <v>0</v>
      </c>
      <c r="J33" s="3770" t="s">
        <v>2951</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71"/>
      <c r="B34" s="1368" t="s">
        <v>975</v>
      </c>
      <c r="C34" s="1028">
        <f ca="1">ROUND(D5*C19*C20*C24*F34,0)</f>
        <v>474</v>
      </c>
      <c r="D34" s="1451"/>
      <c r="E34" s="1017">
        <f t="shared" ref="E34:E39" ca="1" si="7">ROUND(C34*D34/10000,0)</f>
        <v>0</v>
      </c>
      <c r="F34" s="1017">
        <f>SUMIF(修正!A45:A56,G2,修正!C45:C56)</f>
        <v>0.3</v>
      </c>
      <c r="G34" s="1017">
        <f ca="1">ROUND(IF(E2="工业",C34*$M$39,C34*$M$38),0)</f>
        <v>71</v>
      </c>
      <c r="H34" s="1017">
        <f t="shared" ref="H34:H39" si="8">D34</f>
        <v>0</v>
      </c>
      <c r="I34" s="1017">
        <f t="shared" ref="I34:I39" ca="1" si="9">ROUND(G34*H34/10000,0)</f>
        <v>0</v>
      </c>
      <c r="J34" s="3771"/>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71"/>
      <c r="B35" s="1368" t="s">
        <v>976</v>
      </c>
      <c r="C35" s="1028">
        <f ca="1">ROUND(D5*C19*C20*C24*F35,0)</f>
        <v>316</v>
      </c>
      <c r="D35" s="1451"/>
      <c r="E35" s="1017">
        <f t="shared" ca="1" si="7"/>
        <v>0</v>
      </c>
      <c r="F35" s="1017">
        <f>SUMIF(修正!A45:A56,G2,修正!D45:D56)</f>
        <v>0.2</v>
      </c>
      <c r="G35" s="1017">
        <f ca="1">ROUND(IF(E2="工业",C35*$M$39,C35*$M$38),0)</f>
        <v>47</v>
      </c>
      <c r="H35" s="1017">
        <f t="shared" si="8"/>
        <v>0</v>
      </c>
      <c r="I35" s="1017">
        <f t="shared" ca="1" si="9"/>
        <v>0</v>
      </c>
      <c r="J35" s="3771"/>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72"/>
      <c r="B36" s="1368" t="s">
        <v>977</v>
      </c>
      <c r="C36" s="1028">
        <f ca="1">ROUND(D5*C19*C20*C24*F36,0)</f>
        <v>316</v>
      </c>
      <c r="D36" s="1451"/>
      <c r="E36" s="1017">
        <f t="shared" ca="1" si="7"/>
        <v>0</v>
      </c>
      <c r="F36" s="1017">
        <f>SUMIF(修正!A45:A56,G2,修正!E45:E56)</f>
        <v>0.2</v>
      </c>
      <c r="G36" s="1017">
        <f ca="1">ROUND(IF(E2="工业",C36*$M$39,C36*$M$38),0)</f>
        <v>47</v>
      </c>
      <c r="H36" s="1017">
        <f t="shared" si="8"/>
        <v>0</v>
      </c>
      <c r="I36" s="1017">
        <f t="shared" ca="1" si="9"/>
        <v>0</v>
      </c>
      <c r="J36" s="3772"/>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316</v>
      </c>
      <c r="D37" s="1451"/>
      <c r="E37" s="1017">
        <f t="shared" ca="1" si="7"/>
        <v>0</v>
      </c>
      <c r="F37" s="1028">
        <f>SUMIF(修正!A45:A56,G2,修正!F45:F56)</f>
        <v>0.2</v>
      </c>
      <c r="G37" s="1017">
        <f ca="1">ROUND(IF(E2="工业",C37*$M$39,C37*$M$38),0)</f>
        <v>47</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2909</v>
      </c>
      <c r="C41" s="810">
        <f ca="1">ROUND(POWER(1+E41,H41-G41)*(POWER(1+E41,G41)-1)/(POWER(1+E41,H41)-1),4)</f>
        <v>0</v>
      </c>
      <c r="D41" s="372" t="s">
        <v>2907</v>
      </c>
      <c r="E41" s="2798">
        <f ca="1">G20</f>
        <v>4.8000000000000001E-2</v>
      </c>
      <c r="F41" s="372" t="s">
        <v>2908</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hidden="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72" hidden="1">
      <c r="A48" s="1032" t="s">
        <v>996</v>
      </c>
      <c r="B48" s="2234" t="str">
        <f>估价对象房地状况!C18</f>
        <v>估价对象周边有顺2路、顺27路、顺28路、顺38路、顺43路、顺59路、顺60路等多条公交线路，距地铁15号线（南法信站）约500米，综合评价交通便捷度较好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hidden="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hidden="1">
      <c r="A50" s="1032" t="s">
        <v>998</v>
      </c>
      <c r="B50" s="2751" t="s">
        <v>2866</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hidden="1">
      <c r="A51" s="1032" t="s">
        <v>999</v>
      </c>
      <c r="B51" s="2234" t="str">
        <f>估价对象房地状况!C24</f>
        <v>城市次干道——顺余路</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hidden="1">
      <c r="A52" s="1032" t="s">
        <v>1000</v>
      </c>
      <c r="B52" s="2750" t="s">
        <v>2865</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hidden="1">
      <c r="A53" s="2266" t="s">
        <v>1001</v>
      </c>
      <c r="B53" s="2235" t="str">
        <f>估价对象房地状况!C21</f>
        <v>估价对象所在区域公共配套设施齐备情况一般</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hidden="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48.75" hidden="1" thickBot="1">
      <c r="A55" s="2267" t="s">
        <v>1003</v>
      </c>
      <c r="B55" s="2238" t="str">
        <f>估价对象房地状况!C20</f>
        <v>区域自然环境：小众和；人文环境：国家新闻出版广电总局研修学院；综合评价环境状况一般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72" hidden="1">
      <c r="A59" s="1032" t="s">
        <v>996</v>
      </c>
      <c r="B59" s="2234" t="str">
        <f>估价对象房地状况!C18</f>
        <v>估价对象周边有顺2路、顺27路、顺28路、顺38路、顺43路、顺59路、顺60路等多条公交线路，距地铁15号线（南法信站）约500米，综合评价交通便捷度较好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hidden="1">
      <c r="A61" s="1032" t="s">
        <v>998</v>
      </c>
      <c r="B61" s="2751" t="s">
        <v>2867</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hidden="1">
      <c r="A62" s="1032" t="s">
        <v>999</v>
      </c>
      <c r="B62" s="2234" t="str">
        <f>估价对象房地状况!C24</f>
        <v>城市次干道——顺余路</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hidden="1">
      <c r="A63" s="1032" t="s">
        <v>1000</v>
      </c>
      <c r="B63" s="2750" t="s">
        <v>2865</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hidden="1">
      <c r="A64" s="1032" t="s">
        <v>1001</v>
      </c>
      <c r="B64" s="2235" t="str">
        <f>估价对象房地状况!C21</f>
        <v>估价对象所在区域公共配套设施齐备情况一般</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48.75" hidden="1" thickBot="1">
      <c r="A66" s="2267" t="s">
        <v>1003</v>
      </c>
      <c r="B66" s="2239" t="str">
        <f>估价对象房地状况!C20</f>
        <v>区域自然环境：小众和；人文环境：国家新闻出版广电总局研修学院；综合评价环境状况一般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hidden="1">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hidden="1">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hidden="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72" hidden="1">
      <c r="A70" s="1032" t="s">
        <v>1008</v>
      </c>
      <c r="B70" s="2234" t="str">
        <f>估价对象房地状况!C18</f>
        <v>估价对象周边有顺2路、顺27路、顺28路、顺38路、顺43路、顺59路、顺60路等多条公交线路，距地铁15号线（南法信站）约500米，综合评价交通便捷度较好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hidden="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hidden="1">
      <c r="A72" s="1032" t="s">
        <v>1009</v>
      </c>
      <c r="B72" s="2234" t="str">
        <f>估价对象房地状况!C24</f>
        <v>城市次干道——顺余路</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hidden="1">
      <c r="A73" s="1032" t="s">
        <v>1001</v>
      </c>
      <c r="B73" s="2235" t="str">
        <f>估价对象房地状况!C21</f>
        <v>估价对象所在区域公共配套设施齐备情况一般</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hidden="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hidden="1">
      <c r="A75" s="1032" t="s">
        <v>1000</v>
      </c>
      <c r="B75" s="2750" t="s">
        <v>2865</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48" hidden="1">
      <c r="A76" s="1032" t="s">
        <v>1003</v>
      </c>
      <c r="B76" s="2237" t="str">
        <f>估价对象房地状况!C20</f>
        <v>区域自然环境：小众和；人文环境：国家新闻出版广电总局研修学院；综合评价环境状况一般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1.0516000000000001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84">
      <c r="A80" s="1032" t="s">
        <v>1012</v>
      </c>
      <c r="B80" s="2234" t="str">
        <f>估价对象房地状况!G15</f>
        <v>估价对象现状周边以产业用地为主，邻近周边有乐铁设备(北京)有限公司、综合信兴物流(南法信卫生院东北)、安博北京首都机场第二物流中心等，物流企业较多，产业集聚程度较好。</v>
      </c>
      <c r="C80" s="1019" t="s">
        <v>3142</v>
      </c>
      <c r="D80" s="2243">
        <f t="shared" ref="D80:D87" si="25">SUMIF($J$79:$N$79,C80,J80:N80)</f>
        <v>1.95E-2</v>
      </c>
      <c r="E80" s="2262">
        <f>ROUND(SUM(D80:D87),4)</f>
        <v>5.16E-2</v>
      </c>
      <c r="F80" s="2263">
        <f>IF(E2="工业",SUMIF(L1:L12,G2,N1:N12),"——")</f>
        <v>0.15</v>
      </c>
      <c r="G80" s="2241">
        <v>1.95E-2</v>
      </c>
      <c r="H80" s="2286">
        <f t="shared" ref="H80:H87" si="26">IFERROR(ROUNDDOWN($F$80*I80/2,4),"——")</f>
        <v>1.95E-2</v>
      </c>
      <c r="I80" s="2261">
        <v>0.26</v>
      </c>
      <c r="J80" s="2264">
        <f t="shared" ref="J80:J87" si="27">K80+$G80</f>
        <v>3.9E-2</v>
      </c>
      <c r="K80" s="2264">
        <f t="shared" ref="K80:K87" si="28">$L80+$G80</f>
        <v>1.95E-2</v>
      </c>
      <c r="L80" s="2264">
        <v>0</v>
      </c>
      <c r="M80" s="2264">
        <f t="shared" ref="M80:N87" si="29">L80-$G80</f>
        <v>-1.95E-2</v>
      </c>
      <c r="N80" s="2264">
        <f t="shared" si="29"/>
        <v>-3.9E-2</v>
      </c>
      <c r="AC80" s="1328"/>
      <c r="AD80" s="1327"/>
      <c r="AJ80" s="1326"/>
      <c r="AN80" s="1327"/>
    </row>
    <row r="81" spans="1:40" ht="72">
      <c r="A81" s="1032" t="s">
        <v>1008</v>
      </c>
      <c r="B81" s="2234" t="str">
        <f>估价对象房地状况!G16</f>
        <v>估价对象周边有顺2路、顺27路、顺28路、顺38路、顺43路、顺59路、顺60路等多条公交线路，距地铁15号线（南法信站）约500米，综合评价交通便捷度较好</v>
      </c>
      <c r="C81" s="1019" t="s">
        <v>3142</v>
      </c>
      <c r="D81" s="2243">
        <f t="shared" si="25"/>
        <v>2.47E-2</v>
      </c>
      <c r="E81" s="2271"/>
      <c r="F81" s="2272"/>
      <c r="G81" s="2241">
        <v>2.47E-2</v>
      </c>
      <c r="H81" s="2286">
        <f t="shared" si="26"/>
        <v>2.47E-2</v>
      </c>
      <c r="I81" s="2261">
        <v>0.33</v>
      </c>
      <c r="J81" s="2264">
        <f t="shared" si="27"/>
        <v>4.9399999999999999E-2</v>
      </c>
      <c r="K81" s="2264">
        <f t="shared" si="28"/>
        <v>2.47E-2</v>
      </c>
      <c r="L81" s="2264">
        <v>0</v>
      </c>
      <c r="M81" s="2264">
        <f t="shared" si="29"/>
        <v>-2.47E-2</v>
      </c>
      <c r="N81" s="2264">
        <f t="shared" si="29"/>
        <v>-4.9399999999999999E-2</v>
      </c>
      <c r="AC81" s="1328"/>
      <c r="AD81" s="1327"/>
      <c r="AJ81" s="1326"/>
      <c r="AN81" s="1327"/>
    </row>
    <row r="82" spans="1:40" ht="24">
      <c r="A82" s="1032" t="s">
        <v>997</v>
      </c>
      <c r="B82" s="2234">
        <f>估价对象房地状况!G17</f>
        <v>0</v>
      </c>
      <c r="C82" s="1019" t="s">
        <v>3142</v>
      </c>
      <c r="D82" s="2243">
        <f t="shared" si="25"/>
        <v>3.7000000000000002E-3</v>
      </c>
      <c r="E82" s="2271"/>
      <c r="F82" s="2272"/>
      <c r="G82" s="2241">
        <v>3.7000000000000002E-3</v>
      </c>
      <c r="H82" s="2286">
        <f t="shared" si="26"/>
        <v>3.7000000000000002E-3</v>
      </c>
      <c r="I82" s="2261">
        <v>0.05</v>
      </c>
      <c r="J82" s="2264">
        <f t="shared" si="27"/>
        <v>7.4000000000000003E-3</v>
      </c>
      <c r="K82" s="2264">
        <f t="shared" si="28"/>
        <v>3.7000000000000002E-3</v>
      </c>
      <c r="L82" s="2264">
        <v>0</v>
      </c>
      <c r="M82" s="2264">
        <f t="shared" si="29"/>
        <v>-3.7000000000000002E-3</v>
      </c>
      <c r="N82" s="2264">
        <f t="shared" si="29"/>
        <v>-7.4000000000000003E-3</v>
      </c>
      <c r="AC82" s="1328"/>
      <c r="AD82" s="1327"/>
      <c r="AJ82" s="1326"/>
      <c r="AN82" s="1327"/>
    </row>
    <row r="83" spans="1:40" ht="14.25">
      <c r="A83" s="1032" t="s">
        <v>1009</v>
      </c>
      <c r="B83" s="2234">
        <f>估价对象房地状况!G22</f>
        <v>0</v>
      </c>
      <c r="C83" s="1019" t="s">
        <v>3143</v>
      </c>
      <c r="D83" s="2243">
        <f t="shared" si="25"/>
        <v>0</v>
      </c>
      <c r="E83" s="2271"/>
      <c r="F83" s="2272"/>
      <c r="G83" s="2241">
        <v>3.0000000000000001E-3</v>
      </c>
      <c r="H83" s="2286">
        <f t="shared" si="26"/>
        <v>3.0000000000000001E-3</v>
      </c>
      <c r="I83" s="2261">
        <v>0.04</v>
      </c>
      <c r="J83" s="2264">
        <f t="shared" si="27"/>
        <v>6.0000000000000001E-3</v>
      </c>
      <c r="K83" s="2264">
        <f t="shared" si="28"/>
        <v>3.0000000000000001E-3</v>
      </c>
      <c r="L83" s="2264">
        <v>0</v>
      </c>
      <c r="M83" s="2264">
        <f t="shared" si="29"/>
        <v>-3.0000000000000001E-3</v>
      </c>
      <c r="N83" s="2264">
        <f t="shared" si="29"/>
        <v>-6.0000000000000001E-3</v>
      </c>
      <c r="AC83" s="1328"/>
      <c r="AD83" s="1327"/>
      <c r="AJ83" s="1326"/>
      <c r="AN83" s="1327"/>
    </row>
    <row r="84" spans="1:40" ht="24">
      <c r="A84" s="1032" t="s">
        <v>1001</v>
      </c>
      <c r="B84" s="2235" t="str">
        <f>估价对象房地状况!G19</f>
        <v>估价对象所在区域公共配套设施齐备情况一般</v>
      </c>
      <c r="C84" s="1019" t="s">
        <v>3143</v>
      </c>
      <c r="D84" s="2243">
        <f t="shared" si="25"/>
        <v>0</v>
      </c>
      <c r="E84" s="2271"/>
      <c r="F84" s="2272"/>
      <c r="G84" s="2241">
        <v>4.4999999999999997E-3</v>
      </c>
      <c r="H84" s="2286">
        <f t="shared" si="26"/>
        <v>4.4999999999999997E-3</v>
      </c>
      <c r="I84" s="2261">
        <v>0.06</v>
      </c>
      <c r="J84" s="2264">
        <f t="shared" si="27"/>
        <v>8.9999999999999993E-3</v>
      </c>
      <c r="K84" s="2264">
        <f t="shared" si="28"/>
        <v>4.4999999999999997E-3</v>
      </c>
      <c r="L84" s="2264">
        <v>0</v>
      </c>
      <c r="M84" s="2264">
        <f t="shared" si="29"/>
        <v>-4.4999999999999997E-3</v>
      </c>
      <c r="N84" s="2264">
        <f t="shared" si="29"/>
        <v>-8.9999999999999993E-3</v>
      </c>
      <c r="AC84" s="1328"/>
      <c r="AD84" s="1327"/>
      <c r="AJ84" s="1326"/>
      <c r="AN84" s="1327"/>
    </row>
    <row r="85" spans="1:40" ht="72">
      <c r="A85" s="1032" t="s">
        <v>1002</v>
      </c>
      <c r="B85" s="2235" t="str">
        <f>估价对象房地状况!G20</f>
        <v>估价对象所在区域内基础设施配套条件达到“五通”（包括通路、通电、通讯、通上水、通下水），基本能够保证工作、生产需要，基础设施配套完善度一般。</v>
      </c>
      <c r="C85" s="1019" t="s">
        <v>3143</v>
      </c>
      <c r="D85" s="2243">
        <f t="shared" si="25"/>
        <v>0</v>
      </c>
      <c r="E85" s="2271"/>
      <c r="F85" s="2272"/>
      <c r="G85" s="2241">
        <v>1.12E-2</v>
      </c>
      <c r="H85" s="2286">
        <f t="shared" si="26"/>
        <v>1.12E-2</v>
      </c>
      <c r="I85" s="2261">
        <v>0.15</v>
      </c>
      <c r="J85" s="2264">
        <f t="shared" si="27"/>
        <v>2.24E-2</v>
      </c>
      <c r="K85" s="2264">
        <f t="shared" si="28"/>
        <v>1.12E-2</v>
      </c>
      <c r="L85" s="2264">
        <v>0</v>
      </c>
      <c r="M85" s="2264">
        <f t="shared" si="29"/>
        <v>-1.12E-2</v>
      </c>
      <c r="N85" s="2264">
        <f t="shared" si="29"/>
        <v>-2.24E-2</v>
      </c>
      <c r="AC85" s="1328"/>
      <c r="AD85" s="1327"/>
      <c r="AJ85" s="1326"/>
      <c r="AN85" s="1327"/>
    </row>
    <row r="86" spans="1:40" ht="24">
      <c r="A86" s="1032" t="s">
        <v>1000</v>
      </c>
      <c r="B86" s="2750" t="s">
        <v>2865</v>
      </c>
      <c r="C86" s="1019" t="s">
        <v>3142</v>
      </c>
      <c r="D86" s="2243">
        <f t="shared" si="25"/>
        <v>3.7000000000000002E-3</v>
      </c>
      <c r="E86" s="2271"/>
      <c r="F86" s="2272"/>
      <c r="G86" s="2241">
        <v>3.7000000000000002E-3</v>
      </c>
      <c r="H86" s="2286">
        <f t="shared" si="26"/>
        <v>3.7000000000000002E-3</v>
      </c>
      <c r="I86" s="2261">
        <v>0.05</v>
      </c>
      <c r="J86" s="2264">
        <f t="shared" si="27"/>
        <v>7.4000000000000003E-3</v>
      </c>
      <c r="K86" s="2264">
        <f t="shared" si="28"/>
        <v>3.7000000000000002E-3</v>
      </c>
      <c r="L86" s="2264">
        <v>0</v>
      </c>
      <c r="M86" s="2264">
        <f t="shared" si="29"/>
        <v>-3.7000000000000002E-3</v>
      </c>
      <c r="N86" s="2264">
        <f t="shared" si="29"/>
        <v>-7.4000000000000003E-3</v>
      </c>
      <c r="AC86" s="1328"/>
      <c r="AD86" s="1327"/>
      <c r="AJ86" s="1326"/>
      <c r="AN86" s="1327"/>
    </row>
    <row r="87" spans="1:40" ht="48.75" thickBot="1">
      <c r="A87" s="2267" t="s">
        <v>1013</v>
      </c>
      <c r="B87" s="2236" t="str">
        <f>估价对象房地状况!G18</f>
        <v>区域自然环境：小众河；人文环境：国家新闻出版广电总局研修学院；综合评价环境状况一般</v>
      </c>
      <c r="C87" s="1019" t="s">
        <v>3143</v>
      </c>
      <c r="D87" s="2243">
        <f t="shared" si="25"/>
        <v>0</v>
      </c>
      <c r="E87" s="2273"/>
      <c r="F87" s="2272"/>
      <c r="G87" s="2241">
        <v>4.4999999999999997E-3</v>
      </c>
      <c r="H87" s="2286">
        <f t="shared" si="26"/>
        <v>4.4999999999999997E-3</v>
      </c>
      <c r="I87" s="2268">
        <v>0.06</v>
      </c>
      <c r="J87" s="2264">
        <f t="shared" si="27"/>
        <v>8.9999999999999993E-3</v>
      </c>
      <c r="K87" s="2264">
        <f t="shared" si="28"/>
        <v>4.4999999999999997E-3</v>
      </c>
      <c r="L87" s="2264">
        <v>0</v>
      </c>
      <c r="M87" s="2264">
        <f t="shared" si="29"/>
        <v>-4.4999999999999997E-3</v>
      </c>
      <c r="N87" s="2264">
        <f t="shared" si="29"/>
        <v>-8.9999999999999993E-3</v>
      </c>
      <c r="AC87" s="1328"/>
      <c r="AD87" s="1327"/>
      <c r="AJ87" s="1326"/>
      <c r="AN87" s="1327"/>
    </row>
    <row r="90" spans="1:40">
      <c r="A90" s="3773" t="s">
        <v>1608</v>
      </c>
      <c r="B90" s="3773"/>
      <c r="C90" s="3773"/>
      <c r="D90" s="3773"/>
      <c r="E90" s="3773"/>
      <c r="F90" s="3773"/>
      <c r="G90" s="3773"/>
      <c r="H90" s="3773"/>
      <c r="I90" s="3773"/>
      <c r="J90" s="3773"/>
      <c r="K90" s="2276"/>
      <c r="L90" s="2276"/>
      <c r="M90" s="2276"/>
      <c r="N90" s="2276"/>
    </row>
    <row r="91" spans="1:40">
      <c r="A91" s="3774" t="s">
        <v>1418</v>
      </c>
      <c r="B91" s="3774" t="s">
        <v>1609</v>
      </c>
      <c r="C91" s="1105" t="s">
        <v>1610</v>
      </c>
      <c r="D91" s="1106"/>
      <c r="E91" s="1106"/>
      <c r="F91" s="1106"/>
      <c r="G91" s="1106"/>
      <c r="H91" s="1106"/>
      <c r="I91" s="1106"/>
      <c r="J91" s="1107"/>
      <c r="K91" s="1099"/>
      <c r="L91" s="1099"/>
      <c r="M91" s="1099"/>
      <c r="N91" s="1099"/>
    </row>
    <row r="92" spans="1:40">
      <c r="A92" s="3774"/>
      <c r="B92" s="3774"/>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64"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5"/>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5"/>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5"/>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5"/>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5"/>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5"/>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66"/>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64" t="s">
        <v>1612</v>
      </c>
      <c r="B101" s="1112" t="s">
        <v>881</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65"/>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65"/>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65"/>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65"/>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65"/>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65"/>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65"/>
      <c r="B108" s="3767"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66"/>
      <c r="B109" s="3768"/>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69" t="s">
        <v>1614</v>
      </c>
      <c r="B110" s="3769"/>
      <c r="C110" s="3769"/>
      <c r="D110" s="3769"/>
      <c r="E110" s="3769"/>
      <c r="F110" s="3769"/>
      <c r="G110" s="3769"/>
      <c r="H110" s="3769"/>
      <c r="I110" s="3769"/>
      <c r="J110" s="3769"/>
      <c r="K110" s="2274"/>
      <c r="L110" s="2274"/>
      <c r="M110" s="2274"/>
      <c r="N110" s="2274"/>
    </row>
    <row r="112" spans="1:14" ht="12.75" thickBot="1"/>
    <row r="113" spans="1:13" ht="25.5" thickBot="1">
      <c r="A113" s="985" t="s">
        <v>871</v>
      </c>
      <c r="B113" s="2277">
        <f>G3</f>
        <v>1</v>
      </c>
      <c r="C113" s="986" t="s">
        <v>872</v>
      </c>
      <c r="D113" s="987">
        <f>SUMPRODUCT((A115:A118=F113)*(B114:M114=H113)*B115:M118)</f>
        <v>0.55310000000000004</v>
      </c>
      <c r="E113" s="988" t="s">
        <v>873</v>
      </c>
      <c r="F113" s="989" t="str">
        <f>E2</f>
        <v>工业</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876</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877</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878</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C19" sqref="C19"/>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5" t="s">
        <v>460</v>
      </c>
      <c r="B1" s="2494" t="s">
        <v>956</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41" s="1896" customFormat="1" ht="18" customHeight="1">
      <c r="A2" s="417" t="s">
        <v>461</v>
      </c>
      <c r="B2" s="418">
        <f ca="1">C27</f>
        <v>6092.7427739654813</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2754</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2754</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184</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 ca="1">SUM(C10:K10)</f>
        <v>11593</v>
      </c>
      <c r="D6" s="1963"/>
      <c r="E6" s="1963"/>
      <c r="F6" s="1963"/>
      <c r="G6" s="1963"/>
      <c r="H6" s="1963"/>
      <c r="I6" s="1963"/>
      <c r="J6" s="1963"/>
      <c r="K6" s="1964"/>
      <c r="L6" s="3157"/>
      <c r="M6" s="3157"/>
      <c r="N6" s="3157"/>
      <c r="O6" s="3157"/>
      <c r="P6" s="3157"/>
      <c r="Q6" s="3157"/>
      <c r="R6" s="3157"/>
      <c r="S6" s="3157"/>
      <c r="T6" s="3157"/>
      <c r="U6" s="3157"/>
      <c r="V6" s="3157"/>
      <c r="W6" s="3157"/>
      <c r="X6" s="3157"/>
      <c r="Y6" s="3157"/>
      <c r="Z6" s="3157"/>
    </row>
    <row r="7" spans="1:41" s="1967" customFormat="1" ht="15">
      <c r="A7" s="428" t="s">
        <v>464</v>
      </c>
      <c r="B7" s="429" t="s">
        <v>465</v>
      </c>
      <c r="C7" s="430" t="s">
        <v>956</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22121.8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f ca="1">不动产收益法!B2</f>
        <v>11593</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2962</v>
      </c>
      <c r="B11" s="1524"/>
      <c r="C11" s="1524"/>
      <c r="D11" s="1524"/>
      <c r="E11" s="1524"/>
      <c r="F11" s="1524"/>
      <c r="G11" s="1524"/>
      <c r="H11" s="1524"/>
      <c r="I11" s="1524"/>
      <c r="J11" s="1524"/>
      <c r="K11" s="1525"/>
      <c r="L11" s="3157"/>
      <c r="M11" s="3157"/>
      <c r="N11" s="3157"/>
      <c r="O11" s="3157"/>
      <c r="P11" s="3157"/>
      <c r="Q11" s="3157"/>
      <c r="R11" s="3157"/>
      <c r="S11" s="3157"/>
      <c r="T11" s="3157"/>
      <c r="U11" s="3157"/>
      <c r="V11" s="3157"/>
      <c r="W11" s="3157"/>
      <c r="X11" s="3157"/>
      <c r="Y11" s="3157"/>
      <c r="Z11" s="3157"/>
    </row>
    <row r="12" spans="1:41" s="1939" customFormat="1" ht="13.5" customHeight="1">
      <c r="A12" s="428" t="s">
        <v>2963</v>
      </c>
      <c r="B12" s="437" t="s">
        <v>2964</v>
      </c>
      <c r="C12" s="438" t="s">
        <v>2965</v>
      </c>
      <c r="D12" s="439" t="s">
        <v>2966</v>
      </c>
      <c r="E12" s="439" t="s">
        <v>2967</v>
      </c>
      <c r="F12" s="439" t="s">
        <v>2968</v>
      </c>
      <c r="G12" s="437"/>
      <c r="H12" s="440"/>
      <c r="I12" s="440"/>
      <c r="J12" s="440"/>
      <c r="K12" s="441"/>
      <c r="L12" s="3158"/>
      <c r="M12" s="3158"/>
      <c r="N12" s="3158"/>
      <c r="O12" s="3158"/>
      <c r="P12" s="3158"/>
      <c r="Q12" s="3158"/>
      <c r="R12" s="3158"/>
      <c r="S12" s="3158"/>
      <c r="T12" s="3158"/>
      <c r="U12" s="3158"/>
      <c r="V12" s="3158"/>
      <c r="W12" s="3158"/>
      <c r="X12" s="3158"/>
      <c r="Y12" s="3158"/>
      <c r="Z12" s="3158"/>
    </row>
    <row r="13" spans="1:41" s="1970" customFormat="1" ht="13.5" customHeight="1">
      <c r="A13" s="1536" t="s">
        <v>2969</v>
      </c>
      <c r="B13" s="442" t="s">
        <v>2970</v>
      </c>
      <c r="C13" s="443">
        <f ca="1">IF(B1="",'数据-取费表'!M16,INDIRECT("'数据-取费表'!M"&amp;$K$1)+INDIRECT("'数据-取费表'!t"&amp;$K$1))</f>
        <v>3982</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2971</v>
      </c>
      <c r="C14" s="53">
        <f ca="1">ROUND(C13*F14,0)</f>
        <v>119</v>
      </c>
      <c r="D14" s="444"/>
      <c r="E14" s="363"/>
      <c r="F14" s="446">
        <f>'数据-取费表'!B33</f>
        <v>0.03</v>
      </c>
      <c r="G14" s="437" t="s">
        <v>2972</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2973</v>
      </c>
      <c r="C15" s="53">
        <f ca="1">ROUND(IF(B1="",SUMIF('数据-取费表'!C:C,"住宅",'数据-取费表'!M:M)*F15,IF(INDIRECT("'数据-取费表'!c"&amp;$K$1)="住宅",INDIRECT("'数据-取费表'!M"&amp;$K$1)*F15,0)),0)</f>
        <v>0</v>
      </c>
      <c r="D15" s="444"/>
      <c r="E15" s="363"/>
      <c r="F15" s="446">
        <f>'数据-取费表'!B34</f>
        <v>0</v>
      </c>
      <c r="G15" s="437" t="s">
        <v>2972</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2974</v>
      </c>
      <c r="C16" s="53">
        <f ca="1">ROUND(D16*E16/10000,0)</f>
        <v>398</v>
      </c>
      <c r="D16" s="444">
        <f ca="1">IF(B1="",'数据-汇总表'!E3,INDIRECT("'数据-取费表'!K"&amp;$K$1)+INDIRECT("'数据-取费表'!S"&amp;$K$1))</f>
        <v>22121.8</v>
      </c>
      <c r="E16" s="53">
        <f>'数据-取费表'!B35</f>
        <v>180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2975</v>
      </c>
      <c r="C17" s="447">
        <f ca="1">ROUND(C13*F17,0)</f>
        <v>60</v>
      </c>
      <c r="D17" s="448"/>
      <c r="E17" s="447"/>
      <c r="F17" s="449">
        <f>'数据-取费表'!B36</f>
        <v>1.4999999999999999E-2</v>
      </c>
      <c r="G17" s="437" t="s">
        <v>2972</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2976</v>
      </c>
      <c r="B18" s="452" t="s">
        <v>2977</v>
      </c>
      <c r="C18" s="453">
        <f ca="1">SUM(C13:C17)</f>
        <v>4559</v>
      </c>
      <c r="D18" s="454"/>
      <c r="E18" s="455"/>
      <c r="F18" s="455"/>
      <c r="G18" s="1262" t="s">
        <v>2978</v>
      </c>
      <c r="H18" s="440"/>
      <c r="I18" s="440"/>
      <c r="J18" s="440"/>
      <c r="K18" s="441"/>
      <c r="L18" s="3160"/>
      <c r="M18" s="3160"/>
      <c r="N18" s="3160"/>
      <c r="O18" s="3160"/>
      <c r="P18" s="3160"/>
      <c r="Q18" s="3160"/>
      <c r="R18" s="3160"/>
      <c r="S18" s="3160"/>
      <c r="T18" s="3160"/>
      <c r="U18" s="3160"/>
      <c r="V18" s="3160"/>
      <c r="W18" s="3160"/>
      <c r="X18" s="3160"/>
      <c r="Y18" s="3160"/>
      <c r="Z18" s="3160"/>
    </row>
    <row r="19" spans="1:26" s="1973" customFormat="1" ht="13.5" customHeight="1">
      <c r="A19" s="1537" t="s">
        <v>1829</v>
      </c>
      <c r="B19" s="452" t="s">
        <v>2979</v>
      </c>
      <c r="C19" s="453">
        <f ca="1">ROUND(C18*F19,0)</f>
        <v>91</v>
      </c>
      <c r="D19" s="454"/>
      <c r="E19" s="455"/>
      <c r="F19" s="459">
        <f>'数据-取费表'!B37</f>
        <v>0.02</v>
      </c>
      <c r="G19" s="437" t="s">
        <v>2980</v>
      </c>
      <c r="H19" s="440"/>
      <c r="I19" s="440"/>
      <c r="J19" s="440"/>
      <c r="K19" s="441"/>
      <c r="L19" s="3162"/>
      <c r="M19" s="3162"/>
      <c r="N19" s="3162"/>
      <c r="O19" s="3160"/>
      <c r="P19" s="3160"/>
      <c r="Q19" s="3160"/>
      <c r="R19" s="3160"/>
      <c r="S19" s="3160"/>
      <c r="T19" s="3160"/>
      <c r="U19" s="3160"/>
      <c r="V19" s="3160"/>
      <c r="W19" s="3160"/>
      <c r="X19" s="3160"/>
      <c r="Y19" s="3160"/>
      <c r="Z19" s="3160"/>
    </row>
    <row r="20" spans="1:26" s="1973" customFormat="1" ht="13.5" customHeight="1">
      <c r="A20" s="1537" t="s">
        <v>1830</v>
      </c>
      <c r="B20" s="454" t="s">
        <v>2981</v>
      </c>
      <c r="C20" s="463">
        <f ca="1">ROUND(IF('数据-取费表'!B22&lt;=1,(C18+C19)*F20*'数据-取费表'!B20/2,(C18+C19)*(POWER((1+F20),'数据-取费表'!B20/2)-1)),0)</f>
        <v>109</v>
      </c>
      <c r="D20" s="455">
        <f ca="1">ROUND(((1+F20)^'[7]数据-取费表'!B20)-1,4)</f>
        <v>0</v>
      </c>
      <c r="E20" s="455"/>
      <c r="F20" s="464">
        <f ca="1">'数据-取费表'!B40</f>
        <v>4.7500000000000001E-2</v>
      </c>
      <c r="G20" s="1262" t="str">
        <f>IF('[7]数据-取费表'!B22&lt;=1,"单利计息。","复利计息。")&amp;"建造成本、管理费用产生的利息 / 地价及税费产生的利息。"</f>
        <v>单利计息。建造成本、管理费用产生的利息 / 地价及税费产生的利息。</v>
      </c>
      <c r="H20" s="440"/>
      <c r="I20" s="440"/>
      <c r="J20" s="440"/>
      <c r="K20" s="441"/>
      <c r="L20" s="3162"/>
      <c r="M20" s="3162"/>
      <c r="N20" s="3162"/>
      <c r="O20" s="3160"/>
      <c r="P20" s="3160"/>
      <c r="Q20" s="3160"/>
      <c r="R20" s="3160"/>
      <c r="S20" s="3160"/>
      <c r="T20" s="3160"/>
      <c r="U20" s="3160"/>
      <c r="V20" s="3160"/>
      <c r="W20" s="3160"/>
      <c r="X20" s="3160"/>
      <c r="Y20" s="3160"/>
      <c r="Z20" s="3160"/>
    </row>
    <row r="21" spans="1:26" s="1975" customFormat="1" ht="13.5" customHeight="1">
      <c r="A21" s="1537" t="s">
        <v>2982</v>
      </c>
      <c r="B21" s="2711" t="s">
        <v>2983</v>
      </c>
      <c r="C21" s="471">
        <f ca="1">ROUND((C18+C19)*F21,0)</f>
        <v>558</v>
      </c>
      <c r="D21" s="3239"/>
      <c r="E21" s="455"/>
      <c r="F21" s="472">
        <f ca="1">IF(B1="",'数据-取费表'!Q16,INDIRECT("'数据-取费表'!q"&amp;$K$1))</f>
        <v>0.12</v>
      </c>
      <c r="G21" s="437"/>
      <c r="H21" s="440"/>
      <c r="I21" s="440"/>
      <c r="J21" s="440"/>
      <c r="K21" s="441"/>
      <c r="L21" s="3167" t="s">
        <v>2409</v>
      </c>
      <c r="M21" s="3168"/>
      <c r="N21" s="3168"/>
      <c r="O21" s="3168"/>
      <c r="P21" s="3168"/>
      <c r="Q21" s="3162"/>
      <c r="R21" s="3162"/>
      <c r="S21" s="3162"/>
      <c r="T21" s="3162"/>
      <c r="U21" s="3162"/>
      <c r="V21" s="3162"/>
      <c r="W21" s="3162"/>
      <c r="X21" s="3162"/>
      <c r="Y21" s="3162"/>
      <c r="Z21" s="3162"/>
    </row>
    <row r="22" spans="1:26" s="1974" customFormat="1" ht="13.5" customHeight="1">
      <c r="A22" s="1537" t="s">
        <v>1834</v>
      </c>
      <c r="B22" s="469" t="s">
        <v>2984</v>
      </c>
      <c r="C22" s="476"/>
      <c r="D22" s="476"/>
      <c r="E22" s="455"/>
      <c r="F22" s="3240">
        <f ca="1">IF(B1="",'数据-取费表'!N16,INDIRECT("'数据-取费表'!N"&amp;$K$1))</f>
        <v>0.7</v>
      </c>
      <c r="G22" s="437"/>
      <c r="H22" s="440"/>
      <c r="I22" s="440"/>
      <c r="J22" s="440"/>
      <c r="K22" s="441"/>
      <c r="L22" s="3161"/>
      <c r="M22" s="3161"/>
      <c r="N22" s="3161"/>
      <c r="O22" s="3161"/>
      <c r="P22" s="3161"/>
      <c r="Q22" s="3161"/>
      <c r="R22" s="3161"/>
      <c r="S22" s="3161"/>
      <c r="T22" s="3161"/>
      <c r="U22" s="3161"/>
      <c r="V22" s="3161"/>
      <c r="W22" s="3161"/>
      <c r="X22" s="3161"/>
      <c r="Y22" s="3161"/>
      <c r="Z22" s="3161"/>
    </row>
    <row r="23" spans="1:26" s="1974" customFormat="1" ht="13.5" customHeight="1" thickBot="1">
      <c r="A23" s="3241" t="s">
        <v>1835</v>
      </c>
      <c r="B23" s="3242" t="s">
        <v>2985</v>
      </c>
      <c r="C23" s="3243">
        <f ca="1">ROUND((C18+C19+C20+C21)*F22,0)</f>
        <v>3722</v>
      </c>
      <c r="D23" s="3244"/>
      <c r="E23" s="455"/>
      <c r="F23" s="477"/>
      <c r="G23" s="429"/>
      <c r="H23" s="3245"/>
      <c r="I23" s="3245"/>
      <c r="J23" s="3245"/>
      <c r="K23" s="3246"/>
      <c r="L23" s="3161"/>
      <c r="M23" s="3161"/>
      <c r="N23" s="3161"/>
      <c r="O23" s="3161"/>
      <c r="P23" s="3161"/>
      <c r="Q23" s="3161"/>
      <c r="R23" s="3161"/>
      <c r="S23" s="3161"/>
      <c r="T23" s="3161"/>
      <c r="U23" s="3161"/>
      <c r="V23" s="3161"/>
      <c r="W23" s="3161"/>
      <c r="X23" s="3161"/>
      <c r="Y23" s="3161"/>
      <c r="Z23" s="3161"/>
    </row>
    <row r="24" spans="1:26" s="1974" customFormat="1" ht="13.5" customHeight="1" thickBot="1">
      <c r="A24" s="3775" t="s">
        <v>2986</v>
      </c>
      <c r="B24" s="3776"/>
      <c r="C24" s="3247">
        <f ca="1">ROUND(C6*F24/(1+'数据-取费表'!B42),0)</f>
        <v>607</v>
      </c>
      <c r="D24" s="3248"/>
      <c r="E24" s="455"/>
      <c r="F24" s="3249">
        <f>'数据-取费表'!B41</f>
        <v>5.5000000000000007E-2</v>
      </c>
      <c r="G24" s="3250"/>
      <c r="H24" s="3250"/>
      <c r="I24" s="3250"/>
      <c r="J24" s="3250"/>
      <c r="K24" s="3251"/>
      <c r="L24" s="3161"/>
      <c r="M24" s="3161"/>
      <c r="N24" s="3161"/>
      <c r="O24" s="3161"/>
      <c r="P24" s="3161"/>
      <c r="Q24" s="3161"/>
      <c r="R24" s="3161"/>
      <c r="S24" s="3161"/>
      <c r="T24" s="3161"/>
      <c r="U24" s="3161"/>
      <c r="V24" s="3161"/>
      <c r="W24" s="3161"/>
      <c r="X24" s="3161"/>
      <c r="Y24" s="3161"/>
      <c r="Z24" s="3161"/>
    </row>
    <row r="25" spans="1:26" s="1974" customFormat="1" ht="13.5" customHeight="1" thickBot="1">
      <c r="A25" s="3775" t="s">
        <v>2987</v>
      </c>
      <c r="B25" s="3776"/>
      <c r="C25" s="3247">
        <f ca="1">ROUND(C6*F25,0)</f>
        <v>232</v>
      </c>
      <c r="D25" s="3248"/>
      <c r="E25" s="455"/>
      <c r="F25" s="3252">
        <f>'数据-取费表'!B38</f>
        <v>0.02</v>
      </c>
      <c r="G25" s="3253"/>
      <c r="H25" s="3250"/>
      <c r="I25" s="3250"/>
      <c r="J25" s="3250"/>
      <c r="K25" s="3251"/>
      <c r="L25" s="3161"/>
      <c r="M25" s="3161"/>
      <c r="N25" s="3161"/>
      <c r="O25" s="3161"/>
      <c r="P25" s="3161"/>
      <c r="Q25" s="3161"/>
      <c r="R25" s="3161"/>
      <c r="S25" s="3161"/>
      <c r="T25" s="3161"/>
      <c r="U25" s="3161"/>
      <c r="V25" s="3161"/>
      <c r="W25" s="3161"/>
      <c r="X25" s="3161"/>
      <c r="Y25" s="3161"/>
      <c r="Z25" s="3161"/>
    </row>
    <row r="26" spans="1:26" s="1974" customFormat="1" ht="13.5" customHeight="1" thickBot="1">
      <c r="A26" s="3775" t="s">
        <v>2988</v>
      </c>
      <c r="B26" s="3776"/>
      <c r="C26" s="3254"/>
      <c r="D26" s="3255"/>
      <c r="E26" s="3255"/>
      <c r="F26" s="3256">
        <f>'数据-取费表'!B48+'数据-取费表'!B49</f>
        <v>3.0499999999999999E-2</v>
      </c>
      <c r="G26" s="3257"/>
      <c r="H26" s="3257"/>
      <c r="I26" s="3257"/>
      <c r="J26" s="3258"/>
      <c r="K26" s="3259"/>
      <c r="L26" s="3161"/>
      <c r="M26" s="3161"/>
      <c r="N26" s="3161"/>
      <c r="O26" s="3161"/>
      <c r="P26" s="3161"/>
      <c r="Q26" s="3161"/>
      <c r="R26" s="3161"/>
      <c r="S26" s="3161"/>
      <c r="T26" s="3161"/>
      <c r="U26" s="3161"/>
      <c r="V26" s="3161"/>
      <c r="W26" s="3161"/>
      <c r="X26" s="3161"/>
      <c r="Y26" s="3161"/>
      <c r="Z26" s="3161"/>
    </row>
    <row r="27" spans="1:26" s="1974" customFormat="1" ht="13.5" customHeight="1" thickBot="1">
      <c r="A27" s="3777" t="s">
        <v>2989</v>
      </c>
      <c r="B27" s="3778"/>
      <c r="C27" s="3260">
        <f ca="1">(C6-C23-C24-C25)/((1+F26)*(1+D20+F21))</f>
        <v>6092.7427739654813</v>
      </c>
      <c r="D27" s="3261"/>
      <c r="E27" s="3261"/>
      <c r="F27" s="3261"/>
      <c r="G27" s="3262" t="s">
        <v>2990</v>
      </c>
      <c r="H27" s="3261"/>
      <c r="I27" s="3261"/>
      <c r="J27" s="3261"/>
      <c r="K27" s="3263"/>
      <c r="L27" s="3161"/>
      <c r="M27" s="3161"/>
      <c r="N27" s="3161"/>
      <c r="O27" s="3161"/>
      <c r="P27" s="3161"/>
      <c r="Q27" s="3161"/>
      <c r="R27" s="3161"/>
      <c r="S27" s="3161"/>
      <c r="T27" s="3161"/>
      <c r="U27" s="3161"/>
      <c r="V27" s="3161"/>
      <c r="W27" s="3161"/>
      <c r="X27" s="3161"/>
      <c r="Y27" s="3161"/>
      <c r="Z27" s="3161"/>
    </row>
    <row r="28" spans="1:26" s="1969" customFormat="1">
      <c r="A28" s="3165"/>
      <c r="C28" s="3166"/>
      <c r="E28" s="3165"/>
    </row>
    <row r="29" spans="1:26" s="1969" customFormat="1">
      <c r="A29" s="3165"/>
      <c r="C29" s="3166"/>
      <c r="E29" s="3165"/>
    </row>
    <row r="30" spans="1:26" s="1969" customFormat="1">
      <c r="A30" s="3165"/>
      <c r="C30" s="3166"/>
      <c r="E30" s="3165"/>
    </row>
    <row r="31" spans="1:26" s="1969" customFormat="1">
      <c r="A31" s="3165"/>
      <c r="C31" s="3166"/>
      <c r="E31" s="3165"/>
    </row>
    <row r="32" spans="1:26" s="1969" customFormat="1">
      <c r="A32" s="3165"/>
      <c r="C32" s="3166"/>
      <c r="E32" s="3165"/>
    </row>
    <row r="33" spans="1:5" s="1969" customFormat="1">
      <c r="A33" s="3165"/>
      <c r="C33" s="3166"/>
      <c r="E33" s="3165"/>
    </row>
    <row r="34" spans="1:5" s="1969" customFormat="1">
      <c r="A34" s="3165"/>
      <c r="C34" s="3166"/>
      <c r="E34" s="3165"/>
    </row>
    <row r="35" spans="1:5" s="1969" customFormat="1">
      <c r="A35" s="3165"/>
      <c r="C35" s="3166"/>
      <c r="E35" s="3165"/>
    </row>
    <row r="36" spans="1:5" s="1969" customFormat="1">
      <c r="A36" s="3165"/>
      <c r="C36" s="3166"/>
      <c r="E36" s="3165"/>
    </row>
    <row r="37" spans="1:5" s="1969" customFormat="1">
      <c r="A37" s="3165"/>
      <c r="C37" s="3166"/>
      <c r="E37" s="3165"/>
    </row>
    <row r="38" spans="1:5" s="1969" customFormat="1">
      <c r="A38" s="3165"/>
      <c r="C38" s="3166"/>
      <c r="E38" s="3165"/>
    </row>
    <row r="39" spans="1:5" s="1969" customFormat="1">
      <c r="A39" s="3165"/>
      <c r="C39" s="3166"/>
      <c r="E39" s="3165"/>
    </row>
    <row r="40" spans="1:5" s="1969" customFormat="1">
      <c r="A40" s="3165"/>
      <c r="C40" s="3166"/>
      <c r="E40" s="3165"/>
    </row>
    <row r="41" spans="1:5" s="1969" customFormat="1">
      <c r="A41" s="3165"/>
      <c r="C41" s="3166"/>
      <c r="E41" s="3165"/>
    </row>
    <row r="42" spans="1:5" s="1969" customFormat="1">
      <c r="A42" s="3165"/>
      <c r="C42" s="3166"/>
      <c r="E42" s="3165"/>
    </row>
    <row r="43" spans="1:5" s="1969" customFormat="1">
      <c r="A43" s="3165"/>
      <c r="C43" s="3166"/>
      <c r="E43" s="3165"/>
    </row>
    <row r="44" spans="1:5" s="1969" customFormat="1">
      <c r="A44" s="3165"/>
      <c r="C44" s="3166"/>
      <c r="E44" s="3165"/>
    </row>
    <row r="45" spans="1:5" s="1969" customFormat="1">
      <c r="A45" s="3165"/>
      <c r="C45" s="3166"/>
      <c r="E45" s="3165"/>
    </row>
    <row r="46" spans="1:5" s="1969" customFormat="1">
      <c r="A46" s="3165"/>
      <c r="C46" s="3166"/>
      <c r="E46" s="3165"/>
    </row>
    <row r="47" spans="1:5" s="1969" customFormat="1">
      <c r="A47" s="3165"/>
      <c r="C47" s="3166"/>
      <c r="E47" s="3165"/>
    </row>
    <row r="48" spans="1:5" s="1969" customFormat="1">
      <c r="A48" s="3165"/>
      <c r="C48" s="3166"/>
      <c r="E48" s="3165"/>
    </row>
    <row r="49" spans="1:5" s="1969" customFormat="1">
      <c r="A49" s="3165"/>
      <c r="C49" s="3166"/>
      <c r="E49" s="3165"/>
    </row>
    <row r="50" spans="1:5" s="1969" customFormat="1">
      <c r="A50" s="3165"/>
      <c r="C50" s="3166"/>
      <c r="E50" s="3165"/>
    </row>
    <row r="51" spans="1:5" s="1969" customFormat="1">
      <c r="A51" s="3165"/>
      <c r="C51" s="3166"/>
      <c r="E51" s="3165"/>
    </row>
    <row r="52" spans="1:5" s="1969" customFormat="1">
      <c r="A52" s="3165"/>
      <c r="C52" s="3166"/>
      <c r="E52" s="3165"/>
    </row>
    <row r="53" spans="1:5" s="1969" customFormat="1">
      <c r="A53" s="3165"/>
      <c r="C53" s="3166"/>
      <c r="E53" s="3165"/>
    </row>
    <row r="54" spans="1:5" s="1969" customFormat="1">
      <c r="A54" s="3165"/>
      <c r="C54" s="3166"/>
      <c r="E54" s="3165"/>
    </row>
    <row r="55" spans="1:5" s="1969" customFormat="1">
      <c r="A55" s="3165"/>
      <c r="C55" s="3166"/>
      <c r="E55" s="3165"/>
    </row>
    <row r="56" spans="1:5" s="1969" customFormat="1">
      <c r="A56" s="3165"/>
      <c r="C56" s="3166"/>
      <c r="E56" s="3165"/>
    </row>
    <row r="57" spans="1:5" s="1969" customFormat="1">
      <c r="A57" s="3165"/>
      <c r="C57" s="3166"/>
      <c r="E57" s="3165"/>
    </row>
    <row r="58" spans="1:5" s="1969" customFormat="1">
      <c r="A58" s="3165"/>
      <c r="C58" s="3166"/>
      <c r="E58" s="3165"/>
    </row>
    <row r="59" spans="1:5" s="1969" customFormat="1">
      <c r="A59" s="3165"/>
      <c r="C59" s="3166"/>
      <c r="E59" s="3165"/>
    </row>
    <row r="60" spans="1:5" s="1969" customFormat="1">
      <c r="A60" s="3165"/>
      <c r="C60" s="3166"/>
      <c r="E60" s="3165"/>
    </row>
    <row r="61" spans="1:5" s="1969" customFormat="1">
      <c r="A61" s="3165"/>
      <c r="C61" s="3166"/>
      <c r="E61" s="3165"/>
    </row>
    <row r="62" spans="1:5" s="1969" customFormat="1">
      <c r="A62" s="3165"/>
      <c r="C62" s="3166"/>
      <c r="E62" s="3165"/>
    </row>
    <row r="63" spans="1:5" s="1969" customFormat="1">
      <c r="A63" s="3165"/>
      <c r="C63" s="3166"/>
      <c r="E63" s="3165"/>
    </row>
    <row r="64" spans="1:5" s="1969" customFormat="1">
      <c r="A64" s="3165"/>
      <c r="C64" s="3166"/>
      <c r="E64" s="3165"/>
    </row>
    <row r="65" spans="1:5" s="1969" customFormat="1">
      <c r="A65" s="3165"/>
      <c r="C65" s="3166"/>
      <c r="E65" s="3165"/>
    </row>
    <row r="66" spans="1:5" s="1969" customFormat="1">
      <c r="A66" s="3165"/>
      <c r="C66" s="3166"/>
      <c r="E66" s="3165"/>
    </row>
    <row r="67" spans="1:5" s="1969" customFormat="1">
      <c r="A67" s="3165"/>
      <c r="C67" s="3166"/>
      <c r="E67" s="3165"/>
    </row>
    <row r="68" spans="1:5" s="1969" customFormat="1">
      <c r="A68" s="3165"/>
      <c r="C68" s="3166"/>
      <c r="E68" s="3165"/>
    </row>
    <row r="69" spans="1:5" s="1969" customFormat="1">
      <c r="A69" s="3165"/>
      <c r="C69" s="3166"/>
      <c r="E69" s="3165"/>
    </row>
    <row r="70" spans="1:5" s="1969" customFormat="1">
      <c r="A70" s="3165"/>
      <c r="C70" s="3166"/>
      <c r="E70" s="3165"/>
    </row>
    <row r="71" spans="1:5" s="1969" customFormat="1">
      <c r="A71" s="3165"/>
      <c r="C71" s="3166"/>
      <c r="E71" s="3165"/>
    </row>
    <row r="72" spans="1:5" s="1969" customFormat="1">
      <c r="A72" s="3165"/>
      <c r="C72" s="3166"/>
      <c r="E72" s="3165"/>
    </row>
    <row r="73" spans="1:5" s="1969" customFormat="1">
      <c r="A73" s="3165"/>
      <c r="C73" s="3166"/>
      <c r="E73" s="3165"/>
    </row>
    <row r="74" spans="1:5" s="1969" customFormat="1">
      <c r="A74" s="3165"/>
      <c r="C74" s="3166"/>
      <c r="E74" s="3165"/>
    </row>
    <row r="75" spans="1:5" s="1969" customFormat="1">
      <c r="A75" s="3165"/>
      <c r="C75" s="3166"/>
      <c r="E75" s="3165"/>
    </row>
    <row r="76" spans="1:5" s="1969" customFormat="1">
      <c r="A76" s="3165"/>
      <c r="C76" s="3166"/>
      <c r="E76" s="3165"/>
    </row>
    <row r="77" spans="1:5" s="1969" customFormat="1">
      <c r="A77" s="3165"/>
      <c r="C77" s="3166"/>
      <c r="E77" s="3165"/>
    </row>
    <row r="78" spans="1:5" s="1969" customFormat="1">
      <c r="A78" s="3165"/>
      <c r="C78" s="3166"/>
      <c r="E78" s="3165"/>
    </row>
    <row r="79" spans="1:5" s="1969" customFormat="1">
      <c r="A79" s="3165"/>
      <c r="C79" s="3166"/>
      <c r="E79" s="3165"/>
    </row>
    <row r="80" spans="1:5" s="1969" customFormat="1">
      <c r="A80" s="3165"/>
      <c r="C80" s="3166"/>
      <c r="E80" s="3165"/>
    </row>
    <row r="81" spans="1:5" s="1969" customFormat="1">
      <c r="A81" s="3165"/>
      <c r="C81" s="3166"/>
      <c r="E81" s="3165"/>
    </row>
    <row r="82" spans="1:5" s="1969" customFormat="1">
      <c r="A82" s="3165"/>
      <c r="C82" s="3166"/>
      <c r="E82" s="3165"/>
    </row>
    <row r="83" spans="1:5" s="1969" customFormat="1">
      <c r="A83" s="3165"/>
      <c r="C83" s="3166"/>
      <c r="E83" s="3165"/>
    </row>
    <row r="84" spans="1:5" s="1969" customFormat="1">
      <c r="A84" s="3165"/>
      <c r="C84" s="3166"/>
      <c r="E84" s="3165"/>
    </row>
    <row r="85" spans="1:5" s="1969" customFormat="1">
      <c r="A85" s="3165"/>
      <c r="C85" s="3166"/>
      <c r="E85" s="3165"/>
    </row>
    <row r="86" spans="1:5" s="1969" customFormat="1">
      <c r="A86" s="3165"/>
      <c r="C86" s="3166"/>
      <c r="E86" s="3165"/>
    </row>
    <row r="87" spans="1:5" s="1969" customFormat="1">
      <c r="A87" s="3165"/>
      <c r="C87" s="3166"/>
      <c r="E87" s="3165"/>
    </row>
    <row r="88" spans="1:5" s="1969" customFormat="1">
      <c r="A88" s="3165"/>
      <c r="C88" s="3166"/>
      <c r="E88" s="3165"/>
    </row>
    <row r="89" spans="1:5" s="1969" customFormat="1">
      <c r="A89" s="3165"/>
      <c r="C89" s="3166"/>
      <c r="E89" s="3165"/>
    </row>
    <row r="90" spans="1:5" s="1969" customFormat="1">
      <c r="A90" s="3165"/>
      <c r="C90" s="3166"/>
      <c r="E90" s="3165"/>
    </row>
    <row r="91" spans="1:5" s="1969" customFormat="1">
      <c r="A91" s="3165"/>
      <c r="C91" s="3166"/>
      <c r="E91" s="3165"/>
    </row>
    <row r="92" spans="1:5" s="1969" customFormat="1">
      <c r="A92" s="3165"/>
      <c r="C92" s="3166"/>
      <c r="E92" s="3165"/>
    </row>
    <row r="93" spans="1:5" s="1969" customFormat="1">
      <c r="A93" s="3165"/>
      <c r="C93" s="3166"/>
      <c r="E93" s="3165"/>
    </row>
    <row r="94" spans="1:5" s="1969" customFormat="1">
      <c r="A94" s="3165"/>
      <c r="C94" s="3166"/>
      <c r="E94" s="3165"/>
    </row>
    <row r="95" spans="1:5" s="1969" customFormat="1">
      <c r="A95" s="3165"/>
      <c r="C95" s="3166"/>
      <c r="E95" s="3165"/>
    </row>
    <row r="96" spans="1:5" s="1969" customFormat="1">
      <c r="A96" s="3165"/>
      <c r="C96" s="3166"/>
      <c r="E96" s="3165"/>
    </row>
    <row r="97" spans="1:5" s="1969" customFormat="1">
      <c r="A97" s="3165"/>
      <c r="C97" s="3166"/>
      <c r="E97" s="3165"/>
    </row>
    <row r="98" spans="1:5" s="1969" customFormat="1">
      <c r="A98" s="3165"/>
      <c r="C98" s="3166"/>
      <c r="E98" s="3165"/>
    </row>
    <row r="99" spans="1:5" s="1969" customFormat="1">
      <c r="A99" s="3165"/>
      <c r="C99" s="3166"/>
      <c r="E99" s="3165"/>
    </row>
    <row r="100" spans="1:5" s="1969" customFormat="1">
      <c r="A100" s="3165"/>
      <c r="C100" s="3166"/>
      <c r="E100" s="3165"/>
    </row>
    <row r="101" spans="1:5" s="1969" customFormat="1">
      <c r="A101" s="3165"/>
      <c r="C101" s="3166"/>
      <c r="E101" s="3165"/>
    </row>
    <row r="102" spans="1:5" s="1969" customFormat="1">
      <c r="A102" s="3165"/>
      <c r="C102" s="3166"/>
      <c r="E102" s="3165"/>
    </row>
    <row r="103" spans="1:5" s="1969" customFormat="1">
      <c r="A103" s="3165"/>
      <c r="C103" s="3166"/>
      <c r="E103" s="3165"/>
    </row>
    <row r="104" spans="1:5" s="1969" customFormat="1">
      <c r="A104" s="3165"/>
      <c r="C104" s="3166"/>
      <c r="E104" s="3165"/>
    </row>
    <row r="105" spans="1:5" s="1969" customFormat="1">
      <c r="A105" s="3165"/>
      <c r="C105" s="3166"/>
      <c r="E105" s="3165"/>
    </row>
    <row r="106" spans="1:5" s="1969" customFormat="1">
      <c r="A106" s="3165"/>
      <c r="C106" s="3166"/>
      <c r="E106" s="3165"/>
    </row>
    <row r="107" spans="1:5" s="1969" customFormat="1">
      <c r="A107" s="3165"/>
      <c r="C107" s="3166"/>
      <c r="E107" s="3165"/>
    </row>
    <row r="108" spans="1:5" s="1969" customFormat="1">
      <c r="A108" s="3165"/>
      <c r="C108" s="3166"/>
      <c r="E108" s="3165"/>
    </row>
    <row r="109" spans="1:5" s="1969" customFormat="1">
      <c r="A109" s="3165"/>
      <c r="C109" s="3166"/>
      <c r="E109" s="3165"/>
    </row>
    <row r="110" spans="1:5" s="1969" customFormat="1">
      <c r="A110" s="3165"/>
      <c r="C110" s="3166"/>
      <c r="E110" s="3165"/>
    </row>
    <row r="111" spans="1:5" s="1969" customFormat="1">
      <c r="A111" s="3165"/>
      <c r="C111" s="3166"/>
      <c r="E111" s="3165"/>
    </row>
    <row r="112" spans="1:5" s="1969" customFormat="1">
      <c r="A112" s="3165"/>
      <c r="C112" s="3166"/>
      <c r="E112" s="3165"/>
    </row>
    <row r="113" spans="1:5" s="1969" customFormat="1">
      <c r="A113" s="3165"/>
      <c r="C113" s="3166"/>
      <c r="E113" s="3165"/>
    </row>
    <row r="114" spans="1:5" s="1969" customFormat="1">
      <c r="A114" s="3165"/>
      <c r="C114" s="3166"/>
      <c r="E114" s="3165"/>
    </row>
    <row r="115" spans="1:5" s="1969" customFormat="1">
      <c r="A115" s="3165"/>
      <c r="C115" s="3166"/>
      <c r="E115" s="3165"/>
    </row>
    <row r="116" spans="1:5" s="1969" customFormat="1">
      <c r="A116" s="3165"/>
      <c r="C116" s="3166"/>
      <c r="E116" s="3165"/>
    </row>
    <row r="117" spans="1:5" s="1969" customFormat="1">
      <c r="A117" s="3165"/>
      <c r="C117" s="3166"/>
      <c r="E117" s="3165"/>
    </row>
    <row r="118" spans="1:5" s="1969" customFormat="1">
      <c r="A118" s="3165"/>
      <c r="C118" s="3166"/>
      <c r="E118" s="3165"/>
    </row>
    <row r="119" spans="1:5" s="1969" customFormat="1">
      <c r="A119" s="3165"/>
      <c r="C119" s="3166"/>
      <c r="E119" s="3165"/>
    </row>
    <row r="120" spans="1:5" s="1969" customFormat="1">
      <c r="A120" s="3165"/>
      <c r="C120" s="3166"/>
      <c r="E120" s="3165"/>
    </row>
    <row r="121" spans="1:5" s="1969" customFormat="1">
      <c r="A121" s="3165"/>
      <c r="C121" s="3166"/>
      <c r="E121" s="3165"/>
    </row>
    <row r="122" spans="1:5" s="1969" customFormat="1">
      <c r="A122" s="3165"/>
      <c r="C122" s="3166"/>
      <c r="E122" s="3165"/>
    </row>
    <row r="123" spans="1:5" s="1969" customFormat="1">
      <c r="A123" s="3165"/>
      <c r="C123" s="3166"/>
      <c r="E123" s="3165"/>
    </row>
    <row r="124" spans="1:5" s="1969" customFormat="1">
      <c r="A124" s="3165"/>
      <c r="C124" s="3166"/>
      <c r="E124" s="3165"/>
    </row>
    <row r="125" spans="1:5" s="1969" customFormat="1">
      <c r="A125" s="3165"/>
      <c r="C125" s="3166"/>
      <c r="E125" s="3165"/>
    </row>
    <row r="126" spans="1:5" s="1969" customFormat="1">
      <c r="A126" s="3165"/>
      <c r="C126" s="3166"/>
      <c r="E126" s="3165"/>
    </row>
    <row r="127" spans="1:5" s="1969" customFormat="1">
      <c r="A127" s="3165"/>
      <c r="C127" s="3166"/>
      <c r="E127" s="3165"/>
    </row>
    <row r="128" spans="1:5" s="1969" customFormat="1">
      <c r="A128" s="3165"/>
      <c r="C128" s="3166"/>
      <c r="E128" s="3165"/>
    </row>
    <row r="129" spans="1:5" s="1969" customFormat="1">
      <c r="A129" s="3165"/>
      <c r="C129" s="3166"/>
      <c r="E129" s="3165"/>
    </row>
    <row r="130" spans="1:5" s="1969" customFormat="1">
      <c r="A130" s="3165"/>
      <c r="C130" s="3166"/>
      <c r="E130" s="3165"/>
    </row>
    <row r="131" spans="1:5" s="1969" customFormat="1">
      <c r="A131" s="3165"/>
      <c r="C131" s="3166"/>
      <c r="E131" s="3165"/>
    </row>
    <row r="132" spans="1:5" s="1969" customFormat="1">
      <c r="A132" s="3165"/>
      <c r="C132" s="3166"/>
      <c r="E132" s="3165"/>
    </row>
    <row r="133" spans="1:5" s="1969" customFormat="1">
      <c r="A133" s="3165"/>
      <c r="C133" s="3166"/>
      <c r="E133" s="3165"/>
    </row>
    <row r="134" spans="1:5" s="1969" customFormat="1">
      <c r="A134" s="3165"/>
      <c r="C134" s="3166"/>
      <c r="E134" s="3165"/>
    </row>
    <row r="135" spans="1:5" s="1969" customFormat="1">
      <c r="A135" s="3165"/>
      <c r="C135" s="3166"/>
      <c r="E135" s="3165"/>
    </row>
    <row r="136" spans="1:5" s="1969" customFormat="1">
      <c r="A136" s="3165"/>
      <c r="C136" s="3166"/>
      <c r="E136" s="3165"/>
    </row>
    <row r="137" spans="1:5" s="1969" customFormat="1">
      <c r="A137" s="3165"/>
      <c r="C137" s="3166"/>
      <c r="E137" s="3165"/>
    </row>
    <row r="138" spans="1:5" s="1969" customFormat="1">
      <c r="A138" s="3165"/>
      <c r="C138" s="3166"/>
      <c r="E138" s="3165"/>
    </row>
    <row r="139" spans="1:5" s="1969" customFormat="1">
      <c r="A139" s="3165"/>
      <c r="C139" s="3166"/>
      <c r="E139" s="3165"/>
    </row>
    <row r="140" spans="1:5" s="1969" customFormat="1">
      <c r="A140" s="3165"/>
      <c r="C140" s="3166"/>
      <c r="E140" s="3165"/>
    </row>
    <row r="141" spans="1:5" s="1969" customFormat="1">
      <c r="A141" s="3165"/>
      <c r="C141" s="3166"/>
      <c r="E141" s="3165"/>
    </row>
    <row r="142" spans="1:5" s="1969" customFormat="1">
      <c r="A142" s="3165"/>
      <c r="C142" s="3166"/>
      <c r="E142" s="3165"/>
    </row>
    <row r="143" spans="1:5" s="1969" customFormat="1">
      <c r="A143" s="3165"/>
      <c r="C143" s="3166"/>
      <c r="E143" s="3165"/>
    </row>
    <row r="144" spans="1:5" s="1969" customFormat="1">
      <c r="A144" s="3165"/>
      <c r="C144" s="3166"/>
      <c r="E144" s="3165"/>
    </row>
    <row r="145" spans="1:5" s="1969" customFormat="1">
      <c r="A145" s="3165"/>
      <c r="C145" s="3166"/>
      <c r="E145" s="3165"/>
    </row>
    <row r="146" spans="1:5" s="1969" customFormat="1">
      <c r="A146" s="3165"/>
      <c r="C146" s="3166"/>
      <c r="E146" s="3165"/>
    </row>
    <row r="147" spans="1:5" s="1969" customFormat="1">
      <c r="A147" s="3165"/>
      <c r="C147" s="3166"/>
      <c r="E147" s="3165"/>
    </row>
    <row r="148" spans="1:5" s="1969" customFormat="1">
      <c r="A148" s="3165"/>
      <c r="C148" s="3166"/>
      <c r="E148" s="3165"/>
    </row>
    <row r="149" spans="1:5" s="1969" customFormat="1">
      <c r="A149" s="3165"/>
      <c r="C149" s="3166"/>
      <c r="E149" s="3165"/>
    </row>
    <row r="150" spans="1:5" s="1969" customFormat="1">
      <c r="A150" s="3165"/>
      <c r="C150" s="3166"/>
      <c r="E150" s="3165"/>
    </row>
    <row r="151" spans="1:5" s="1969" customFormat="1">
      <c r="A151" s="3165"/>
      <c r="C151" s="3166"/>
      <c r="E151" s="3165"/>
    </row>
    <row r="152" spans="1:5" s="1969" customFormat="1">
      <c r="A152" s="3165"/>
      <c r="C152" s="3166"/>
      <c r="E152" s="3165"/>
    </row>
    <row r="153" spans="1:5" s="1969" customFormat="1">
      <c r="A153" s="3165"/>
      <c r="C153" s="3166"/>
      <c r="E153" s="3165"/>
    </row>
    <row r="154" spans="1:5" s="1969" customFormat="1">
      <c r="A154" s="3165"/>
      <c r="C154" s="3166"/>
      <c r="E154" s="3165"/>
    </row>
    <row r="155" spans="1:5" s="1969" customFormat="1">
      <c r="A155" s="3165"/>
      <c r="C155" s="3166"/>
      <c r="E155" s="3165"/>
    </row>
    <row r="156" spans="1:5" s="1969" customFormat="1">
      <c r="A156" s="3165"/>
      <c r="C156" s="3166"/>
      <c r="E156" s="3165"/>
    </row>
    <row r="157" spans="1:5" s="1969" customFormat="1">
      <c r="A157" s="3165"/>
      <c r="C157" s="3166"/>
      <c r="E157" s="3165"/>
    </row>
    <row r="158" spans="1:5" s="1969" customFormat="1">
      <c r="A158" s="3165"/>
      <c r="C158" s="3166"/>
      <c r="E158" s="3165"/>
    </row>
    <row r="159" spans="1:5" s="1969" customFormat="1">
      <c r="A159" s="3165"/>
      <c r="C159" s="3166"/>
      <c r="E159" s="3165"/>
    </row>
    <row r="160" spans="1:5" s="1969" customFormat="1">
      <c r="A160" s="3165"/>
      <c r="C160" s="3166"/>
      <c r="E160" s="3165"/>
    </row>
    <row r="161" spans="1:5" s="1969" customFormat="1">
      <c r="A161" s="3165"/>
      <c r="C161" s="3166"/>
      <c r="E161" s="3165"/>
    </row>
    <row r="162" spans="1:5" s="1969" customFormat="1">
      <c r="A162" s="3165"/>
      <c r="C162" s="3166"/>
      <c r="E162" s="3165"/>
    </row>
    <row r="163" spans="1:5" s="1969" customFormat="1">
      <c r="A163" s="3165"/>
      <c r="C163" s="3166"/>
      <c r="E163" s="3165"/>
    </row>
    <row r="164" spans="1:5" s="1969" customFormat="1">
      <c r="A164" s="3165"/>
      <c r="C164" s="3166"/>
      <c r="E164" s="3165"/>
    </row>
    <row r="165" spans="1:5" s="1969" customFormat="1">
      <c r="A165" s="3165"/>
      <c r="C165" s="3166"/>
      <c r="E165" s="3165"/>
    </row>
    <row r="166" spans="1:5" s="1969" customFormat="1">
      <c r="A166" s="3165"/>
      <c r="C166" s="3166"/>
      <c r="E166" s="3165"/>
    </row>
    <row r="167" spans="1:5" s="1969" customFormat="1">
      <c r="A167" s="3165"/>
      <c r="C167" s="3166"/>
      <c r="E167" s="3165"/>
    </row>
    <row r="168" spans="1:5" s="1969" customFormat="1">
      <c r="A168" s="3165"/>
      <c r="C168" s="3166"/>
      <c r="E168" s="3165"/>
    </row>
    <row r="169" spans="1:5" s="1969" customFormat="1">
      <c r="A169" s="3165"/>
      <c r="C169" s="3166"/>
      <c r="E169" s="3165"/>
    </row>
    <row r="170" spans="1:5" s="1969" customFormat="1">
      <c r="A170" s="3165"/>
      <c r="C170" s="3166"/>
      <c r="E170" s="3165"/>
    </row>
    <row r="171" spans="1:5" s="1969" customFormat="1">
      <c r="A171" s="3165"/>
      <c r="C171" s="3166"/>
      <c r="E171" s="3165"/>
    </row>
    <row r="172" spans="1:5" s="1969" customFormat="1">
      <c r="A172" s="3165"/>
      <c r="C172" s="3166"/>
      <c r="E172" s="3165"/>
    </row>
    <row r="173" spans="1:5" s="1969" customFormat="1">
      <c r="A173" s="3165"/>
      <c r="C173" s="3166"/>
      <c r="E173" s="3165"/>
    </row>
    <row r="174" spans="1:5" s="1969" customFormat="1">
      <c r="A174" s="3165"/>
      <c r="C174" s="3166"/>
      <c r="E174" s="3165"/>
    </row>
    <row r="175" spans="1:5" s="1969" customFormat="1">
      <c r="A175" s="3165"/>
      <c r="C175" s="3166"/>
      <c r="E175" s="3165"/>
    </row>
    <row r="176" spans="1:5" s="1969" customFormat="1">
      <c r="A176" s="3165"/>
      <c r="C176" s="3166"/>
      <c r="E176" s="3165"/>
    </row>
    <row r="177" spans="1:5" s="1969" customFormat="1">
      <c r="A177" s="3165"/>
      <c r="C177" s="3166"/>
      <c r="E177" s="3165"/>
    </row>
    <row r="178" spans="1:5" s="1969" customFormat="1">
      <c r="A178" s="3165"/>
      <c r="C178" s="3166"/>
      <c r="E178" s="3165"/>
    </row>
    <row r="179" spans="1:5" s="1969" customFormat="1">
      <c r="A179" s="3165"/>
      <c r="C179" s="3166"/>
      <c r="E179" s="3165"/>
    </row>
    <row r="180" spans="1:5" s="1969" customFormat="1">
      <c r="A180" s="3165"/>
      <c r="C180" s="3166"/>
      <c r="E180" s="3165"/>
    </row>
    <row r="181" spans="1:5" s="1969" customFormat="1">
      <c r="A181" s="3165"/>
      <c r="C181" s="3166"/>
      <c r="E181" s="3165"/>
    </row>
    <row r="182" spans="1:5" s="1969" customFormat="1">
      <c r="A182" s="3165"/>
      <c r="C182" s="3166"/>
      <c r="E182" s="3165"/>
    </row>
    <row r="183" spans="1:5" s="1969" customFormat="1">
      <c r="A183" s="3165"/>
      <c r="C183" s="3166"/>
      <c r="E183" s="3165"/>
    </row>
    <row r="184" spans="1:5" s="1969" customFormat="1">
      <c r="A184" s="3165"/>
      <c r="C184" s="3166"/>
      <c r="E184" s="3165"/>
    </row>
    <row r="185" spans="1:5" s="1969" customFormat="1">
      <c r="A185" s="3165"/>
      <c r="C185" s="3166"/>
      <c r="E185" s="3165"/>
    </row>
    <row r="186" spans="1:5" s="1969" customFormat="1">
      <c r="A186" s="3165"/>
      <c r="C186" s="3166"/>
      <c r="E186" s="3165"/>
    </row>
    <row r="187" spans="1:5" s="1969" customFormat="1">
      <c r="A187" s="3165"/>
      <c r="C187" s="3166"/>
      <c r="E187" s="3165"/>
    </row>
    <row r="188" spans="1:5" s="1969" customFormat="1">
      <c r="A188" s="3165"/>
      <c r="C188" s="3166"/>
      <c r="E188" s="3165"/>
    </row>
    <row r="189" spans="1:5" s="1969" customFormat="1">
      <c r="A189" s="3165"/>
      <c r="C189" s="3166"/>
      <c r="E189" s="3165"/>
    </row>
    <row r="190" spans="1:5" s="1969" customFormat="1">
      <c r="A190" s="3165"/>
      <c r="C190" s="3166"/>
      <c r="E190" s="3165"/>
    </row>
    <row r="191" spans="1:5" s="1969" customFormat="1">
      <c r="A191" s="3165"/>
      <c r="C191" s="3166"/>
      <c r="E191" s="3165"/>
    </row>
    <row r="192" spans="1:5" s="1969" customFormat="1">
      <c r="A192" s="3165"/>
      <c r="C192" s="3166"/>
      <c r="E192" s="3165"/>
    </row>
    <row r="193" spans="1:5" s="1969" customFormat="1">
      <c r="A193" s="3165"/>
      <c r="C193" s="3166"/>
      <c r="E193" s="3165"/>
    </row>
    <row r="194" spans="1:5" s="1969" customFormat="1">
      <c r="A194" s="3165"/>
      <c r="C194" s="3166"/>
      <c r="E194" s="3165"/>
    </row>
    <row r="195" spans="1:5" s="1969" customFormat="1">
      <c r="A195" s="3165"/>
      <c r="C195" s="3166"/>
      <c r="E195" s="3165"/>
    </row>
    <row r="196" spans="1:5" s="1969" customFormat="1">
      <c r="A196" s="3165"/>
      <c r="C196" s="3166"/>
      <c r="E196" s="3165"/>
    </row>
    <row r="197" spans="1:5" s="1969" customFormat="1">
      <c r="A197" s="3165"/>
      <c r="C197" s="3166"/>
      <c r="E197" s="3165"/>
    </row>
    <row r="198" spans="1:5" s="1969" customFormat="1">
      <c r="A198" s="3165"/>
      <c r="C198" s="3166"/>
      <c r="E198" s="3165"/>
    </row>
    <row r="199" spans="1:5" s="1969" customFormat="1">
      <c r="A199" s="3165"/>
      <c r="C199" s="3166"/>
      <c r="E199" s="3165"/>
    </row>
    <row r="200" spans="1:5" s="1969" customFormat="1">
      <c r="A200" s="3165"/>
      <c r="C200" s="3166"/>
      <c r="E200" s="3165"/>
    </row>
    <row r="201" spans="1:5" s="1969" customFormat="1">
      <c r="A201" s="3165"/>
      <c r="C201" s="3166"/>
      <c r="E201" s="3165"/>
    </row>
    <row r="202" spans="1:5" s="1969" customFormat="1">
      <c r="A202" s="3165"/>
      <c r="C202" s="3166"/>
      <c r="E202" s="3165"/>
    </row>
    <row r="203" spans="1:5" s="1969" customFormat="1">
      <c r="A203" s="3165"/>
      <c r="C203" s="3166"/>
      <c r="E203" s="3165"/>
    </row>
    <row r="204" spans="1:5" s="1969" customFormat="1">
      <c r="A204" s="3165"/>
      <c r="C204" s="3166"/>
      <c r="E204" s="3165"/>
    </row>
    <row r="205" spans="1:5" s="1969" customFormat="1">
      <c r="A205" s="3165"/>
      <c r="C205" s="3166"/>
      <c r="E205" s="3165"/>
    </row>
    <row r="206" spans="1:5" s="1969" customFormat="1">
      <c r="A206" s="3165"/>
      <c r="C206" s="3166"/>
      <c r="E206" s="3165"/>
    </row>
    <row r="207" spans="1:5" s="1969" customFormat="1">
      <c r="A207" s="3165"/>
      <c r="C207" s="3166"/>
      <c r="E207" s="3165"/>
    </row>
    <row r="208" spans="1:5" s="1969" customFormat="1">
      <c r="A208" s="3165"/>
      <c r="C208" s="3166"/>
      <c r="E208" s="3165"/>
    </row>
    <row r="209" spans="1:5" s="1969" customFormat="1">
      <c r="A209" s="3165"/>
      <c r="C209" s="3166"/>
      <c r="E209" s="3165"/>
    </row>
    <row r="210" spans="1:5" s="1969" customFormat="1">
      <c r="A210" s="3165"/>
      <c r="C210" s="3166"/>
      <c r="E210" s="3165"/>
    </row>
    <row r="211" spans="1:5" s="1969" customFormat="1">
      <c r="A211" s="3165"/>
      <c r="C211" s="3166"/>
      <c r="E211" s="3165"/>
    </row>
    <row r="212" spans="1:5" s="1969" customFormat="1">
      <c r="A212" s="3165"/>
      <c r="C212" s="3166"/>
      <c r="E212" s="3165"/>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69"/>
      <c r="M1" s="3170"/>
      <c r="N1" s="3170"/>
      <c r="O1" s="3170"/>
      <c r="P1" s="1985"/>
      <c r="Q1" s="1985"/>
      <c r="R1" s="1985"/>
      <c r="S1" s="1985"/>
      <c r="T1" s="1985"/>
      <c r="U1" s="1985"/>
      <c r="V1" s="1985"/>
      <c r="W1" s="1985"/>
      <c r="X1" s="1985"/>
      <c r="Y1" s="1985"/>
      <c r="Z1" s="1985"/>
      <c r="AA1" s="1985"/>
      <c r="AB1" s="1985"/>
      <c r="AC1" s="3171"/>
      <c r="AD1" s="1263"/>
    </row>
    <row r="2" spans="1:30" s="1264" customFormat="1" ht="28.5" customHeight="1">
      <c r="A2" s="417" t="s">
        <v>461</v>
      </c>
      <c r="B2" s="484" t="e">
        <f>F68</f>
        <v>#DIV/0!</v>
      </c>
      <c r="C2" s="3179"/>
      <c r="D2" s="3179"/>
      <c r="E2" s="3181"/>
      <c r="F2" s="3182"/>
      <c r="G2" s="3181"/>
      <c r="H2" s="3181"/>
      <c r="I2" s="3181"/>
      <c r="J2" s="3181"/>
      <c r="K2" s="3183"/>
      <c r="L2" s="1984"/>
      <c r="M2" s="1985"/>
      <c r="N2" s="1985"/>
      <c r="O2" s="1985"/>
      <c r="P2" s="1985"/>
      <c r="Q2" s="1985"/>
      <c r="R2" s="1985"/>
      <c r="S2" s="1985"/>
      <c r="T2" s="1985"/>
      <c r="U2" s="1985"/>
      <c r="V2" s="1985"/>
      <c r="W2" s="1985"/>
      <c r="X2" s="1985"/>
      <c r="Y2" s="1985"/>
      <c r="Z2" s="1985"/>
      <c r="AA2" s="1985"/>
      <c r="AB2" s="1985"/>
      <c r="AC2" s="3171"/>
      <c r="AD2" s="1263"/>
    </row>
    <row r="3" spans="1:30" s="1264" customFormat="1" ht="28.5" customHeight="1">
      <c r="A3" s="1305" t="s">
        <v>1659</v>
      </c>
      <c r="B3" s="486" t="e">
        <f>ROUND(B2*10000/'数据-汇总表'!E3,0)</f>
        <v>#DIV/0!</v>
      </c>
      <c r="C3" s="3180"/>
      <c r="D3" s="3184"/>
      <c r="E3" s="3180"/>
      <c r="F3" s="3180"/>
      <c r="G3" s="3181"/>
      <c r="H3" s="3181"/>
      <c r="I3" s="3181"/>
      <c r="J3" s="3181"/>
      <c r="K3" s="3183"/>
      <c r="L3" s="1984"/>
      <c r="M3" s="1985"/>
      <c r="N3" s="1985"/>
      <c r="O3" s="1985"/>
      <c r="P3" s="1985"/>
      <c r="Q3" s="1985"/>
      <c r="R3" s="1985"/>
      <c r="S3" s="1985"/>
      <c r="T3" s="1985"/>
      <c r="U3" s="1985"/>
      <c r="V3" s="1985"/>
      <c r="W3" s="1985"/>
      <c r="X3" s="1985"/>
      <c r="Y3" s="1985"/>
      <c r="Z3" s="1985"/>
      <c r="AA3" s="1985"/>
      <c r="AB3" s="3172"/>
      <c r="AC3" s="1916"/>
    </row>
    <row r="4" spans="1:30" s="1264" customFormat="1" ht="28.5" customHeight="1">
      <c r="A4" s="487" t="s">
        <v>498</v>
      </c>
      <c r="B4" s="421" t="e">
        <f>IF(B48="单位面积地价",C50,ROUND(B2*10000/'数据-汇总表'!D3,0))</f>
        <v>#DIV/0!</v>
      </c>
      <c r="C4" s="3180"/>
      <c r="D4" s="3184"/>
      <c r="E4" s="3180"/>
      <c r="F4" s="3180"/>
      <c r="G4" s="3181"/>
      <c r="H4" s="3181"/>
      <c r="I4" s="3181"/>
      <c r="J4" s="3181"/>
      <c r="K4" s="3183"/>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0"/>
      <c r="E5" s="3180"/>
      <c r="F5" s="3180"/>
      <c r="G5" s="3181"/>
      <c r="H5" s="3181"/>
      <c r="I5" s="3181"/>
      <c r="J5" s="3181"/>
      <c r="K5" s="3183"/>
      <c r="L5" s="1984"/>
      <c r="M5" s="1985"/>
      <c r="N5" s="1985"/>
      <c r="O5" s="1985"/>
      <c r="P5" s="1985"/>
      <c r="Q5" s="1985"/>
      <c r="R5" s="1985"/>
      <c r="S5" s="1985"/>
      <c r="T5" s="1985"/>
      <c r="U5" s="1985"/>
      <c r="V5" s="1985"/>
      <c r="W5" s="1985"/>
      <c r="X5" s="1985"/>
      <c r="Y5" s="1985"/>
      <c r="Z5" s="1985"/>
      <c r="AA5" s="1985"/>
      <c r="AB5" s="1985"/>
      <c r="AC5" s="1916"/>
    </row>
    <row r="6" spans="1:30" ht="20.25">
      <c r="A6" s="488" t="s">
        <v>499</v>
      </c>
      <c r="B6" s="489"/>
      <c r="C6" s="3788" t="s">
        <v>500</v>
      </c>
      <c r="D6" s="3789"/>
      <c r="E6" s="3788" t="s">
        <v>501</v>
      </c>
      <c r="F6" s="3789"/>
      <c r="G6" s="3788" t="s">
        <v>502</v>
      </c>
      <c r="H6" s="3789"/>
      <c r="I6" s="3788" t="s">
        <v>503</v>
      </c>
      <c r="J6" s="3789"/>
      <c r="K6" s="490" t="s">
        <v>504</v>
      </c>
      <c r="L6" s="1986"/>
      <c r="M6" s="1985"/>
      <c r="N6" s="1985"/>
      <c r="O6" s="1987"/>
      <c r="P6" s="3790" t="s">
        <v>505</v>
      </c>
      <c r="Q6" s="3791"/>
      <c r="R6" s="3796" t="s">
        <v>501</v>
      </c>
      <c r="S6" s="3797"/>
      <c r="T6" s="3796" t="s">
        <v>502</v>
      </c>
      <c r="U6" s="3797"/>
      <c r="V6" s="3783" t="s">
        <v>503</v>
      </c>
      <c r="W6" s="3783"/>
      <c r="X6" s="1476"/>
      <c r="Y6" s="3796" t="s">
        <v>505</v>
      </c>
      <c r="Z6" s="3797"/>
      <c r="AA6" s="3785" t="s">
        <v>501</v>
      </c>
      <c r="AB6" s="3786" t="s">
        <v>502</v>
      </c>
      <c r="AC6" s="3785" t="s">
        <v>503</v>
      </c>
    </row>
    <row r="7" spans="1:30" ht="20.25">
      <c r="A7" s="491"/>
      <c r="B7" s="492"/>
      <c r="C7" s="3804" t="s">
        <v>2858</v>
      </c>
      <c r="D7" s="3805"/>
      <c r="E7" s="3804" t="s">
        <v>2859</v>
      </c>
      <c r="F7" s="3805"/>
      <c r="G7" s="3804" t="s">
        <v>2860</v>
      </c>
      <c r="H7" s="3805"/>
      <c r="I7" s="3804" t="s">
        <v>2861</v>
      </c>
      <c r="J7" s="3805"/>
      <c r="K7" s="490"/>
      <c r="L7" s="1986"/>
      <c r="M7" s="1985"/>
      <c r="N7" s="1985"/>
      <c r="O7" s="1987"/>
      <c r="P7" s="3792"/>
      <c r="Q7" s="3793"/>
      <c r="R7" s="3798"/>
      <c r="S7" s="3799"/>
      <c r="T7" s="3798"/>
      <c r="U7" s="3799"/>
      <c r="V7" s="3783"/>
      <c r="W7" s="3783"/>
      <c r="X7" s="1476"/>
      <c r="Y7" s="3798"/>
      <c r="Z7" s="3799"/>
      <c r="AA7" s="3786"/>
      <c r="AB7" s="3786"/>
      <c r="AC7" s="3786"/>
    </row>
    <row r="8" spans="1:30" ht="21" thickBot="1">
      <c r="A8" s="491"/>
      <c r="B8" s="492"/>
      <c r="C8" s="3806" t="s">
        <v>2862</v>
      </c>
      <c r="D8" s="3807"/>
      <c r="E8" s="3806" t="s">
        <v>2862</v>
      </c>
      <c r="F8" s="3807"/>
      <c r="G8" s="3802" t="s">
        <v>2862</v>
      </c>
      <c r="H8" s="3803"/>
      <c r="I8" s="3802" t="s">
        <v>2862</v>
      </c>
      <c r="J8" s="3803"/>
      <c r="K8" s="490" t="s">
        <v>506</v>
      </c>
      <c r="L8" s="1986"/>
      <c r="M8" s="1985"/>
      <c r="N8" s="1985"/>
      <c r="O8" s="1987"/>
      <c r="P8" s="3794"/>
      <c r="Q8" s="3795"/>
      <c r="R8" s="3798"/>
      <c r="S8" s="3799"/>
      <c r="T8" s="3800"/>
      <c r="U8" s="3801"/>
      <c r="V8" s="3783"/>
      <c r="W8" s="3783"/>
      <c r="X8" s="1476"/>
      <c r="Y8" s="3800"/>
      <c r="Z8" s="3801"/>
      <c r="AA8" s="3787"/>
      <c r="AB8" s="3787"/>
      <c r="AC8" s="3787"/>
    </row>
    <row r="9" spans="1:30" s="1185" customFormat="1" ht="21" thickBot="1">
      <c r="A9" s="2597"/>
      <c r="B9" s="2604" t="s">
        <v>507</v>
      </c>
      <c r="C9" s="2596">
        <f>'数据-取费表'!B2</f>
        <v>44614</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813" t="s">
        <v>508</v>
      </c>
      <c r="Q9" s="3815"/>
      <c r="R9" s="1477" t="s">
        <v>8</v>
      </c>
      <c r="S9" s="1478">
        <f t="shared" ref="S9:S17" si="0">F9</f>
        <v>0</v>
      </c>
      <c r="T9" s="1477" t="s">
        <v>8</v>
      </c>
      <c r="U9" s="1478">
        <f t="shared" ref="U9:U17" si="1">H9</f>
        <v>0</v>
      </c>
      <c r="V9" s="1477" t="s">
        <v>8</v>
      </c>
      <c r="W9" s="1478">
        <f t="shared" ref="W9:W17" si="2">J9</f>
        <v>0</v>
      </c>
      <c r="X9" s="1479"/>
      <c r="Y9" s="3813" t="s">
        <v>508</v>
      </c>
      <c r="Z9" s="3814"/>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813" t="s">
        <v>511</v>
      </c>
      <c r="Q10" s="3814"/>
      <c r="R10" s="1477" t="s">
        <v>8</v>
      </c>
      <c r="S10" s="1478">
        <f t="shared" si="0"/>
        <v>0</v>
      </c>
      <c r="T10" s="1477" t="s">
        <v>8</v>
      </c>
      <c r="U10" s="1478">
        <f t="shared" si="1"/>
        <v>0</v>
      </c>
      <c r="V10" s="1477" t="s">
        <v>8</v>
      </c>
      <c r="W10" s="1478">
        <f t="shared" si="2"/>
        <v>0</v>
      </c>
      <c r="X10" s="1479"/>
      <c r="Y10" s="3813" t="s">
        <v>511</v>
      </c>
      <c r="Z10" s="3814"/>
      <c r="AA10" s="1480" t="e">
        <f t="shared" ref="AA10:AA47" si="3">D10/F10</f>
        <v>#DIV/0!</v>
      </c>
      <c r="AB10" s="1480" t="e">
        <f t="shared" ref="AB10:AB47" si="4">D10/H10</f>
        <v>#DIV/0!</v>
      </c>
      <c r="AC10" s="1480" t="e">
        <f t="shared" ref="AC10:AC47" si="5">D10/J10</f>
        <v>#DIV/0!</v>
      </c>
    </row>
    <row r="11" spans="1:30" s="1185" customFormat="1" ht="20.25">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782" t="s">
        <v>513</v>
      </c>
      <c r="Q11" s="1116" t="str">
        <f t="shared" ref="Q11:Q17" si="6">B11</f>
        <v>用途</v>
      </c>
      <c r="R11" s="1477" t="s">
        <v>8</v>
      </c>
      <c r="S11" s="1478">
        <f t="shared" si="0"/>
        <v>100</v>
      </c>
      <c r="T11" s="1477" t="s">
        <v>8</v>
      </c>
      <c r="U11" s="1478">
        <f t="shared" si="1"/>
        <v>100</v>
      </c>
      <c r="V11" s="1477" t="s">
        <v>8</v>
      </c>
      <c r="W11" s="1478">
        <f t="shared" si="2"/>
        <v>100</v>
      </c>
      <c r="X11" s="1479"/>
      <c r="Y11" s="3701" t="s">
        <v>514</v>
      </c>
      <c r="Z11" s="1115" t="str">
        <f t="shared" ref="Z11:Z17" si="7">Q11</f>
        <v>用途</v>
      </c>
      <c r="AA11" s="1480">
        <f t="shared" si="3"/>
        <v>1</v>
      </c>
      <c r="AB11" s="1480">
        <f t="shared" si="4"/>
        <v>1</v>
      </c>
      <c r="AC11" s="1480">
        <f t="shared" si="5"/>
        <v>1</v>
      </c>
    </row>
    <row r="12" spans="1:30" s="1266" customFormat="1" ht="27">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3782"/>
      <c r="Q12" s="1116" t="str">
        <f t="shared" si="6"/>
        <v>土地使用年限（年）</v>
      </c>
      <c r="R12" s="1477" t="s">
        <v>8</v>
      </c>
      <c r="S12" s="1478">
        <f t="shared" si="0"/>
        <v>100</v>
      </c>
      <c r="T12" s="1477" t="s">
        <v>8</v>
      </c>
      <c r="U12" s="1478">
        <f t="shared" si="1"/>
        <v>100</v>
      </c>
      <c r="V12" s="1477" t="s">
        <v>8</v>
      </c>
      <c r="W12" s="1478">
        <f t="shared" si="2"/>
        <v>100</v>
      </c>
      <c r="X12" s="1479"/>
      <c r="Y12" s="3701"/>
      <c r="Z12" s="1115" t="str">
        <f t="shared" si="7"/>
        <v>土地使用年限（年）</v>
      </c>
      <c r="AA12" s="1480">
        <f t="shared" si="3"/>
        <v>1</v>
      </c>
      <c r="AB12" s="1480">
        <f t="shared" si="4"/>
        <v>1</v>
      </c>
      <c r="AC12" s="1480">
        <f t="shared" si="5"/>
        <v>1</v>
      </c>
    </row>
    <row r="13" spans="1:30" ht="20.25">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782"/>
      <c r="Q13" s="1116" t="str">
        <f t="shared" si="6"/>
        <v>容积率</v>
      </c>
      <c r="R13" s="1477" t="s">
        <v>8</v>
      </c>
      <c r="S13" s="1478" t="e">
        <f t="shared" si="0"/>
        <v>#N/A</v>
      </c>
      <c r="T13" s="1477" t="s">
        <v>8</v>
      </c>
      <c r="U13" s="1478" t="e">
        <f t="shared" si="1"/>
        <v>#N/A</v>
      </c>
      <c r="V13" s="1477" t="s">
        <v>8</v>
      </c>
      <c r="W13" s="1478" t="e">
        <f t="shared" si="2"/>
        <v>#N/A</v>
      </c>
      <c r="X13" s="1479"/>
      <c r="Y13" s="3701"/>
      <c r="Z13" s="1115" t="str">
        <f t="shared" si="7"/>
        <v>容积率</v>
      </c>
      <c r="AA13" s="1480" t="e">
        <f t="shared" si="3"/>
        <v>#N/A</v>
      </c>
      <c r="AB13" s="1480" t="e">
        <f t="shared" si="4"/>
        <v>#N/A</v>
      </c>
      <c r="AC13" s="1480" t="e">
        <f t="shared" si="5"/>
        <v>#N/A</v>
      </c>
    </row>
    <row r="14" spans="1:30" s="1185" customFormat="1" ht="20.25">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782"/>
      <c r="Q14" s="1116" t="str">
        <f t="shared" si="6"/>
        <v>配建</v>
      </c>
      <c r="R14" s="1477" t="s">
        <v>8</v>
      </c>
      <c r="S14" s="1478">
        <f t="shared" si="0"/>
        <v>100</v>
      </c>
      <c r="T14" s="1477" t="s">
        <v>8</v>
      </c>
      <c r="U14" s="1478">
        <f t="shared" si="1"/>
        <v>100</v>
      </c>
      <c r="V14" s="1477" t="s">
        <v>8</v>
      </c>
      <c r="W14" s="1478">
        <f t="shared" si="2"/>
        <v>100</v>
      </c>
      <c r="X14" s="1479"/>
      <c r="Y14" s="3701"/>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782"/>
      <c r="Q15" s="1116">
        <f t="shared" si="6"/>
        <v>111</v>
      </c>
      <c r="R15" s="1477" t="s">
        <v>8</v>
      </c>
      <c r="S15" s="1478">
        <f t="shared" si="0"/>
        <v>100</v>
      </c>
      <c r="T15" s="1477" t="s">
        <v>8</v>
      </c>
      <c r="U15" s="1478">
        <f t="shared" si="1"/>
        <v>100</v>
      </c>
      <c r="V15" s="1477" t="s">
        <v>8</v>
      </c>
      <c r="W15" s="1478">
        <f t="shared" si="2"/>
        <v>100</v>
      </c>
      <c r="X15" s="1479"/>
      <c r="Y15" s="3701"/>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782"/>
      <c r="Q16" s="1116">
        <f t="shared" si="6"/>
        <v>111</v>
      </c>
      <c r="R16" s="1477" t="s">
        <v>8</v>
      </c>
      <c r="S16" s="1478">
        <f t="shared" si="0"/>
        <v>100</v>
      </c>
      <c r="T16" s="1477" t="s">
        <v>8</v>
      </c>
      <c r="U16" s="1478">
        <f t="shared" si="1"/>
        <v>100</v>
      </c>
      <c r="V16" s="1477" t="s">
        <v>8</v>
      </c>
      <c r="W16" s="1478">
        <f t="shared" si="2"/>
        <v>100</v>
      </c>
      <c r="X16" s="1479"/>
      <c r="Y16" s="3701"/>
      <c r="Z16" s="1115">
        <f t="shared" si="7"/>
        <v>111</v>
      </c>
      <c r="AA16" s="1480">
        <f>D16/F16</f>
        <v>1</v>
      </c>
      <c r="AB16" s="1480">
        <f>D16/H16</f>
        <v>1</v>
      </c>
      <c r="AC16" s="1480">
        <f>D16/J16</f>
        <v>1</v>
      </c>
    </row>
    <row r="17" spans="1:29" ht="99.75">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816" t="s">
        <v>518</v>
      </c>
      <c r="Q17" s="1481" t="str">
        <f t="shared" si="6"/>
        <v>居住社区成熟度</v>
      </c>
      <c r="R17" s="1482" t="s">
        <v>8</v>
      </c>
      <c r="S17" s="1483">
        <f t="shared" si="0"/>
        <v>100</v>
      </c>
      <c r="T17" s="1482" t="s">
        <v>8</v>
      </c>
      <c r="U17" s="1483">
        <f t="shared" si="1"/>
        <v>100</v>
      </c>
      <c r="V17" s="1482" t="s">
        <v>8</v>
      </c>
      <c r="W17" s="1483">
        <f t="shared" si="2"/>
        <v>100</v>
      </c>
      <c r="X17" s="1476"/>
      <c r="Y17" s="3816"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3817"/>
      <c r="Q18" s="1481"/>
      <c r="R18" s="1482"/>
      <c r="S18" s="1483"/>
      <c r="T18" s="1482"/>
      <c r="U18" s="1483"/>
      <c r="V18" s="1482"/>
      <c r="W18" s="1483"/>
      <c r="X18" s="1476"/>
      <c r="Y18" s="3817"/>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817"/>
      <c r="Q19" s="1481" t="str">
        <f>B19</f>
        <v>商业繁华度</v>
      </c>
      <c r="R19" s="1482" t="s">
        <v>8</v>
      </c>
      <c r="S19" s="1483">
        <f>F19</f>
        <v>100</v>
      </c>
      <c r="T19" s="1482" t="s">
        <v>8</v>
      </c>
      <c r="U19" s="1483">
        <f>H19</f>
        <v>100</v>
      </c>
      <c r="V19" s="1482" t="s">
        <v>8</v>
      </c>
      <c r="W19" s="1483">
        <f>J19</f>
        <v>100</v>
      </c>
      <c r="X19" s="1476"/>
      <c r="Y19" s="3817"/>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3817"/>
      <c r="Q20" s="1481"/>
      <c r="R20" s="1482"/>
      <c r="S20" s="1483"/>
      <c r="T20" s="1482"/>
      <c r="U20" s="1483"/>
      <c r="V20" s="1482"/>
      <c r="W20" s="1483"/>
      <c r="X20" s="1476"/>
      <c r="Y20" s="3817"/>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817"/>
      <c r="Q21" s="1481" t="str">
        <f>B21</f>
        <v>办公集聚程度</v>
      </c>
      <c r="R21" s="1482" t="s">
        <v>8</v>
      </c>
      <c r="S21" s="1483">
        <f>F21</f>
        <v>100</v>
      </c>
      <c r="T21" s="1482" t="s">
        <v>8</v>
      </c>
      <c r="U21" s="1483">
        <f>H21</f>
        <v>100</v>
      </c>
      <c r="V21" s="1482" t="s">
        <v>8</v>
      </c>
      <c r="W21" s="1483">
        <f>J21</f>
        <v>100</v>
      </c>
      <c r="X21" s="1476"/>
      <c r="Y21" s="3817"/>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3817"/>
      <c r="Q22" s="1481"/>
      <c r="R22" s="1482"/>
      <c r="S22" s="1483"/>
      <c r="T22" s="1482"/>
      <c r="U22" s="1483"/>
      <c r="V22" s="1482"/>
      <c r="W22" s="1483"/>
      <c r="X22" s="1476"/>
      <c r="Y22" s="3817"/>
      <c r="Z22" s="1484"/>
      <c r="AA22" s="1485">
        <v>1</v>
      </c>
      <c r="AB22" s="1485">
        <v>1</v>
      </c>
      <c r="AC22" s="1485">
        <v>1</v>
      </c>
    </row>
    <row r="23" spans="1:29" ht="142.5">
      <c r="A23" s="508"/>
      <c r="B23" s="536" t="s">
        <v>521</v>
      </c>
      <c r="C23" s="549" t="str">
        <f>估价对象房地状况!C18</f>
        <v>估价对象周边有顺2路、顺27路、顺28路、顺38路、顺43路、顺59路、顺60路等多条公交线路，距地铁15号线（南法信站）约500米，综合评价交通便捷度较好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817"/>
      <c r="Q23" s="1481" t="str">
        <f>B23</f>
        <v>交通便捷度</v>
      </c>
      <c r="R23" s="1482" t="s">
        <v>8</v>
      </c>
      <c r="S23" s="1483">
        <f>F23</f>
        <v>100</v>
      </c>
      <c r="T23" s="1482" t="s">
        <v>8</v>
      </c>
      <c r="U23" s="1483">
        <f>H23</f>
        <v>100</v>
      </c>
      <c r="V23" s="1482" t="s">
        <v>8</v>
      </c>
      <c r="W23" s="1483">
        <f>J23</f>
        <v>100</v>
      </c>
      <c r="X23" s="1476"/>
      <c r="Y23" s="3817"/>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3817"/>
      <c r="Q24" s="1481"/>
      <c r="R24" s="1482"/>
      <c r="S24" s="1483"/>
      <c r="T24" s="1482"/>
      <c r="U24" s="1483"/>
      <c r="V24" s="1482"/>
      <c r="W24" s="1483"/>
      <c r="X24" s="1476"/>
      <c r="Y24" s="3817"/>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817"/>
      <c r="Q25" s="1481" t="str">
        <f t="shared" ref="Q25:Q39" si="8">B25</f>
        <v>区域土地利用方向</v>
      </c>
      <c r="R25" s="1482" t="s">
        <v>8</v>
      </c>
      <c r="S25" s="1483">
        <f>F25</f>
        <v>100</v>
      </c>
      <c r="T25" s="1482" t="s">
        <v>8</v>
      </c>
      <c r="U25" s="1483">
        <f>H25</f>
        <v>100</v>
      </c>
      <c r="V25" s="1482" t="s">
        <v>8</v>
      </c>
      <c r="W25" s="1483">
        <f>J25</f>
        <v>100</v>
      </c>
      <c r="X25" s="1476"/>
      <c r="Y25" s="3817"/>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3817"/>
      <c r="Q26" s="1481"/>
      <c r="R26" s="1482"/>
      <c r="S26" s="1483"/>
      <c r="T26" s="1482"/>
      <c r="U26" s="1483"/>
      <c r="V26" s="1482"/>
      <c r="W26" s="1483"/>
      <c r="X26" s="1476"/>
      <c r="Y26" s="3817"/>
      <c r="Z26" s="1484"/>
      <c r="AA26" s="1485"/>
      <c r="AB26" s="1485"/>
      <c r="AC26" s="1485"/>
    </row>
    <row r="27" spans="1:29" ht="85.5">
      <c r="A27" s="491"/>
      <c r="B27" s="554" t="s">
        <v>523</v>
      </c>
      <c r="C27" s="537" t="str">
        <f>估价对象房地状况!C20</f>
        <v>区域自然环境：小众和；人文环境：国家新闻出版广电总局研修学院；综合评价环境状况一般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817"/>
      <c r="Q27" s="1481" t="str">
        <f t="shared" si="8"/>
        <v>自然及人文环境状况</v>
      </c>
      <c r="R27" s="1482" t="s">
        <v>8</v>
      </c>
      <c r="S27" s="1483">
        <f>F27</f>
        <v>100</v>
      </c>
      <c r="T27" s="1482" t="s">
        <v>8</v>
      </c>
      <c r="U27" s="1483">
        <f>H27</f>
        <v>100</v>
      </c>
      <c r="V27" s="1482" t="s">
        <v>8</v>
      </c>
      <c r="W27" s="1483">
        <f>J27</f>
        <v>100</v>
      </c>
      <c r="X27" s="1476"/>
      <c r="Y27" s="3817"/>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3817"/>
      <c r="Q28" s="1481"/>
      <c r="R28" s="1482"/>
      <c r="S28" s="1483"/>
      <c r="T28" s="1482"/>
      <c r="U28" s="1483"/>
      <c r="V28" s="1482"/>
      <c r="W28" s="1483"/>
      <c r="X28" s="1476"/>
      <c r="Y28" s="3817"/>
      <c r="Z28" s="1484"/>
      <c r="AA28" s="1485">
        <v>1</v>
      </c>
      <c r="AB28" s="1485">
        <v>1</v>
      </c>
      <c r="AC28" s="1485">
        <v>1</v>
      </c>
    </row>
    <row r="29" spans="1:29" s="1185" customFormat="1" ht="42.75">
      <c r="A29" s="553"/>
      <c r="B29" s="2403" t="s">
        <v>2502</v>
      </c>
      <c r="C29" s="549" t="str">
        <f>估价对象房地状况!C21</f>
        <v>估价对象所在区域公共配套设施齐备情况一般</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817"/>
      <c r="Q29" s="1116" t="str">
        <f t="shared" si="8"/>
        <v>公共配套设施</v>
      </c>
      <c r="R29" s="1477" t="s">
        <v>8</v>
      </c>
      <c r="S29" s="1478">
        <f>F29</f>
        <v>100</v>
      </c>
      <c r="T29" s="1477" t="s">
        <v>8</v>
      </c>
      <c r="U29" s="1478">
        <f>H29</f>
        <v>100</v>
      </c>
      <c r="V29" s="1477" t="s">
        <v>8</v>
      </c>
      <c r="W29" s="1478">
        <f>J29</f>
        <v>100</v>
      </c>
      <c r="X29" s="1479"/>
      <c r="Y29" s="3817"/>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3817"/>
      <c r="Q30" s="1116"/>
      <c r="R30" s="1477"/>
      <c r="S30" s="1478"/>
      <c r="T30" s="1477"/>
      <c r="U30" s="1478"/>
      <c r="V30" s="1477"/>
      <c r="W30" s="1478"/>
      <c r="X30" s="1479"/>
      <c r="Y30" s="3817"/>
      <c r="Z30" s="1115"/>
      <c r="AA30" s="1485">
        <v>1</v>
      </c>
      <c r="AB30" s="1485">
        <v>1</v>
      </c>
      <c r="AC30" s="1485">
        <v>1</v>
      </c>
    </row>
    <row r="31" spans="1:29" s="1185" customFormat="1" ht="28.5">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817"/>
      <c r="Q31" s="2396" t="str">
        <f t="shared" ref="Q31" si="9">B31</f>
        <v>基础设施水平</v>
      </c>
      <c r="R31" s="1477" t="s">
        <v>8</v>
      </c>
      <c r="S31" s="1478">
        <f>F31</f>
        <v>100</v>
      </c>
      <c r="T31" s="1477" t="s">
        <v>8</v>
      </c>
      <c r="U31" s="1478">
        <f>H31</f>
        <v>100</v>
      </c>
      <c r="V31" s="1477" t="s">
        <v>8</v>
      </c>
      <c r="W31" s="1478">
        <f>J31</f>
        <v>100</v>
      </c>
      <c r="X31" s="1479"/>
      <c r="Y31" s="3817"/>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3817"/>
      <c r="Q32" s="2396"/>
      <c r="R32" s="1477"/>
      <c r="S32" s="1478"/>
      <c r="T32" s="1477"/>
      <c r="U32" s="1478"/>
      <c r="V32" s="1477"/>
      <c r="W32" s="1478"/>
      <c r="X32" s="1479"/>
      <c r="Y32" s="3817"/>
      <c r="Z32" s="2395"/>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817"/>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817"/>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817"/>
      <c r="Q34" s="1481" t="str">
        <f t="shared" si="8"/>
        <v>毗邻道路的类型与等级</v>
      </c>
      <c r="R34" s="1482" t="s">
        <v>8</v>
      </c>
      <c r="S34" s="1483">
        <f t="shared" si="10"/>
        <v>100</v>
      </c>
      <c r="T34" s="1482" t="s">
        <v>8</v>
      </c>
      <c r="U34" s="1483">
        <f t="shared" si="11"/>
        <v>100</v>
      </c>
      <c r="V34" s="1482" t="s">
        <v>8</v>
      </c>
      <c r="W34" s="1483">
        <f t="shared" si="12"/>
        <v>100</v>
      </c>
      <c r="X34" s="1476"/>
      <c r="Y34" s="3817"/>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3817"/>
      <c r="Q35" s="1481"/>
      <c r="R35" s="1482"/>
      <c r="S35" s="1483"/>
      <c r="T35" s="1482"/>
      <c r="U35" s="1483"/>
      <c r="V35" s="1482"/>
      <c r="W35" s="1483"/>
      <c r="X35" s="1476"/>
      <c r="Y35" s="3817"/>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817"/>
      <c r="Q36" s="1481" t="str">
        <f t="shared" si="8"/>
        <v>土地级别</v>
      </c>
      <c r="R36" s="1482" t="s">
        <v>8</v>
      </c>
      <c r="S36" s="1483">
        <f t="shared" si="10"/>
        <v>100</v>
      </c>
      <c r="T36" s="1482" t="s">
        <v>8</v>
      </c>
      <c r="U36" s="1483">
        <f t="shared" si="11"/>
        <v>100</v>
      </c>
      <c r="V36" s="1482" t="s">
        <v>8</v>
      </c>
      <c r="W36" s="1483">
        <f t="shared" si="12"/>
        <v>100</v>
      </c>
      <c r="X36" s="1476"/>
      <c r="Y36" s="3817"/>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817"/>
      <c r="Q37" s="1481">
        <f t="shared" si="8"/>
        <v>111</v>
      </c>
      <c r="R37" s="1482" t="s">
        <v>8</v>
      </c>
      <c r="S37" s="1483">
        <f t="shared" si="10"/>
        <v>100</v>
      </c>
      <c r="T37" s="1482" t="s">
        <v>8</v>
      </c>
      <c r="U37" s="1483">
        <f t="shared" si="11"/>
        <v>100</v>
      </c>
      <c r="V37" s="1482" t="s">
        <v>8</v>
      </c>
      <c r="W37" s="1483">
        <f t="shared" si="12"/>
        <v>100</v>
      </c>
      <c r="X37" s="1476"/>
      <c r="Y37" s="3817"/>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818" t="s">
        <v>528</v>
      </c>
      <c r="Q38" s="1481">
        <f t="shared" si="8"/>
        <v>111</v>
      </c>
      <c r="R38" s="1482" t="s">
        <v>8</v>
      </c>
      <c r="S38" s="1483">
        <f t="shared" si="10"/>
        <v>100</v>
      </c>
      <c r="T38" s="1482" t="s">
        <v>8</v>
      </c>
      <c r="U38" s="1483">
        <f t="shared" si="11"/>
        <v>100</v>
      </c>
      <c r="V38" s="1482" t="s">
        <v>8</v>
      </c>
      <c r="W38" s="1483">
        <f t="shared" si="12"/>
        <v>100</v>
      </c>
      <c r="X38" s="1476"/>
      <c r="Y38" s="3819"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819"/>
      <c r="Q39" s="1481">
        <f t="shared" si="8"/>
        <v>111</v>
      </c>
      <c r="R39" s="1486" t="s">
        <v>8</v>
      </c>
      <c r="S39" s="1487">
        <f t="shared" si="10"/>
        <v>100</v>
      </c>
      <c r="T39" s="1486" t="s">
        <v>8</v>
      </c>
      <c r="U39" s="1487">
        <f t="shared" si="11"/>
        <v>100</v>
      </c>
      <c r="V39" s="1486" t="s">
        <v>8</v>
      </c>
      <c r="W39" s="1487">
        <f t="shared" si="12"/>
        <v>100</v>
      </c>
      <c r="X39" s="1488"/>
      <c r="Y39" s="3819"/>
      <c r="Z39" s="1489">
        <f t="shared" si="13"/>
        <v>111</v>
      </c>
      <c r="AA39" s="1485">
        <f t="shared" si="3"/>
        <v>1</v>
      </c>
      <c r="AB39" s="1485">
        <f t="shared" si="4"/>
        <v>1</v>
      </c>
      <c r="AC39" s="1485">
        <f t="shared" si="5"/>
        <v>1</v>
      </c>
    </row>
    <row r="40" spans="1:29" ht="20.25">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819"/>
      <c r="Q40" s="1481" t="str">
        <f>B40</f>
        <v>宗地面积</v>
      </c>
      <c r="R40" s="1482" t="s">
        <v>8</v>
      </c>
      <c r="S40" s="1483" t="e">
        <f t="shared" si="10"/>
        <v>#N/A</v>
      </c>
      <c r="T40" s="1482" t="s">
        <v>8</v>
      </c>
      <c r="U40" s="1483" t="e">
        <f t="shared" si="11"/>
        <v>#N/A</v>
      </c>
      <c r="V40" s="1482" t="s">
        <v>8</v>
      </c>
      <c r="W40" s="1483" t="e">
        <f t="shared" si="12"/>
        <v>#N/A</v>
      </c>
      <c r="X40" s="1476"/>
      <c r="Y40" s="3819"/>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819"/>
      <c r="Q41" s="1481" t="str">
        <f t="shared" ref="Q41:Q47" si="14">B41</f>
        <v>宗地形状</v>
      </c>
      <c r="R41" s="1482" t="s">
        <v>8</v>
      </c>
      <c r="S41" s="1483">
        <f t="shared" si="10"/>
        <v>100</v>
      </c>
      <c r="T41" s="1482" t="s">
        <v>8</v>
      </c>
      <c r="U41" s="1483">
        <f t="shared" si="11"/>
        <v>100</v>
      </c>
      <c r="V41" s="1482" t="s">
        <v>8</v>
      </c>
      <c r="W41" s="1483">
        <f t="shared" si="12"/>
        <v>100</v>
      </c>
      <c r="X41" s="1476"/>
      <c r="Y41" s="3819"/>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819"/>
      <c r="Q42" s="1481" t="str">
        <f t="shared" si="14"/>
        <v>临街宽度及深度</v>
      </c>
      <c r="R42" s="1482" t="s">
        <v>8</v>
      </c>
      <c r="S42" s="1483">
        <f t="shared" si="10"/>
        <v>100</v>
      </c>
      <c r="T42" s="1482" t="s">
        <v>8</v>
      </c>
      <c r="U42" s="1483">
        <f t="shared" si="11"/>
        <v>100</v>
      </c>
      <c r="V42" s="1482" t="s">
        <v>8</v>
      </c>
      <c r="W42" s="1483">
        <f t="shared" si="12"/>
        <v>100</v>
      </c>
      <c r="X42" s="1476"/>
      <c r="Y42" s="3819"/>
      <c r="Z42" s="1484" t="str">
        <f t="shared" si="13"/>
        <v>临街宽度及深度</v>
      </c>
      <c r="AA42" s="1485">
        <f t="shared" si="3"/>
        <v>1</v>
      </c>
      <c r="AB42" s="1485">
        <f t="shared" si="4"/>
        <v>1</v>
      </c>
      <c r="AC42" s="1485">
        <f t="shared" si="5"/>
        <v>1</v>
      </c>
    </row>
    <row r="43" spans="1:29" s="1185" customFormat="1" ht="20.25">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819"/>
      <c r="Q43" s="1481" t="str">
        <f t="shared" si="14"/>
        <v>宗地开发程度</v>
      </c>
      <c r="R43" s="1477" t="s">
        <v>8</v>
      </c>
      <c r="S43" s="1478">
        <f t="shared" si="10"/>
        <v>100</v>
      </c>
      <c r="T43" s="1477" t="s">
        <v>8</v>
      </c>
      <c r="U43" s="1478">
        <f t="shared" si="11"/>
        <v>100</v>
      </c>
      <c r="V43" s="1477" t="s">
        <v>8</v>
      </c>
      <c r="W43" s="1478">
        <f t="shared" si="12"/>
        <v>100</v>
      </c>
      <c r="X43" s="1479"/>
      <c r="Y43" s="3819"/>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819" t="s">
        <v>528</v>
      </c>
      <c r="Q44" s="1481" t="str">
        <f t="shared" si="14"/>
        <v>工程地质条件</v>
      </c>
      <c r="R44" s="1482" t="s">
        <v>8</v>
      </c>
      <c r="S44" s="1483">
        <f t="shared" si="10"/>
        <v>100</v>
      </c>
      <c r="T44" s="1482" t="s">
        <v>8</v>
      </c>
      <c r="U44" s="1483">
        <f t="shared" si="11"/>
        <v>100</v>
      </c>
      <c r="V44" s="1482" t="s">
        <v>8</v>
      </c>
      <c r="W44" s="1483">
        <f t="shared" si="12"/>
        <v>100</v>
      </c>
      <c r="X44" s="1476"/>
      <c r="Y44" s="3819"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819"/>
      <c r="Q45" s="1481">
        <f t="shared" si="14"/>
        <v>111</v>
      </c>
      <c r="R45" s="1482" t="s">
        <v>8</v>
      </c>
      <c r="S45" s="1483">
        <f t="shared" si="10"/>
        <v>100</v>
      </c>
      <c r="T45" s="1482" t="s">
        <v>8</v>
      </c>
      <c r="U45" s="1483">
        <f t="shared" si="11"/>
        <v>100</v>
      </c>
      <c r="V45" s="1482" t="s">
        <v>8</v>
      </c>
      <c r="W45" s="1483">
        <f t="shared" si="12"/>
        <v>100</v>
      </c>
      <c r="X45" s="1476"/>
      <c r="Y45" s="3819"/>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819"/>
      <c r="Q46" s="1481">
        <f t="shared" si="14"/>
        <v>111</v>
      </c>
      <c r="R46" s="1482" t="s">
        <v>8</v>
      </c>
      <c r="S46" s="1483">
        <f t="shared" si="10"/>
        <v>100</v>
      </c>
      <c r="T46" s="1482" t="s">
        <v>8</v>
      </c>
      <c r="U46" s="1483">
        <f t="shared" si="11"/>
        <v>100</v>
      </c>
      <c r="V46" s="1482" t="s">
        <v>8</v>
      </c>
      <c r="W46" s="1483">
        <f t="shared" si="12"/>
        <v>100</v>
      </c>
      <c r="X46" s="1476"/>
      <c r="Y46" s="3819"/>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819"/>
      <c r="Q47" s="1481">
        <f t="shared" si="14"/>
        <v>111</v>
      </c>
      <c r="R47" s="1486" t="s">
        <v>8</v>
      </c>
      <c r="S47" s="1487">
        <f t="shared" si="10"/>
        <v>100</v>
      </c>
      <c r="T47" s="1486" t="s">
        <v>8</v>
      </c>
      <c r="U47" s="1487">
        <f t="shared" si="11"/>
        <v>100</v>
      </c>
      <c r="V47" s="1486" t="s">
        <v>8</v>
      </c>
      <c r="W47" s="1487">
        <f t="shared" si="12"/>
        <v>100</v>
      </c>
      <c r="X47" s="1488"/>
      <c r="Y47" s="3819"/>
      <c r="Z47" s="1489">
        <f t="shared" si="13"/>
        <v>111</v>
      </c>
      <c r="AA47" s="1485">
        <f t="shared" si="3"/>
        <v>1</v>
      </c>
      <c r="AB47" s="1485">
        <f t="shared" si="4"/>
        <v>1</v>
      </c>
      <c r="AC47" s="1485">
        <f t="shared" si="5"/>
        <v>1</v>
      </c>
    </row>
    <row r="48" spans="1:29" ht="20.25">
      <c r="A48" s="583" t="s">
        <v>534</v>
      </c>
      <c r="B48" s="584" t="s">
        <v>2863</v>
      </c>
      <c r="C48" s="585" t="s">
        <v>1</v>
      </c>
      <c r="D48" s="586"/>
      <c r="E48" s="587"/>
      <c r="F48" s="588"/>
      <c r="G48" s="589"/>
      <c r="H48" s="590"/>
      <c r="I48" s="587"/>
      <c r="J48" s="590"/>
      <c r="K48" s="1268"/>
      <c r="L48" s="1997"/>
      <c r="M48" s="1985"/>
      <c r="N48" s="1985"/>
      <c r="O48" s="1998"/>
      <c r="P48" s="3782" t="str">
        <f>A48</f>
        <v>成交单价</v>
      </c>
      <c r="Q48" s="3782"/>
      <c r="R48" s="3783">
        <f>E48</f>
        <v>0</v>
      </c>
      <c r="S48" s="3783"/>
      <c r="T48" s="3783">
        <f>G48</f>
        <v>0</v>
      </c>
      <c r="U48" s="3783"/>
      <c r="V48" s="3783">
        <f>I48</f>
        <v>0</v>
      </c>
      <c r="W48" s="3783"/>
      <c r="X48" s="1471"/>
      <c r="Y48" s="1490"/>
      <c r="Z48" s="1471"/>
      <c r="AA48" s="1471"/>
      <c r="AB48" s="1471"/>
      <c r="AC48" s="1471"/>
    </row>
    <row r="49" spans="1:29" ht="21" thickBot="1">
      <c r="A49" s="591" t="s">
        <v>2646</v>
      </c>
      <c r="B49" s="592"/>
      <c r="C49" s="593" t="e">
        <f>R50</f>
        <v>#DIV/0!</v>
      </c>
      <c r="D49" s="2980" t="s">
        <v>2928</v>
      </c>
      <c r="E49" s="593" t="e">
        <f>R49</f>
        <v>#DIV/0!</v>
      </c>
      <c r="F49" s="2981"/>
      <c r="G49" s="594" t="e">
        <f>T49</f>
        <v>#DIV/0!</v>
      </c>
      <c r="H49" s="2981"/>
      <c r="I49" s="593" t="e">
        <f>V49</f>
        <v>#DIV/0!</v>
      </c>
      <c r="J49" s="2981"/>
      <c r="K49" s="2982">
        <f>F49+H49+J49</f>
        <v>0</v>
      </c>
      <c r="L49" s="1997"/>
      <c r="M49" s="1985"/>
      <c r="N49" s="1985"/>
      <c r="O49" s="1998"/>
      <c r="P49" s="3782" t="str">
        <f>A49</f>
        <v>比较价格（元/平方米）</v>
      </c>
      <c r="Q49" s="3782"/>
      <c r="R49" s="3784" t="e">
        <f>ROUND(PRODUCT(R48,AA9:AA47),0)</f>
        <v>#DIV/0!</v>
      </c>
      <c r="S49" s="3784"/>
      <c r="T49" s="3784" t="e">
        <f>ROUND(PRODUCT(T48,AB9:AB47),0)</f>
        <v>#DIV/0!</v>
      </c>
      <c r="U49" s="3784"/>
      <c r="V49" s="3784" t="e">
        <f>ROUND(PRODUCT(V48,AC9:AC47),0)</f>
        <v>#DIV/0!</v>
      </c>
      <c r="W49" s="3784"/>
      <c r="X49" s="1471"/>
      <c r="Y49" s="1471"/>
      <c r="Z49" s="1471"/>
      <c r="AA49" s="1471"/>
      <c r="AB49" s="1471"/>
      <c r="AC49" s="1471"/>
    </row>
    <row r="50" spans="1:29" ht="21" thickBot="1">
      <c r="A50" s="595" t="s">
        <v>2864</v>
      </c>
      <c r="B50" s="596"/>
      <c r="C50" s="597" t="e">
        <f>R50</f>
        <v>#DIV/0!</v>
      </c>
      <c r="D50" s="597"/>
      <c r="E50" s="597"/>
      <c r="F50" s="597"/>
      <c r="G50" s="597"/>
      <c r="H50" s="597"/>
      <c r="I50" s="597"/>
      <c r="J50" s="597"/>
      <c r="K50" s="1269"/>
      <c r="L50" s="1997"/>
      <c r="M50" s="1985"/>
      <c r="N50" s="1985"/>
      <c r="O50" s="1998"/>
      <c r="P50" s="3779" t="str">
        <f>A50</f>
        <v>估价对象XX用房的比较价格（楼面单价，元/平方米）</v>
      </c>
      <c r="Q50" s="3780"/>
      <c r="R50" s="3781" t="e">
        <f>ROUND(IF(D49="简单平均",AVERAGE(R49:W49),R49*F49+T49*H49+V49*J49),0)</f>
        <v>#DIV/0!</v>
      </c>
      <c r="S50" s="3781"/>
      <c r="T50" s="3781"/>
      <c r="U50" s="3781"/>
      <c r="V50" s="3781"/>
      <c r="W50" s="3781"/>
      <c r="X50" s="1471"/>
      <c r="Y50" s="1471"/>
      <c r="Z50" s="1471"/>
      <c r="AA50" s="1471"/>
      <c r="AB50" s="1471"/>
      <c r="AC50" s="1471"/>
    </row>
    <row r="51" spans="1:29" ht="20.25">
      <c r="A51" s="3173"/>
      <c r="B51" s="3173"/>
      <c r="C51" s="3173"/>
      <c r="D51" s="3173"/>
      <c r="E51" s="3173"/>
      <c r="F51" s="3173"/>
      <c r="G51" s="3175"/>
      <c r="H51" s="3173"/>
      <c r="I51" s="3173"/>
      <c r="J51" s="3173"/>
      <c r="K51" s="3176"/>
      <c r="L51" s="2002"/>
      <c r="M51" s="1985"/>
      <c r="N51" s="1985"/>
      <c r="O51" s="1998"/>
      <c r="P51" s="1998"/>
      <c r="Q51" s="1998"/>
      <c r="R51" s="1998"/>
      <c r="S51" s="1998"/>
      <c r="T51" s="1998"/>
      <c r="U51" s="1998"/>
      <c r="V51" s="1998"/>
      <c r="W51" s="1998"/>
      <c r="X51" s="1998"/>
      <c r="Y51" s="1998"/>
      <c r="Z51" s="1998"/>
      <c r="AA51" s="1998"/>
      <c r="AB51" s="1998"/>
      <c r="AC51" s="1998"/>
    </row>
    <row r="52" spans="1:29" ht="20.25">
      <c r="A52" s="3173"/>
      <c r="B52" s="3173"/>
      <c r="C52" s="3173"/>
      <c r="D52" s="3173"/>
      <c r="E52" s="3173"/>
      <c r="F52" s="3173"/>
      <c r="G52" s="3173"/>
      <c r="H52" s="3173"/>
      <c r="I52" s="3173"/>
      <c r="J52" s="3173"/>
      <c r="K52" s="3176"/>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6"/>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3"/>
      <c r="B54" s="3173"/>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6"/>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74"/>
      <c r="B55" s="3174"/>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77"/>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77"/>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808" t="s">
        <v>2247</v>
      </c>
      <c r="H57" s="3809"/>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542</v>
      </c>
      <c r="B58" s="608" t="e">
        <f>C50</f>
        <v>#DIV/0!</v>
      </c>
      <c r="C58" s="609">
        <v>1</v>
      </c>
      <c r="D58" s="2079">
        <v>1</v>
      </c>
      <c r="E58" s="609">
        <f>'数据-汇总表'!E8+'数据-汇总表'!E9</f>
        <v>22121.8</v>
      </c>
      <c r="F58" s="610" t="e">
        <f t="shared" ref="F58:F67" si="15">ROUND(B58*E58/10000,0)</f>
        <v>#DIV/0!</v>
      </c>
      <c r="G58" s="3810"/>
      <c r="H58" s="3811"/>
      <c r="I58" s="1469">
        <v>1</v>
      </c>
      <c r="J58" s="1469">
        <v>1</v>
      </c>
      <c r="K58" s="3178"/>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543</v>
      </c>
      <c r="B59" s="612" t="e">
        <f>ROUND($C$50*C59*D59,0)</f>
        <v>#DIV/0!</v>
      </c>
      <c r="C59" s="372">
        <f t="shared" ref="C59:C67" si="16">IF($C$57="北京市系数",I59,J59)</f>
        <v>0.6</v>
      </c>
      <c r="D59" s="2080">
        <v>0.25</v>
      </c>
      <c r="E59" s="613">
        <v>0</v>
      </c>
      <c r="F59" s="610" t="e">
        <f t="shared" si="15"/>
        <v>#DIV/0!</v>
      </c>
      <c r="G59" s="3812" t="s">
        <v>2248</v>
      </c>
      <c r="H59" s="1835" t="str">
        <f>项目基本情况!B43</f>
        <v>八级</v>
      </c>
      <c r="I59" s="1469">
        <f>SUMIF(修正!$A$45:$A$56,H59,修正!B45:B56)</f>
        <v>0.6</v>
      </c>
      <c r="J59" s="1470"/>
      <c r="K59" s="3178"/>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544</v>
      </c>
      <c r="B60" s="612" t="e">
        <f t="shared" ref="B60:B67" si="17">ROUND($C$50*C60*D60,0)</f>
        <v>#DIV/0!</v>
      </c>
      <c r="C60" s="372">
        <f t="shared" si="16"/>
        <v>0.3</v>
      </c>
      <c r="D60" s="2080">
        <v>0.25</v>
      </c>
      <c r="E60" s="613">
        <v>0</v>
      </c>
      <c r="F60" s="610" t="e">
        <f t="shared" si="15"/>
        <v>#DIV/0!</v>
      </c>
      <c r="G60" s="3812"/>
      <c r="H60" s="1835" t="str">
        <f>项目基本情况!B43</f>
        <v>八级</v>
      </c>
      <c r="I60" s="1469">
        <f>SUMIF(修正!$A$45:$A$56,H60,修正!C45:C56)</f>
        <v>0.3</v>
      </c>
      <c r="J60" s="1470"/>
      <c r="K60" s="3178"/>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545</v>
      </c>
      <c r="B61" s="612" t="e">
        <f t="shared" si="17"/>
        <v>#DIV/0!</v>
      </c>
      <c r="C61" s="372">
        <f t="shared" si="16"/>
        <v>0.2</v>
      </c>
      <c r="D61" s="2080">
        <v>0.25</v>
      </c>
      <c r="E61" s="613">
        <v>0</v>
      </c>
      <c r="F61" s="610" t="e">
        <f t="shared" si="15"/>
        <v>#DIV/0!</v>
      </c>
      <c r="G61" s="3812"/>
      <c r="H61" s="1835" t="str">
        <f>项目基本情况!B43</f>
        <v>八级</v>
      </c>
      <c r="I61" s="1469">
        <f>SUMIF(修正!$A$45:$A$56,H61,修正!D45:D56)</f>
        <v>0.2</v>
      </c>
      <c r="J61" s="1470"/>
      <c r="K61" s="3178"/>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546</v>
      </c>
      <c r="B62" s="612" t="e">
        <f t="shared" si="17"/>
        <v>#DIV/0!</v>
      </c>
      <c r="C62" s="372">
        <f t="shared" si="16"/>
        <v>0.2</v>
      </c>
      <c r="D62" s="2080">
        <v>0.25</v>
      </c>
      <c r="E62" s="613">
        <v>0</v>
      </c>
      <c r="F62" s="610" t="e">
        <f t="shared" si="15"/>
        <v>#DIV/0!</v>
      </c>
      <c r="G62" s="3812"/>
      <c r="H62" s="1835" t="str">
        <f>项目基本情况!B43</f>
        <v>八级</v>
      </c>
      <c r="I62" s="1469">
        <f>SUMIF(修正!$A$45:$A$56,H62,修正!E45:E56)</f>
        <v>0.2</v>
      </c>
      <c r="J62" s="1470"/>
      <c r="K62" s="3178"/>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2293</v>
      </c>
      <c r="B63" s="612" t="e">
        <f t="shared" si="17"/>
        <v>#DIV/0!</v>
      </c>
      <c r="C63" s="372">
        <f t="shared" si="16"/>
        <v>0</v>
      </c>
      <c r="D63" s="2080">
        <v>0.25</v>
      </c>
      <c r="E63" s="615">
        <f>'数据-汇总表'!E11</f>
        <v>0</v>
      </c>
      <c r="F63" s="610" t="e">
        <f t="shared" si="15"/>
        <v>#DIV/0!</v>
      </c>
      <c r="G63" s="1832" t="s">
        <v>2249</v>
      </c>
      <c r="H63" s="1835">
        <f>项目基本情况!C43</f>
        <v>0</v>
      </c>
      <c r="I63" s="1469">
        <f>SUMIF(修正!$A$45:$A$56,H63,修正!F45:F56)</f>
        <v>0</v>
      </c>
      <c r="J63" s="1470"/>
      <c r="K63" s="3178"/>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547</v>
      </c>
      <c r="B64" s="612" t="e">
        <f t="shared" si="17"/>
        <v>#DIV/0!</v>
      </c>
      <c r="C64" s="372">
        <f t="shared" si="16"/>
        <v>0</v>
      </c>
      <c r="D64" s="2080">
        <v>0.25</v>
      </c>
      <c r="E64" s="615">
        <f>'数据-汇总表'!E12</f>
        <v>0</v>
      </c>
      <c r="F64" s="610" t="e">
        <f t="shared" si="15"/>
        <v>#DIV/0!</v>
      </c>
      <c r="G64" s="1833" t="s">
        <v>1652</v>
      </c>
      <c r="H64" s="1831">
        <f>IF(G64="商业",项目基本情况!B43,IF(G64="办公",项目基本情况!C43,IF(G64="住宅",项目基本情况!D43,项目基本情况!E43)))</f>
        <v>0</v>
      </c>
      <c r="I64" s="1469">
        <f>SUMIF(修正!$A$45:$A$56,H64,修正!G45:G56)</f>
        <v>0</v>
      </c>
      <c r="J64" s="1470"/>
      <c r="K64" s="3178"/>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548</v>
      </c>
      <c r="B65" s="612" t="e">
        <f t="shared" si="17"/>
        <v>#DIV/0!</v>
      </c>
      <c r="C65" s="372">
        <f t="shared" si="16"/>
        <v>0</v>
      </c>
      <c r="D65" s="2080">
        <v>0.25</v>
      </c>
      <c r="E65" s="615">
        <f>'数据-汇总表'!E13</f>
        <v>0</v>
      </c>
      <c r="F65" s="610" t="e">
        <f t="shared" si="15"/>
        <v>#DIV/0!</v>
      </c>
      <c r="G65" s="1833" t="s">
        <v>898</v>
      </c>
      <c r="H65" s="1831">
        <f>IF(G65="商业",项目基本情况!B43,IF(G65="办公",项目基本情况!C43,IF(G65="住宅",项目基本情况!D43,项目基本情况!E43)))</f>
        <v>0</v>
      </c>
      <c r="I65" s="1469">
        <f>SUMIF(修正!$A$45:$A$56,H65,修正!H45:H56)</f>
        <v>0</v>
      </c>
      <c r="J65" s="1470"/>
      <c r="K65" s="3178"/>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549</v>
      </c>
      <c r="B66" s="612" t="e">
        <f t="shared" si="17"/>
        <v>#DIV/0!</v>
      </c>
      <c r="C66" s="372">
        <f t="shared" si="16"/>
        <v>0.15</v>
      </c>
      <c r="D66" s="2080">
        <v>0.25</v>
      </c>
      <c r="E66" s="615">
        <f>'数据-汇总表'!E14</f>
        <v>0</v>
      </c>
      <c r="F66" s="610" t="e">
        <f t="shared" si="15"/>
        <v>#DIV/0!</v>
      </c>
      <c r="G66" s="1832" t="s">
        <v>2248</v>
      </c>
      <c r="H66" s="1835" t="str">
        <f>项目基本情况!B43</f>
        <v>八级</v>
      </c>
      <c r="I66" s="1469">
        <f>SUMIF(修正!$A$45:$A$56,H66,修正!H45:H56)</f>
        <v>0.15</v>
      </c>
      <c r="J66" s="1470"/>
      <c r="K66" s="3178"/>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v>
      </c>
      <c r="D67" s="2080">
        <v>0.25</v>
      </c>
      <c r="E67" s="615">
        <f>'数据-汇总表'!E15</f>
        <v>0</v>
      </c>
      <c r="F67" s="610" t="e">
        <f t="shared" si="15"/>
        <v>#DIV/0!</v>
      </c>
      <c r="G67" s="1834" t="s">
        <v>2249</v>
      </c>
      <c r="H67" s="1836">
        <f>项目基本情况!C43</f>
        <v>0</v>
      </c>
      <c r="I67" s="1469">
        <f>SUMIF(修正!$A$45:$A$56,H67,修正!H45:H56)</f>
        <v>0</v>
      </c>
      <c r="J67" s="1470"/>
      <c r="K67" s="3178"/>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551</v>
      </c>
      <c r="B68" s="617" t="s">
        <v>17</v>
      </c>
      <c r="C68" s="617" t="s">
        <v>18</v>
      </c>
      <c r="D68" s="617" t="s">
        <v>2259</v>
      </c>
      <c r="E68" s="617">
        <f>IF(B48="楼面地价",SUM(E58:E67),'数据-汇总表'!D3)</f>
        <v>22121.8</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2022-2-1</v>
      </c>
      <c r="D70" s="2484">
        <f>EDATE(C70,-3)</f>
        <v>44501</v>
      </c>
      <c r="E70" s="2484">
        <f t="shared" ref="E70:N70" si="18">EDATE(D70,-3)</f>
        <v>44409</v>
      </c>
      <c r="F70" s="2484">
        <f t="shared" si="18"/>
        <v>44317</v>
      </c>
      <c r="G70" s="2484">
        <f t="shared" si="18"/>
        <v>44228</v>
      </c>
      <c r="H70" s="2484">
        <f t="shared" si="18"/>
        <v>44136</v>
      </c>
      <c r="I70" s="2484">
        <f t="shared" si="18"/>
        <v>44044</v>
      </c>
      <c r="J70" s="2484">
        <f t="shared" si="18"/>
        <v>43952</v>
      </c>
      <c r="K70" s="2484">
        <f t="shared" si="18"/>
        <v>43862</v>
      </c>
      <c r="L70" s="2484">
        <f t="shared" si="18"/>
        <v>43770</v>
      </c>
      <c r="M70" s="2484">
        <f t="shared" si="18"/>
        <v>43678</v>
      </c>
      <c r="N70" s="2484">
        <f t="shared" si="18"/>
        <v>43586</v>
      </c>
      <c r="O70" s="1998"/>
      <c r="P70" s="1998"/>
      <c r="Q70" s="1998"/>
      <c r="R70" s="1998"/>
      <c r="S70" s="1998"/>
      <c r="T70" s="1998"/>
      <c r="U70" s="1998"/>
      <c r="V70" s="1998"/>
      <c r="W70" s="1998"/>
      <c r="X70" s="1998"/>
      <c r="Y70" s="1998"/>
      <c r="Z70" s="1998"/>
      <c r="AA70" s="1998"/>
      <c r="AB70" s="1998"/>
      <c r="AC70" s="1998"/>
    </row>
    <row r="71" spans="1:29" ht="21.7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2486</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"北京市平均增长率"&amp;TEXT(SUMIF(基准地价!N21:N25,A73,基准地价!P21:P25),"0.00%")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2" priority="18" stopIfTrue="1" operator="containsText" text="超过">
      <formula>NOT(ISERROR(SEARCH("超过",F53)))</formula>
    </cfRule>
  </conditionalFormatting>
  <conditionalFormatting sqref="J55">
    <cfRule type="containsText" dxfId="161" priority="17" stopIfTrue="1" operator="containsText" text="超过">
      <formula>NOT(ISERROR(SEARCH("超过",J55)))</formula>
    </cfRule>
  </conditionalFormatting>
  <conditionalFormatting sqref="H55">
    <cfRule type="containsText" dxfId="160" priority="16" stopIfTrue="1" operator="containsText" text="超过">
      <formula>NOT(ISERROR(SEARCH("超过",H55)))</formula>
    </cfRule>
  </conditionalFormatting>
  <conditionalFormatting sqref="F55">
    <cfRule type="containsText" dxfId="159" priority="15" stopIfTrue="1" operator="containsText" text="超过">
      <formula>NOT(ISERROR(SEARCH("超过",F55)))</formula>
    </cfRule>
  </conditionalFormatting>
  <conditionalFormatting sqref="F54 H54 J54">
    <cfRule type="containsText" dxfId="158" priority="14" stopIfTrue="1" operator="containsText" text="超过">
      <formula>NOT(ISERROR(SEARCH("超过",F54)))</formula>
    </cfRule>
  </conditionalFormatting>
  <conditionalFormatting sqref="E53">
    <cfRule type="expression" dxfId="157" priority="13" stopIfTrue="1">
      <formula>$F$53="超过30%"</formula>
    </cfRule>
  </conditionalFormatting>
  <conditionalFormatting sqref="G55">
    <cfRule type="expression" dxfId="156" priority="12" stopIfTrue="1">
      <formula>$H$55="超过30%"</formula>
    </cfRule>
  </conditionalFormatting>
  <conditionalFormatting sqref="E54">
    <cfRule type="expression" dxfId="155" priority="11" stopIfTrue="1">
      <formula>$F$54="超过20%"</formula>
    </cfRule>
  </conditionalFormatting>
  <conditionalFormatting sqref="E55">
    <cfRule type="expression" dxfId="154" priority="10" stopIfTrue="1">
      <formula>$F$55="超过30%"</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9:F47 H9:H47 J9:J47">
    <cfRule type="cellIs" dxfId="145"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D23" sqref="D23"/>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75" style="1951" customWidth="1"/>
    <col min="18" max="18" width="23.5" style="1914" customWidth="1"/>
    <col min="19" max="19" width="1.5" style="1914" customWidth="1"/>
    <col min="20" max="33" width="9" style="1914"/>
    <col min="34" max="16384" width="9" style="1915"/>
  </cols>
  <sheetData>
    <row r="1" spans="1:33" s="1909" customFormat="1" ht="21">
      <c r="A1" s="803" t="s">
        <v>1700</v>
      </c>
      <c r="B1" s="712"/>
      <c r="C1" s="745" t="s">
        <v>956</v>
      </c>
      <c r="D1" s="2764" t="s">
        <v>927</v>
      </c>
      <c r="E1" s="2213" t="s">
        <v>2336</v>
      </c>
      <c r="F1" s="2214">
        <f ca="1">J53</f>
        <v>50</v>
      </c>
      <c r="G1" s="3218">
        <f>MATCH(C1,'数据-取费表'!A6:A16,0)+5</f>
        <v>6</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f ca="1">C40+J29+L46</f>
        <v>11593</v>
      </c>
      <c r="C2" s="3223"/>
      <c r="D2" s="3224"/>
      <c r="E2" s="3225"/>
      <c r="F2" s="3225"/>
      <c r="G2" s="3219"/>
      <c r="H2" s="1912"/>
      <c r="I2" s="1912"/>
      <c r="J2" s="1912"/>
      <c r="K2" s="1913"/>
      <c r="L2" s="1912"/>
      <c r="M2" s="1912"/>
    </row>
    <row r="3" spans="1:33" ht="18" customHeight="1" thickBot="1">
      <c r="A3" s="804" t="s">
        <v>1702</v>
      </c>
      <c r="B3" s="805">
        <f ca="1">IF(ISERROR(B2*10000/F43),0,ROUND(B2*10000/F43,0))</f>
        <v>5241</v>
      </c>
      <c r="C3" s="3223"/>
      <c r="D3" s="3224"/>
      <c r="E3" s="3225"/>
      <c r="F3" s="3225"/>
      <c r="G3" s="3219"/>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893</v>
      </c>
      <c r="D5" s="2318" t="s">
        <v>2415</v>
      </c>
      <c r="E5" s="2312"/>
      <c r="F5" s="2313"/>
      <c r="G5" s="1917"/>
      <c r="H5" s="753">
        <v>1</v>
      </c>
      <c r="I5" s="754" t="s">
        <v>2412</v>
      </c>
      <c r="J5" s="55">
        <f ca="1">J6+J10+J12</f>
        <v>0</v>
      </c>
      <c r="K5" s="2318" t="s">
        <v>2415</v>
      </c>
      <c r="L5" s="2312"/>
      <c r="M5" s="2313"/>
    </row>
    <row r="6" spans="1:33" ht="18" customHeight="1">
      <c r="A6" s="1718" t="s">
        <v>1799</v>
      </c>
      <c r="B6" s="3822" t="s">
        <v>2417</v>
      </c>
      <c r="C6" s="755">
        <f ca="1">ROUND(F6*F8*F7*(1-F9)/10000,0)</f>
        <v>892</v>
      </c>
      <c r="D6" s="2319" t="s">
        <v>2416</v>
      </c>
      <c r="E6" s="756" t="s">
        <v>1713</v>
      </c>
      <c r="F6" s="757">
        <f ca="1">INDIRECT("'数据-取费表'!u"&amp;$G$1)</f>
        <v>1.3</v>
      </c>
      <c r="G6" s="1917"/>
      <c r="H6" s="2326" t="s">
        <v>2422</v>
      </c>
      <c r="I6" s="3822" t="s">
        <v>2417</v>
      </c>
      <c r="J6" s="755">
        <f ca="1">ROUND(M6*M8*M7*(1-M9)/10000,0)</f>
        <v>0</v>
      </c>
      <c r="K6" s="339" t="s">
        <v>1712</v>
      </c>
      <c r="L6" s="756" t="s">
        <v>1713</v>
      </c>
      <c r="M6" s="757">
        <f ca="1">INDIRECT("'数据-取费表'!z"&amp;$G$1)</f>
        <v>0</v>
      </c>
    </row>
    <row r="7" spans="1:33" ht="18" customHeight="1">
      <c r="A7" s="2322"/>
      <c r="B7" s="3823"/>
      <c r="C7" s="760"/>
      <c r="D7" s="761"/>
      <c r="E7" s="756" t="s">
        <v>1714</v>
      </c>
      <c r="F7" s="757">
        <f ca="1">IF(INDIRECT("'数据-取费表'!ah"&amp;$G$1)="",INDIRECT("'数据-取费表'!k"&amp;$G$1),INDIRECT("'数据-取费表'!ah"&amp;$G$1))</f>
        <v>22121.8</v>
      </c>
      <c r="G7" s="1917"/>
      <c r="H7" s="2311"/>
      <c r="I7" s="3823"/>
      <c r="J7" s="760"/>
      <c r="K7" s="761"/>
      <c r="L7" s="756" t="s">
        <v>1714</v>
      </c>
      <c r="M7" s="757">
        <f ca="1">F7</f>
        <v>22121.8</v>
      </c>
    </row>
    <row r="8" spans="1:33" ht="18" customHeight="1">
      <c r="A8" s="2315"/>
      <c r="B8" s="3824"/>
      <c r="C8" s="760"/>
      <c r="D8" s="761"/>
      <c r="E8" s="756" t="s">
        <v>1715</v>
      </c>
      <c r="F8" s="757">
        <f ca="1">INDIRECT("'数据-取费表'!ai"&amp;$G$1)</f>
        <v>365</v>
      </c>
      <c r="G8" s="1917"/>
      <c r="H8" s="2311"/>
      <c r="I8" s="3824"/>
      <c r="J8" s="760"/>
      <c r="K8" s="761"/>
      <c r="L8" s="756" t="s">
        <v>1715</v>
      </c>
      <c r="M8" s="757">
        <f ca="1">INDIRECT("'数据-取费表'!ai"&amp;$G$1)</f>
        <v>365</v>
      </c>
    </row>
    <row r="9" spans="1:33" ht="18" customHeight="1">
      <c r="A9" s="758"/>
      <c r="B9" s="3825"/>
      <c r="C9" s="760"/>
      <c r="D9" s="761"/>
      <c r="E9" s="756" t="s">
        <v>1716</v>
      </c>
      <c r="F9" s="766">
        <f ca="1">INDIRECT("'数据-取费表'!w"&amp;$G$1)</f>
        <v>0.15</v>
      </c>
      <c r="G9" s="1917"/>
      <c r="H9" s="2327"/>
      <c r="I9" s="3824"/>
      <c r="J9" s="760"/>
      <c r="K9" s="761"/>
      <c r="L9" s="767" t="s">
        <v>1716</v>
      </c>
      <c r="M9" s="768">
        <f ca="1">INDIRECT("'数据-取费表'!ab"&amp;$G$1)</f>
        <v>0</v>
      </c>
    </row>
    <row r="10" spans="1:33" ht="18" customHeight="1">
      <c r="A10" s="1718" t="s">
        <v>2420</v>
      </c>
      <c r="B10" s="2316" t="s">
        <v>2413</v>
      </c>
      <c r="C10" s="771">
        <f ca="1">ROUND(IF(F10="押一",C6/12*F11,IF(F10="押二",C6/12*2*F11,IF(F10="押三",C6/12*3*F11,C11*F11))),0)</f>
        <v>1</v>
      </c>
      <c r="D10" s="2323" t="s">
        <v>2898</v>
      </c>
      <c r="E10" s="2320" t="s">
        <v>2418</v>
      </c>
      <c r="F10" s="2433" t="s">
        <v>3139</v>
      </c>
      <c r="G10" s="1917"/>
      <c r="H10" s="2383" t="s">
        <v>2423</v>
      </c>
      <c r="I10" s="2388" t="s">
        <v>2413</v>
      </c>
      <c r="J10" s="755">
        <f ca="1">ROUND(IF(M10="押一",J6/12*M11,IF(M10="押二",J6/12*2*M11,IF(M10="押三",J6/12*3*M11,J11*M11))),0)</f>
        <v>0</v>
      </c>
      <c r="K10" s="2323" t="s">
        <v>2898</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4025</v>
      </c>
      <c r="D13" s="1722" t="s">
        <v>2262</v>
      </c>
      <c r="E13" s="1722" t="s">
        <v>1719</v>
      </c>
      <c r="F13" s="2358">
        <f ca="1">INDIRECT("'数据-取费表'!y"&amp;$G$1)</f>
        <v>0.7</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3982</v>
      </c>
      <c r="D14" s="1865" t="s">
        <v>1720</v>
      </c>
      <c r="E14" s="1866"/>
      <c r="F14" s="777"/>
      <c r="G14" s="1917"/>
      <c r="H14" s="1551" t="s">
        <v>1805</v>
      </c>
      <c r="I14" s="2082" t="s">
        <v>2778</v>
      </c>
      <c r="J14" s="53">
        <f ca="1">C29</f>
        <v>5750</v>
      </c>
      <c r="K14" s="26"/>
      <c r="L14" s="773"/>
      <c r="M14" s="774"/>
    </row>
    <row r="15" spans="1:33" s="1919" customFormat="1" ht="18" customHeight="1" thickBot="1">
      <c r="A15" s="1550" t="s">
        <v>1854</v>
      </c>
      <c r="B15" s="756" t="s">
        <v>625</v>
      </c>
      <c r="C15" s="53">
        <f ca="1">ROUND(C14*F15,0)</f>
        <v>119</v>
      </c>
      <c r="D15" s="778" t="s">
        <v>1721</v>
      </c>
      <c r="E15" s="778" t="s">
        <v>1722</v>
      </c>
      <c r="F15" s="779">
        <f>'数据-取费表'!B33</f>
        <v>0.03</v>
      </c>
      <c r="G15" s="3220"/>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572</v>
      </c>
      <c r="K16" s="1709" t="s">
        <v>1725</v>
      </c>
      <c r="L16" s="2308"/>
      <c r="M16" s="2313"/>
    </row>
    <row r="17" spans="1:33" s="1919" customFormat="1" ht="18" customHeight="1">
      <c r="A17" s="1550" t="s">
        <v>1856</v>
      </c>
      <c r="B17" s="756" t="s">
        <v>631</v>
      </c>
      <c r="C17" s="53">
        <f ca="1">ROUND(F17*(F43+INDIRECT("'数据-取费表'!S"&amp;$G$1))/10000,0)</f>
        <v>398</v>
      </c>
      <c r="D17" s="756" t="s">
        <v>1726</v>
      </c>
      <c r="E17" s="756" t="s">
        <v>1727</v>
      </c>
      <c r="F17" s="56">
        <f>'数据-取费表'!B35</f>
        <v>180</v>
      </c>
      <c r="G17" s="3220"/>
      <c r="H17" s="1551" t="s">
        <v>1805</v>
      </c>
      <c r="I17" s="756" t="s">
        <v>634</v>
      </c>
      <c r="J17" s="2985">
        <f ca="1">ROUND(IF(AND(项目基本情况!B11="自然人",项目基本情况!B10="北京市"),J6*M17/(1+'数据-取费表'!C42),J18+J19+J20),0)</f>
        <v>486</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60</v>
      </c>
      <c r="D18" s="756" t="s">
        <v>1721</v>
      </c>
      <c r="E18" s="756" t="s">
        <v>1722</v>
      </c>
      <c r="F18" s="781">
        <f>'数据-取费表'!B36</f>
        <v>1.4999999999999999E-2</v>
      </c>
      <c r="G18" s="3220"/>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4559</v>
      </c>
      <c r="D19" s="259" t="s">
        <v>1732</v>
      </c>
      <c r="E19" s="1868"/>
      <c r="F19" s="56"/>
      <c r="G19" s="1917"/>
      <c r="H19" s="1550" t="s">
        <v>1854</v>
      </c>
      <c r="I19" s="756" t="s">
        <v>1733</v>
      </c>
      <c r="J19" s="53">
        <f ca="1">IF(K19="按租金收入计税",ROUND(J6*M19/(1+'数据-取费表'!C42),1),ROUND(C29*F33*0.7,1))</f>
        <v>483</v>
      </c>
      <c r="K19" s="782" t="s">
        <v>643</v>
      </c>
      <c r="L19" s="756" t="s">
        <v>1722</v>
      </c>
      <c r="M19" s="781">
        <f>IF(K19="按租金收入计税",'数据-取费表'!B51,'数据-取费表'!B50)</f>
        <v>1.2E-2</v>
      </c>
    </row>
    <row r="20" spans="1:33" s="1919" customFormat="1" ht="18" customHeight="1">
      <c r="A20" s="1551" t="s">
        <v>1858</v>
      </c>
      <c r="B20" s="756" t="s">
        <v>644</v>
      </c>
      <c r="C20" s="53">
        <f ca="1">ROUND(C19*F20,0)</f>
        <v>91</v>
      </c>
      <c r="D20" s="783" t="s">
        <v>1734</v>
      </c>
      <c r="E20" s="756" t="s">
        <v>1722</v>
      </c>
      <c r="F20" s="781">
        <f>'数据-取费表'!B37</f>
        <v>0.02</v>
      </c>
      <c r="G20" s="3220"/>
      <c r="H20" s="1553" t="s">
        <v>1849</v>
      </c>
      <c r="I20" s="339" t="s">
        <v>1735</v>
      </c>
      <c r="J20" s="54">
        <f ca="1">ROUND(M20*M21/10000,0)</f>
        <v>3</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0"/>
      <c r="H21" s="2328"/>
      <c r="I21" s="765"/>
      <c r="J21" s="69"/>
      <c r="K21" s="787"/>
      <c r="L21" s="756" t="s">
        <v>1741</v>
      </c>
      <c r="M21" s="757">
        <f ca="1">INDIRECT("'数据-取费表'!r"&amp;$G$1)</f>
        <v>22121.8</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单利计息。建造成本、管理费用、销售费用产生的利息。</v>
      </c>
      <c r="E22" s="1868"/>
      <c r="F22" s="56"/>
      <c r="G22" s="1917"/>
      <c r="H22" s="1551" t="s">
        <v>1858</v>
      </c>
      <c r="I22" s="756" t="s">
        <v>1743</v>
      </c>
      <c r="J22" s="53">
        <f ca="1">ROUND(J14*M22,0)</f>
        <v>86</v>
      </c>
      <c r="K22" s="2306" t="s">
        <v>1744</v>
      </c>
      <c r="L22" s="756" t="s">
        <v>1722</v>
      </c>
      <c r="M22" s="788">
        <f ca="1">INDIRECT("'数据-取费表'!Ak"&amp;$G$1)</f>
        <v>1.4999999999999999E-2</v>
      </c>
    </row>
    <row r="23" spans="1:33" s="1919" customFormat="1" ht="18" customHeight="1">
      <c r="A23" s="1550" t="s">
        <v>1806</v>
      </c>
      <c r="B23" s="756" t="s">
        <v>2489</v>
      </c>
      <c r="C23" s="53">
        <f ca="1">ROUND(IF('数据-取费表'!B22&lt;=1,(C19+C20)*F24*F23/2,(C19+C20)*(POWER((1+F24),F23/2)-1)),0)</f>
        <v>109</v>
      </c>
      <c r="D23" s="2391" t="str">
        <f>IF(F23&lt;=1,"(建造成本+管理费用)×利率×(建设周期÷2)","(建造成本+管理费用)×((1+利率)^(建设周期÷2)-1)")</f>
        <v>(建造成本+管理费用)×利率×(建设周期÷2)</v>
      </c>
      <c r="E23" s="756" t="s">
        <v>1745</v>
      </c>
      <c r="F23" s="614">
        <f>'数据-取费表'!B20</f>
        <v>1</v>
      </c>
      <c r="G23" s="3220"/>
      <c r="H23" s="1551" t="s">
        <v>1859</v>
      </c>
      <c r="I23" s="756" t="s">
        <v>657</v>
      </c>
      <c r="J23" s="53">
        <f ca="1">ROUND(J13*M23,0)</f>
        <v>0</v>
      </c>
      <c r="K23" s="2306" t="s">
        <v>1746</v>
      </c>
      <c r="L23" s="756" t="s">
        <v>1722</v>
      </c>
      <c r="M23" s="789">
        <f ca="1">INDIRECT("'数据-取费表'!Al"&amp;$G$1)</f>
        <v>1.5E-3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5.0000000000000001E-4</v>
      </c>
      <c r="D24" s="2391" t="str">
        <f>IF(F23&lt;=1,"销售费用×利率×(建设周期÷2)","销售费用×((1+利率)^(建设周期÷2)-1)")</f>
        <v>销售费用×利率×(建设周期÷2)</v>
      </c>
      <c r="E24" s="756" t="s">
        <v>1748</v>
      </c>
      <c r="F24" s="790">
        <f ca="1">'数据-取费表'!B40</f>
        <v>4.7500000000000001E-2</v>
      </c>
      <c r="G24" s="3220"/>
      <c r="H24" s="2373" t="s">
        <v>1860</v>
      </c>
      <c r="I24" s="2368" t="s">
        <v>644</v>
      </c>
      <c r="J24" s="2366">
        <f ca="1">ROUND(J5*M24,0)</f>
        <v>0</v>
      </c>
      <c r="K24" s="2367" t="s">
        <v>1749</v>
      </c>
      <c r="L24" s="2368" t="s">
        <v>1722</v>
      </c>
      <c r="M24" s="2364">
        <f ca="1">INDIRECT("'数据-取费表'!Am"&amp;$G$1)</f>
        <v>1.4999999999999999E-2</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-572</v>
      </c>
      <c r="K25" s="2370" t="s">
        <v>1752</v>
      </c>
      <c r="L25" s="2371"/>
      <c r="M25" s="2372"/>
    </row>
    <row r="26" spans="1:33" ht="18" customHeight="1">
      <c r="A26" s="1550" t="s">
        <v>1806</v>
      </c>
      <c r="B26" s="756" t="s">
        <v>2394</v>
      </c>
      <c r="C26" s="53">
        <f ca="1">ROUND((C19+C20)*F26,0)</f>
        <v>558</v>
      </c>
      <c r="D26" s="783" t="s">
        <v>1753</v>
      </c>
      <c r="E26" s="767" t="s">
        <v>1754</v>
      </c>
      <c r="F26" s="766">
        <f ca="1">INDIRECT("'数据-取费表'!q"&amp;$G$1)</f>
        <v>0.12</v>
      </c>
      <c r="G26" s="1917"/>
      <c r="H26" s="2324" t="s">
        <v>1755</v>
      </c>
      <c r="I26" s="2083" t="s">
        <v>2779</v>
      </c>
      <c r="J26" s="755">
        <f ca="1">IF(J5&lt;&gt;0,ROUND(J25*(1-((1+M28)/(1+M26))^M27)/(M26-M28),0),0)</f>
        <v>0</v>
      </c>
      <c r="K26" s="785" t="s">
        <v>1756</v>
      </c>
      <c r="L26" s="756" t="s">
        <v>2381</v>
      </c>
      <c r="M26" s="766">
        <f ca="1">INDIRECT("'数据-取费表'!I"&amp;$G$1)</f>
        <v>0.05</v>
      </c>
    </row>
    <row r="27" spans="1:33" ht="18" customHeight="1">
      <c r="A27" s="1550" t="s">
        <v>1807</v>
      </c>
      <c r="B27" s="756" t="s">
        <v>664</v>
      </c>
      <c r="C27" s="53">
        <f ca="1">ROUND(F21*F26,4)</f>
        <v>2.3999999999999998E-3</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0"/>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5750</v>
      </c>
      <c r="D29" s="2367"/>
      <c r="E29" s="2368"/>
      <c r="F29" s="2369"/>
      <c r="G29" s="3220"/>
      <c r="H29" s="794" t="s">
        <v>1762</v>
      </c>
      <c r="I29" s="795" t="s">
        <v>1763</v>
      </c>
      <c r="J29" s="796">
        <f ca="1">ROUND(J26/(1+F40)^F41,0)</f>
        <v>0</v>
      </c>
      <c r="K29" s="797" t="s">
        <v>1764</v>
      </c>
      <c r="L29" s="798"/>
      <c r="M29" s="799">
        <f ca="1">INDIRECT("'数据-取费表'!k"&amp;$G$1)</f>
        <v>22121.8</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258</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152</v>
      </c>
      <c r="D31" s="1865" t="s">
        <v>1767</v>
      </c>
      <c r="E31" s="1863" t="s">
        <v>1768</v>
      </c>
      <c r="F31" s="2984" t="str">
        <f>IF(项目基本情况!B11="企业","——",IF('数据-取费表'!B10="住宅",IF(F6*F7*F8/12/(1+'数据-取费表'!F30)&gt;100000,4%,2.5%),IF(F6*F7*F8/12/(1+'数据-取费表'!F30)&gt;100000,12%,7%)))</f>
        <v>——</v>
      </c>
      <c r="G31" s="1917"/>
      <c r="H31" s="3217" t="s">
        <v>2953</v>
      </c>
      <c r="I31" s="1921"/>
      <c r="J31" s="1922"/>
      <c r="K31" s="1923"/>
      <c r="L31" s="1924"/>
      <c r="M31" s="1925"/>
    </row>
    <row r="32" spans="1:33" ht="18" customHeight="1">
      <c r="A32" s="1550" t="s">
        <v>1806</v>
      </c>
      <c r="B32" s="756" t="s">
        <v>1769</v>
      </c>
      <c r="C32" s="53">
        <f ca="1">ROUND(C6*F32/(1+'数据-取费表'!C42),1)</f>
        <v>46.7</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101.9</v>
      </c>
      <c r="D33" s="782" t="s">
        <v>3140</v>
      </c>
      <c r="E33" s="756" t="s">
        <v>1771</v>
      </c>
      <c r="F33" s="781">
        <f>IF(D33="按租金收入计税",'数据-取费表'!B51,'数据-取费表'!B50)</f>
        <v>0.12</v>
      </c>
      <c r="G33" s="1917"/>
      <c r="H33" s="1932"/>
      <c r="I33" s="1932"/>
      <c r="J33" s="1932"/>
      <c r="K33" s="1933"/>
      <c r="L33" s="1932"/>
      <c r="M33" s="1932"/>
    </row>
    <row r="34" spans="1:18" ht="18" customHeight="1">
      <c r="A34" s="1553" t="s">
        <v>1808</v>
      </c>
      <c r="B34" s="339" t="s">
        <v>1773</v>
      </c>
      <c r="C34" s="54">
        <f ca="1">ROUND(F34*F35/10000,1)</f>
        <v>3.3</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22121.8</v>
      </c>
      <c r="G35" s="1917"/>
      <c r="H35" s="1920"/>
      <c r="I35" s="808" t="s">
        <v>1789</v>
      </c>
      <c r="J35" s="809">
        <f ca="1">ROUND(C13*J36,0)</f>
        <v>342</v>
      </c>
      <c r="K35" s="1933"/>
      <c r="L35" s="1932"/>
      <c r="M35" s="1932"/>
    </row>
    <row r="36" spans="1:18" ht="18" customHeight="1">
      <c r="A36" s="1551" t="s">
        <v>1858</v>
      </c>
      <c r="B36" s="756" t="s">
        <v>1777</v>
      </c>
      <c r="C36" s="53">
        <f ca="1">ROUND(C29*F36,1)</f>
        <v>86.3</v>
      </c>
      <c r="D36" s="1863" t="s">
        <v>1778</v>
      </c>
      <c r="E36" s="756" t="s">
        <v>1771</v>
      </c>
      <c r="F36" s="788">
        <f ca="1">INDIRECT("'数据-取费表'!Ak"&amp;$G$1)</f>
        <v>1.4999999999999999E-2</v>
      </c>
      <c r="G36" s="1917"/>
      <c r="H36" s="1932"/>
      <c r="I36" s="810" t="s">
        <v>1790</v>
      </c>
      <c r="J36" s="811">
        <f ca="1">INDIRECT("'数据-取费表'!j"&amp;$G$1)</f>
        <v>8.5000000000000006E-2</v>
      </c>
      <c r="K36" s="1936"/>
      <c r="L36" s="1932"/>
      <c r="M36" s="1932"/>
    </row>
    <row r="37" spans="1:18" ht="18" customHeight="1">
      <c r="A37" s="1551" t="s">
        <v>1859</v>
      </c>
      <c r="B37" s="756" t="s">
        <v>657</v>
      </c>
      <c r="C37" s="53">
        <f ca="1">ROUND(C13*F37,1)</f>
        <v>6</v>
      </c>
      <c r="D37" s="1863" t="s">
        <v>1779</v>
      </c>
      <c r="E37" s="756" t="s">
        <v>1771</v>
      </c>
      <c r="F37" s="789">
        <f ca="1">INDIRECT("'数据-取费表'!Al"&amp;$G$1)</f>
        <v>1.5E-3</v>
      </c>
      <c r="G37" s="1917"/>
      <c r="H37" s="1932"/>
      <c r="I37" s="812" t="s">
        <v>1791</v>
      </c>
      <c r="J37" s="813"/>
      <c r="K37" s="1936"/>
      <c r="L37" s="1932"/>
      <c r="M37" s="1932"/>
    </row>
    <row r="38" spans="1:18" ht="18" customHeight="1" thickBot="1">
      <c r="A38" s="2373" t="s">
        <v>1860</v>
      </c>
      <c r="B38" s="2368" t="s">
        <v>644</v>
      </c>
      <c r="C38" s="2366">
        <f ca="1">ROUND(C5*F38,1)</f>
        <v>13.4</v>
      </c>
      <c r="D38" s="2367" t="s">
        <v>1780</v>
      </c>
      <c r="E38" s="2368" t="s">
        <v>1771</v>
      </c>
      <c r="F38" s="2364">
        <f ca="1">INDIRECT("'数据-取费表'!Am"&amp;$G$1)</f>
        <v>1.4999999999999999E-2</v>
      </c>
      <c r="G38" s="1917"/>
      <c r="H38" s="1932"/>
      <c r="I38" s="814" t="s">
        <v>1792</v>
      </c>
      <c r="J38" s="815"/>
      <c r="K38" s="1937"/>
      <c r="L38" s="1932"/>
      <c r="M38" s="1932"/>
    </row>
    <row r="39" spans="1:18" ht="24.6" customHeight="1" thickTop="1">
      <c r="A39" s="1717" t="s">
        <v>1863</v>
      </c>
      <c r="B39" s="2691" t="s">
        <v>2774</v>
      </c>
      <c r="C39" s="764">
        <f ca="1">C5-C30</f>
        <v>635</v>
      </c>
      <c r="D39" s="2370" t="s">
        <v>1781</v>
      </c>
      <c r="E39" s="2371"/>
      <c r="F39" s="2372"/>
      <c r="G39" s="1917"/>
      <c r="H39" s="1932"/>
      <c r="I39" s="808" t="s">
        <v>1793</v>
      </c>
      <c r="J39" s="816">
        <f ca="1">ROUND(J35/C39,3)</f>
        <v>0.53900000000000003</v>
      </c>
      <c r="K39" s="1937"/>
      <c r="L39" s="1932"/>
      <c r="M39" s="1932"/>
    </row>
    <row r="40" spans="1:18" ht="18" customHeight="1">
      <c r="A40" s="753" t="s">
        <v>1864</v>
      </c>
      <c r="B40" s="2083" t="s">
        <v>2266</v>
      </c>
      <c r="C40" s="755">
        <f ca="1">ROUND(C39*(1-((1+F42)/(1+F40))^F41)/(F40-F42),0)</f>
        <v>11593</v>
      </c>
      <c r="D40" s="785" t="s">
        <v>1782</v>
      </c>
      <c r="E40" s="756" t="s">
        <v>2381</v>
      </c>
      <c r="F40" s="766">
        <f ca="1">INDIRECT("'数据-取费表'!I"&amp;$G$1)</f>
        <v>0.05</v>
      </c>
      <c r="G40" s="1917"/>
      <c r="H40" s="1917"/>
      <c r="I40" s="808" t="s">
        <v>1794</v>
      </c>
      <c r="J40" s="816">
        <f ca="1">1-J39</f>
        <v>0.46099999999999997</v>
      </c>
      <c r="K40" s="1937"/>
      <c r="L40" s="1917"/>
      <c r="M40" s="1917"/>
    </row>
    <row r="41" spans="1:18" ht="18" customHeight="1">
      <c r="A41" s="758"/>
      <c r="B41" s="759"/>
      <c r="C41" s="760"/>
      <c r="D41" s="792" t="s">
        <v>1783</v>
      </c>
      <c r="E41" s="756" t="s">
        <v>2890</v>
      </c>
      <c r="F41" s="793">
        <f ca="1">IF(INDIRECT("'数据-取费表'!af"&amp;$G$1)=0,INDIRECT("'数据-取费表'!ae"&amp;$G$1),INDIRECT("'数据-取费表'!af"&amp;$G$1))</f>
        <v>50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f ca="1">ROUND(C13/C40,3)</f>
        <v>0.34699999999999998</v>
      </c>
      <c r="K42" s="1936"/>
      <c r="L42" s="1872"/>
      <c r="M42" s="1872"/>
    </row>
    <row r="43" spans="1:18" ht="18" customHeight="1" thickBot="1">
      <c r="A43" s="794" t="s">
        <v>1762</v>
      </c>
      <c r="B43" s="795" t="s">
        <v>1785</v>
      </c>
      <c r="C43" s="796">
        <f ca="1">ROUND(C40*10000/F43,0)</f>
        <v>5241</v>
      </c>
      <c r="D43" s="797" t="s">
        <v>1786</v>
      </c>
      <c r="E43" s="798" t="s">
        <v>1787</v>
      </c>
      <c r="F43" s="799">
        <f ca="1">INDIRECT("'数据-取费表'!k"&amp;$G$1)</f>
        <v>22121.8</v>
      </c>
      <c r="G43" s="1917"/>
      <c r="H43" s="1872"/>
      <c r="I43" s="818" t="s">
        <v>1797</v>
      </c>
      <c r="J43" s="819">
        <f ca="1">1-J42</f>
        <v>0.65300000000000002</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f ca="1">C67-C40</f>
        <v>-13327</v>
      </c>
      <c r="D46" s="3221"/>
      <c r="E46" s="3221"/>
      <c r="F46" s="3221"/>
      <c r="I46" s="2204" t="s">
        <v>2305</v>
      </c>
      <c r="J46" s="2205"/>
      <c r="K46" s="2206"/>
      <c r="L46" s="2777" t="str">
        <f ca="1">IF(OR(M47="住宅",D1="土地（套用方法）"),0,IF(L48&gt;J51,L60,J60))</f>
        <v>0</v>
      </c>
      <c r="M46" s="3222"/>
      <c r="O46" s="2220" t="s">
        <v>2372</v>
      </c>
      <c r="P46" s="1501"/>
      <c r="Q46" s="1509"/>
      <c r="R46" s="1501"/>
    </row>
    <row r="47" spans="1:18" s="1914" customFormat="1" ht="18" customHeight="1" thickBot="1">
      <c r="A47" s="2198">
        <v>1</v>
      </c>
      <c r="B47" s="2199" t="s">
        <v>613</v>
      </c>
      <c r="C47" s="2394">
        <f ca="1">C48+C52+C54</f>
        <v>0</v>
      </c>
      <c r="D47" s="3221"/>
      <c r="E47" s="3221"/>
      <c r="F47" s="3221"/>
      <c r="I47" s="2768" t="s">
        <v>2306</v>
      </c>
      <c r="J47" s="2207" t="s">
        <v>3141</v>
      </c>
      <c r="K47" s="2774" t="s">
        <v>2311</v>
      </c>
      <c r="L47" s="2778">
        <f ca="1">INDIRECT("'数据-取费表'!d"&amp;$G$1)</f>
        <v>50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t="s">
        <v>2330</v>
      </c>
      <c r="K48" s="2775" t="s">
        <v>2313</v>
      </c>
      <c r="L48" s="1795">
        <f ca="1">INDIRECT("'数据-取费表'!f"&amp;$G$1)</f>
        <v>50</v>
      </c>
      <c r="M48" s="3222"/>
      <c r="O48" s="2224" t="s">
        <v>2341</v>
      </c>
      <c r="P48" s="2225" t="s">
        <v>2367</v>
      </c>
      <c r="Q48" s="2226">
        <f ca="1">C40+J29</f>
        <v>11593</v>
      </c>
      <c r="R48" s="2225" t="s">
        <v>2342</v>
      </c>
    </row>
    <row r="49" spans="1:18" s="1914" customFormat="1" ht="18" customHeight="1" thickBot="1">
      <c r="A49" s="758"/>
      <c r="B49" s="759"/>
      <c r="C49" s="760"/>
      <c r="D49" s="761"/>
      <c r="E49" s="756" t="s">
        <v>1714</v>
      </c>
      <c r="F49" s="757">
        <f ca="1">F7</f>
        <v>22121.8</v>
      </c>
      <c r="G49" s="1944"/>
      <c r="H49" s="1947"/>
      <c r="I49" s="2765" t="s">
        <v>2308</v>
      </c>
      <c r="J49" s="2209"/>
      <c r="K49" s="2776" t="s">
        <v>2314</v>
      </c>
      <c r="L49" s="2210"/>
      <c r="M49" s="3222"/>
      <c r="O49" s="2224" t="s">
        <v>2343</v>
      </c>
      <c r="P49" s="2225" t="s">
        <v>2368</v>
      </c>
      <c r="Q49" s="2226" t="str">
        <f ca="1">J60</f>
        <v>0</v>
      </c>
      <c r="R49" s="2225" t="s">
        <v>2344</v>
      </c>
    </row>
    <row r="50" spans="1:18" s="1914" customFormat="1" ht="18" customHeight="1" thickBot="1">
      <c r="A50" s="758"/>
      <c r="B50" s="759"/>
      <c r="C50" s="760"/>
      <c r="D50" s="761"/>
      <c r="E50" s="756" t="s">
        <v>1715</v>
      </c>
      <c r="F50" s="757">
        <f ca="1">F8</f>
        <v>365</v>
      </c>
      <c r="G50" s="1949"/>
      <c r="H50" s="1947"/>
      <c r="I50" s="2765" t="s">
        <v>2309</v>
      </c>
      <c r="J50" s="2772">
        <f>SUMPRODUCT((I63:I65=J47)*(J62:L62=J48)*(J63:L65))</f>
        <v>50</v>
      </c>
      <c r="K50" s="2776" t="s">
        <v>2315</v>
      </c>
      <c r="L50" s="2210"/>
      <c r="M50" s="3222"/>
      <c r="O50" s="2227" t="s">
        <v>2345</v>
      </c>
      <c r="P50" s="2225" t="s">
        <v>2369</v>
      </c>
      <c r="Q50" s="2226">
        <f ca="1">C29</f>
        <v>5750</v>
      </c>
      <c r="R50" s="2225" t="s">
        <v>2342</v>
      </c>
    </row>
    <row r="51" spans="1:18" s="1914" customFormat="1" ht="18" customHeight="1" thickBot="1">
      <c r="A51" s="758"/>
      <c r="B51" s="759"/>
      <c r="C51" s="760"/>
      <c r="D51" s="761"/>
      <c r="E51" s="756" t="s">
        <v>618</v>
      </c>
      <c r="F51" s="2197"/>
      <c r="H51" s="1947"/>
      <c r="I51" s="2769" t="s">
        <v>2310</v>
      </c>
      <c r="J51" s="2773">
        <f>IF(J49="",J50,J49+J50-YEAR('数据-取费表'!B2))</f>
        <v>50</v>
      </c>
      <c r="K51" s="2765" t="s">
        <v>2316</v>
      </c>
      <c r="L51" s="2779">
        <f ca="1">ROUND(-PV(INDIRECT("'数据-取费表'!h"&amp;$G$1),J51,(C39-C13*J36),0),0)</f>
        <v>5516</v>
      </c>
      <c r="M51" s="3222"/>
      <c r="O51" s="2227" t="s">
        <v>2346</v>
      </c>
      <c r="P51" s="2225" t="s">
        <v>2347</v>
      </c>
      <c r="Q51" s="2228" t="e">
        <f ca="1">J58</f>
        <v>#VALUE!</v>
      </c>
      <c r="R51" s="2229"/>
    </row>
    <row r="52" spans="1:18" s="1914" customFormat="1" ht="18" customHeight="1" thickBot="1">
      <c r="A52" s="753" t="s">
        <v>2490</v>
      </c>
      <c r="B52" s="2316" t="s">
        <v>2413</v>
      </c>
      <c r="C52" s="771">
        <f ca="1">ROUND(IF(F52="押一",C48/12*F11,IF(F52="押二",C48/12*2*F11,IF(F52="押三",C48/12*3*F11,C53*F11))),0)</f>
        <v>0</v>
      </c>
      <c r="D52" s="2323" t="s">
        <v>2899</v>
      </c>
      <c r="E52" s="2320" t="s">
        <v>2418</v>
      </c>
      <c r="F52" s="2433"/>
      <c r="I52" s="2770" t="s">
        <v>2383</v>
      </c>
      <c r="J52" s="2211"/>
      <c r="K52" s="2770" t="s">
        <v>2382</v>
      </c>
      <c r="L52" s="2211"/>
      <c r="M52" s="3222"/>
      <c r="O52" s="2227" t="s">
        <v>2348</v>
      </c>
      <c r="P52" s="2225" t="s">
        <v>2349</v>
      </c>
      <c r="Q52" s="2228">
        <f>J52</f>
        <v>0</v>
      </c>
      <c r="R52" s="2229"/>
    </row>
    <row r="53" spans="1:18" s="1914" customFormat="1" ht="39.75" customHeight="1" thickBot="1">
      <c r="A53" s="758"/>
      <c r="B53" s="2317" t="s">
        <v>2527</v>
      </c>
      <c r="C53" s="2321"/>
      <c r="D53" s="2323"/>
      <c r="E53" s="2320"/>
      <c r="F53" s="772"/>
      <c r="I53" s="2771" t="s">
        <v>2902</v>
      </c>
      <c r="J53" s="2824">
        <f ca="1">IF(M47="住宅",IF(D1="——",MAX(J51,L48),MAX(J51,L48-'数据-取费表'!B20)),IF(D1="——",MIN(J51,L48),MIN(J51,L48-'数据-取费表'!B20)))</f>
        <v>50</v>
      </c>
      <c r="K53" s="3820" t="s">
        <v>2892</v>
      </c>
      <c r="L53" s="3821"/>
      <c r="M53" s="3222"/>
      <c r="O53" s="2227" t="s">
        <v>2350</v>
      </c>
      <c r="P53" s="2225" t="s">
        <v>2351</v>
      </c>
      <c r="Q53" s="2226">
        <f ca="1">J53</f>
        <v>50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2"/>
      <c r="O54" s="2224" t="s">
        <v>2353</v>
      </c>
      <c r="P54" s="2225" t="s">
        <v>2370</v>
      </c>
      <c r="Q54" s="2226">
        <f ca="1">Q48+Q49</f>
        <v>11593</v>
      </c>
      <c r="R54" s="2229" t="s">
        <v>2354</v>
      </c>
    </row>
    <row r="55" spans="1:18" s="1914" customFormat="1" ht="18" customHeight="1" thickTop="1" thickBot="1">
      <c r="A55" s="769">
        <v>2</v>
      </c>
      <c r="B55" s="770" t="s">
        <v>622</v>
      </c>
      <c r="C55" s="771">
        <f ca="1">C13</f>
        <v>4025</v>
      </c>
      <c r="D55" s="767"/>
      <c r="E55" s="767"/>
      <c r="F55" s="772"/>
      <c r="I55" s="2782" t="s">
        <v>2317</v>
      </c>
      <c r="J55" s="2754" t="e">
        <f ca="1">ROUND(IF(J47="钢混",J57/J50,1-(1-2%)*(J50-J57)/J50),3)</f>
        <v>#VALUE!</v>
      </c>
      <c r="K55" s="2783" t="s">
        <v>2318</v>
      </c>
      <c r="L55" s="2212"/>
      <c r="M55" s="3222"/>
      <c r="O55" s="2230" t="s">
        <v>2373</v>
      </c>
      <c r="P55" s="1501"/>
      <c r="Q55" s="1509"/>
      <c r="R55" s="1501"/>
    </row>
    <row r="56" spans="1:18" s="1914" customFormat="1" ht="42.75" customHeight="1" thickBot="1">
      <c r="A56" s="1552"/>
      <c r="B56" s="2082" t="s">
        <v>2267</v>
      </c>
      <c r="C56" s="53">
        <f ca="1">C29</f>
        <v>5750</v>
      </c>
      <c r="D56" s="2449"/>
      <c r="E56" s="756"/>
      <c r="F56" s="781"/>
      <c r="I56" s="2784" t="s">
        <v>2319</v>
      </c>
      <c r="J56" s="2794" t="s">
        <v>1653</v>
      </c>
      <c r="K56" s="2765" t="s">
        <v>2324</v>
      </c>
      <c r="L56" s="1795">
        <f ca="1">IF(L48&lt;J51,"——",L48-J51)</f>
        <v>0</v>
      </c>
      <c r="M56" s="3222"/>
      <c r="O56" s="2221" t="s">
        <v>2337</v>
      </c>
      <c r="P56" s="2222" t="s">
        <v>2338</v>
      </c>
      <c r="Q56" s="2223" t="s">
        <v>2339</v>
      </c>
      <c r="R56" s="2222" t="s">
        <v>2340</v>
      </c>
    </row>
    <row r="57" spans="1:18" s="1914" customFormat="1" ht="28.5" customHeight="1" thickBot="1">
      <c r="A57" s="769" t="s">
        <v>1723</v>
      </c>
      <c r="B57" s="770" t="s">
        <v>629</v>
      </c>
      <c r="C57" s="771">
        <f ca="1">ROUND(C58+C63+C64+C65,0)</f>
        <v>95</v>
      </c>
      <c r="D57" s="26" t="s">
        <v>1725</v>
      </c>
      <c r="E57" s="2450"/>
      <c r="F57" s="56"/>
      <c r="I57" s="2785" t="s">
        <v>2320</v>
      </c>
      <c r="J57" s="2786" t="str">
        <f ca="1">IF(OR(M47="住宅",J51&lt;L48,J56="是"),"——",J51-L48)</f>
        <v>——</v>
      </c>
      <c r="K57" s="2765" t="s">
        <v>2325</v>
      </c>
      <c r="L57" s="1795">
        <f ca="1">IF(L48&lt;J51,"——",IF(L55="比较法",L49,IF(L55="基准地价",L50,L51)))</f>
        <v>5516</v>
      </c>
      <c r="M57" s="3222"/>
      <c r="O57" s="2224" t="s">
        <v>2341</v>
      </c>
      <c r="P57" s="2225" t="s">
        <v>2371</v>
      </c>
      <c r="Q57" s="2226">
        <f ca="1">C40+J29</f>
        <v>11593</v>
      </c>
      <c r="R57" s="2225" t="s">
        <v>2342</v>
      </c>
    </row>
    <row r="58" spans="1:18" s="1914" customFormat="1" ht="28.5" customHeight="1" thickBot="1">
      <c r="A58" s="1551" t="s">
        <v>1799</v>
      </c>
      <c r="B58" s="756" t="s">
        <v>634</v>
      </c>
      <c r="C58" s="2985">
        <f ca="1">ROUND(IF(AND(项目基本情况!B11="自然人",项目基本情况!B10="北京市"),C48*F58/(1+'数据-取费表'!C42),C59+C60+C61),0)</f>
        <v>3</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#VALUE!</v>
      </c>
      <c r="K58" s="2765" t="s">
        <v>2326</v>
      </c>
      <c r="L58" s="1795" t="e">
        <f ca="1">ROUND(POWER(1+L52,L47-L48)*(POWER(1+L52,L48)-1)/(POWER(1+L52,L47)-1),4)</f>
        <v>#DIV/0!</v>
      </c>
      <c r="M58" s="3222"/>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str">
        <f ca="1">IF(OR(M47="住宅",J51&lt;L48,J56="是"),"——",ROUND(C29*J58,0))</f>
        <v>——</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2"/>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按租金收入计税</v>
      </c>
      <c r="E60" s="756" t="s">
        <v>1722</v>
      </c>
      <c r="F60" s="781">
        <f t="shared" si="0"/>
        <v>0.12</v>
      </c>
      <c r="I60" s="2787" t="s">
        <v>2323</v>
      </c>
      <c r="J60" s="2788" t="str">
        <f ca="1">IF(OR(M47="住宅",J51&lt;L48,J56="是"),"0",ROUND(J59/(1+J52)^J53,0))</f>
        <v>0</v>
      </c>
      <c r="K60" s="2789" t="s">
        <v>2328</v>
      </c>
      <c r="L60" s="2788" t="e">
        <f ca="1">IF(OR(M47="住宅",L48&lt;J51),0,ROUND(L57*(L58/L59-1),0))</f>
        <v>#DIV/0!</v>
      </c>
      <c r="M60" s="3222"/>
      <c r="O60" s="2227" t="s">
        <v>2346</v>
      </c>
      <c r="P60" s="2225" t="s">
        <v>2355</v>
      </c>
      <c r="Q60" s="2228">
        <f>L52</f>
        <v>0</v>
      </c>
      <c r="R60" s="2229"/>
    </row>
    <row r="61" spans="1:18" s="1914" customFormat="1" ht="18" customHeight="1" thickBot="1">
      <c r="A61" s="1553" t="s">
        <v>1808</v>
      </c>
      <c r="B61" s="339" t="s">
        <v>646</v>
      </c>
      <c r="C61" s="54">
        <f ca="1">ROUND(F61*F62/10000,1)</f>
        <v>3.3</v>
      </c>
      <c r="D61" s="785" t="s">
        <v>647</v>
      </c>
      <c r="E61" s="756" t="s">
        <v>648</v>
      </c>
      <c r="F61" s="614">
        <f t="shared" si="0"/>
        <v>1.5</v>
      </c>
      <c r="K61" s="1940"/>
      <c r="O61" s="2227" t="s">
        <v>2348</v>
      </c>
      <c r="P61" s="2225" t="s">
        <v>2356</v>
      </c>
      <c r="Q61" s="2226" t="e">
        <f ca="1">L58</f>
        <v>#DIV/0!</v>
      </c>
      <c r="R61" s="2229" t="s">
        <v>2357</v>
      </c>
    </row>
    <row r="62" spans="1:18" s="1914" customFormat="1" ht="15.75" thickBot="1">
      <c r="A62" s="786"/>
      <c r="B62" s="765"/>
      <c r="C62" s="69"/>
      <c r="D62" s="787"/>
      <c r="E62" s="756" t="s">
        <v>652</v>
      </c>
      <c r="F62" s="757">
        <f t="shared" ca="1" si="0"/>
        <v>22121.8</v>
      </c>
      <c r="I62" s="2790" t="s">
        <v>2329</v>
      </c>
      <c r="J62" s="2791" t="s">
        <v>2330</v>
      </c>
      <c r="K62" s="2791" t="s">
        <v>2331</v>
      </c>
      <c r="L62" s="2791" t="s">
        <v>2312</v>
      </c>
      <c r="M62" s="2792" t="s">
        <v>2871</v>
      </c>
      <c r="O62" s="2227" t="s">
        <v>2350</v>
      </c>
      <c r="P62" s="2225" t="str">
        <f>K59</f>
        <v>建筑物剩余耐用年限下的土地年期修正系数Kn</v>
      </c>
      <c r="Q62" s="2226" t="e">
        <f ca="1">L59</f>
        <v>#DIV/0!</v>
      </c>
      <c r="R62" s="2229" t="s">
        <v>2359</v>
      </c>
    </row>
    <row r="63" spans="1:18" s="1914" customFormat="1" ht="15.75" thickBot="1">
      <c r="A63" s="1551" t="s">
        <v>1858</v>
      </c>
      <c r="B63" s="756" t="s">
        <v>654</v>
      </c>
      <c r="C63" s="53">
        <f ca="1">ROUND(C56*F63,1)</f>
        <v>86.3</v>
      </c>
      <c r="D63" s="2449" t="s">
        <v>1778</v>
      </c>
      <c r="E63" s="756" t="s">
        <v>1722</v>
      </c>
      <c r="F63" s="788">
        <f t="shared" ca="1" si="0"/>
        <v>1.4999999999999999E-2</v>
      </c>
      <c r="I63" s="2790" t="s">
        <v>2332</v>
      </c>
      <c r="J63" s="2791">
        <v>70</v>
      </c>
      <c r="K63" s="2791">
        <v>50</v>
      </c>
      <c r="L63" s="2791">
        <v>80</v>
      </c>
      <c r="M63" s="2793">
        <v>0.02</v>
      </c>
      <c r="O63" s="2224" t="s">
        <v>2353</v>
      </c>
      <c r="P63" s="2225" t="s">
        <v>2370</v>
      </c>
      <c r="Q63" s="2226" t="e">
        <f ca="1">Q57+Q58</f>
        <v>#DIV/0!</v>
      </c>
      <c r="R63" s="2229" t="s">
        <v>2354</v>
      </c>
    </row>
    <row r="64" spans="1:18" s="1914" customFormat="1" ht="16.5" thickBot="1">
      <c r="A64" s="1551" t="s">
        <v>1859</v>
      </c>
      <c r="B64" s="756" t="s">
        <v>657</v>
      </c>
      <c r="C64" s="53">
        <f ca="1">ROUND(C55*F64,1)</f>
        <v>6</v>
      </c>
      <c r="D64" s="2449" t="s">
        <v>658</v>
      </c>
      <c r="E64" s="756" t="s">
        <v>1722</v>
      </c>
      <c r="F64" s="789">
        <f t="shared" ca="1" si="0"/>
        <v>1.5E-3</v>
      </c>
      <c r="I64" s="2790" t="s">
        <v>2333</v>
      </c>
      <c r="J64" s="2791">
        <v>50</v>
      </c>
      <c r="K64" s="2791">
        <v>35</v>
      </c>
      <c r="L64" s="2791">
        <v>60</v>
      </c>
      <c r="M64" s="817">
        <v>0</v>
      </c>
      <c r="O64" s="2230" t="s">
        <v>2377</v>
      </c>
      <c r="P64" s="1501"/>
      <c r="Q64" s="1509"/>
      <c r="R64" s="1501"/>
    </row>
    <row r="65" spans="1:18" s="1914" customFormat="1" ht="15.75" thickBot="1">
      <c r="A65" s="1551" t="s">
        <v>1860</v>
      </c>
      <c r="B65" s="756" t="s">
        <v>644</v>
      </c>
      <c r="C65" s="53">
        <f ca="1">ROUND(C47*F65,1)</f>
        <v>0</v>
      </c>
      <c r="D65" s="2449" t="s">
        <v>661</v>
      </c>
      <c r="E65" s="756" t="s">
        <v>1722</v>
      </c>
      <c r="F65" s="766">
        <f t="shared" ca="1" si="0"/>
        <v>1.4999999999999999E-2</v>
      </c>
      <c r="I65" s="2790" t="s">
        <v>2334</v>
      </c>
      <c r="J65" s="2791">
        <v>40</v>
      </c>
      <c r="K65" s="2791">
        <v>30</v>
      </c>
      <c r="L65" s="2791">
        <v>50</v>
      </c>
      <c r="M65" s="2793">
        <v>0.02</v>
      </c>
      <c r="O65" s="2221" t="s">
        <v>2337</v>
      </c>
      <c r="P65" s="2222" t="s">
        <v>2338</v>
      </c>
      <c r="Q65" s="2223" t="s">
        <v>2339</v>
      </c>
      <c r="R65" s="2222" t="s">
        <v>2340</v>
      </c>
    </row>
    <row r="66" spans="1:18" s="1914" customFormat="1" ht="24.75" thickBot="1">
      <c r="A66" s="769" t="s">
        <v>1751</v>
      </c>
      <c r="B66" s="2692" t="s">
        <v>2774</v>
      </c>
      <c r="C66" s="771">
        <f ca="1">C47-C57</f>
        <v>-95</v>
      </c>
      <c r="D66" s="2448" t="s">
        <v>678</v>
      </c>
      <c r="E66" s="2447"/>
      <c r="F66" s="791"/>
      <c r="K66" s="1940"/>
      <c r="O66" s="2224" t="s">
        <v>2341</v>
      </c>
      <c r="P66" s="2225" t="s">
        <v>2371</v>
      </c>
      <c r="Q66" s="2226">
        <f ca="1">C40+J29</f>
        <v>11593</v>
      </c>
      <c r="R66" s="2225" t="s">
        <v>2342</v>
      </c>
    </row>
    <row r="67" spans="1:18" s="1914" customFormat="1" ht="20.25" thickBot="1">
      <c r="A67" s="753" t="s">
        <v>1755</v>
      </c>
      <c r="B67" s="2083" t="s">
        <v>2266</v>
      </c>
      <c r="C67" s="755">
        <f ca="1">ROUND(C66*(1-((1+F69)/(1+F67))^F68)/(F67-F69),0)</f>
        <v>-1734</v>
      </c>
      <c r="D67" s="785" t="s">
        <v>682</v>
      </c>
      <c r="E67" s="756" t="s">
        <v>683</v>
      </c>
      <c r="F67" s="766">
        <f ca="1">F40</f>
        <v>0.05</v>
      </c>
      <c r="K67" s="1940"/>
      <c r="O67" s="2224" t="s">
        <v>2343</v>
      </c>
      <c r="P67" s="2225" t="s">
        <v>2374</v>
      </c>
      <c r="Q67" s="2226" t="e">
        <f ca="1">L60</f>
        <v>#DIV/0!</v>
      </c>
      <c r="R67" s="2229" t="s">
        <v>2376</v>
      </c>
    </row>
    <row r="68" spans="1:18" ht="21.75" thickBot="1">
      <c r="A68" s="758"/>
      <c r="B68" s="759"/>
      <c r="C68" s="760"/>
      <c r="D68" s="792" t="s">
        <v>1783</v>
      </c>
      <c r="E68" s="756" t="s">
        <v>1759</v>
      </c>
      <c r="F68" s="793">
        <f ca="1">F41</f>
        <v>50</v>
      </c>
      <c r="O68" s="2227" t="s">
        <v>2345</v>
      </c>
      <c r="P68" s="2225" t="s">
        <v>2375</v>
      </c>
      <c r="Q68" s="2231">
        <f ca="1">L51</f>
        <v>5516</v>
      </c>
      <c r="R68" s="2232" t="s">
        <v>2378</v>
      </c>
    </row>
    <row r="69" spans="1:18" ht="20.25" thickBot="1">
      <c r="A69" s="762"/>
      <c r="B69" s="763"/>
      <c r="C69" s="764"/>
      <c r="D69" s="787"/>
      <c r="E69" s="756" t="s">
        <v>688</v>
      </c>
      <c r="F69" s="2197"/>
      <c r="O69" s="2227" t="s">
        <v>2346</v>
      </c>
      <c r="P69" s="2233" t="s">
        <v>2360</v>
      </c>
      <c r="Q69" s="2226">
        <f ca="1">ROUND(Q70-Q71*Q72,0)</f>
        <v>293</v>
      </c>
      <c r="R69" s="2229"/>
    </row>
    <row r="70" spans="1:18" ht="15.75" thickBot="1">
      <c r="A70" s="794" t="s">
        <v>1762</v>
      </c>
      <c r="B70" s="795" t="s">
        <v>1785</v>
      </c>
      <c r="C70" s="796">
        <f ca="1">ROUND(C67*10000/F70,0)</f>
        <v>-784</v>
      </c>
      <c r="D70" s="797" t="s">
        <v>1786</v>
      </c>
      <c r="E70" s="798" t="s">
        <v>1787</v>
      </c>
      <c r="F70" s="799">
        <f ca="1">F43</f>
        <v>22121.8</v>
      </c>
      <c r="O70" s="2227" t="s">
        <v>2361</v>
      </c>
      <c r="P70" s="2233" t="s">
        <v>2362</v>
      </c>
      <c r="Q70" s="2226">
        <f ca="1">C39</f>
        <v>635</v>
      </c>
      <c r="R70" s="2225" t="s">
        <v>2342</v>
      </c>
    </row>
    <row r="71" spans="1:18" ht="15.75" thickBot="1">
      <c r="O71" s="2227" t="s">
        <v>2363</v>
      </c>
      <c r="P71" s="2233" t="s">
        <v>2364</v>
      </c>
      <c r="Q71" s="2226">
        <f ca="1">C13</f>
        <v>4025</v>
      </c>
      <c r="R71" s="2225" t="s">
        <v>2342</v>
      </c>
    </row>
    <row r="72" spans="1:18" ht="15.75" thickBot="1">
      <c r="O72" s="2227" t="s">
        <v>2365</v>
      </c>
      <c r="P72" s="2233" t="s">
        <v>2366</v>
      </c>
      <c r="Q72" s="2228">
        <f ca="1">J36</f>
        <v>8.5000000000000006E-2</v>
      </c>
      <c r="R72" s="2229"/>
    </row>
    <row r="73" spans="1:18" ht="15.75" thickBot="1">
      <c r="O73" s="2227" t="s">
        <v>2348</v>
      </c>
      <c r="P73" s="2225" t="s">
        <v>2355</v>
      </c>
      <c r="Q73" s="2228">
        <f>L52</f>
        <v>0</v>
      </c>
      <c r="R73" s="2229"/>
    </row>
    <row r="74" spans="1:18" ht="20.25" thickBot="1">
      <c r="O74" s="2227" t="s">
        <v>2350</v>
      </c>
      <c r="P74" s="2225" t="s">
        <v>2356</v>
      </c>
      <c r="Q74" s="2226" t="e">
        <f ca="1">L58</f>
        <v>#DIV/0!</v>
      </c>
      <c r="R74" s="2229" t="s">
        <v>2357</v>
      </c>
    </row>
    <row r="75" spans="1:18" ht="15.75" thickBot="1">
      <c r="O75" s="2227" t="s">
        <v>2379</v>
      </c>
      <c r="P75" s="2225" t="str">
        <f>K59</f>
        <v>建筑物剩余耐用年限下的土地年期修正系数Kn</v>
      </c>
      <c r="Q75" s="2226" t="e">
        <f ca="1">L59</f>
        <v>#DIV/0!</v>
      </c>
      <c r="R75" s="2229" t="s">
        <v>2359</v>
      </c>
    </row>
    <row r="76" spans="1:18" ht="15.75"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D8" sqref="D8"/>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581</v>
      </c>
      <c r="B1" s="716"/>
      <c r="C1" s="2034"/>
      <c r="D1" s="2034"/>
      <c r="E1" s="2034"/>
      <c r="F1" s="2034"/>
      <c r="G1" s="1962"/>
    </row>
    <row r="2" spans="1:25" s="1914" customFormat="1" ht="18" customHeight="1">
      <c r="A2" s="417" t="s">
        <v>461</v>
      </c>
      <c r="B2" s="419">
        <f ca="1">C23</f>
        <v>12046</v>
      </c>
      <c r="C2" s="3227"/>
      <c r="D2" s="3227"/>
      <c r="E2" s="3227"/>
      <c r="F2" s="3227"/>
      <c r="G2" s="3227"/>
    </row>
    <row r="3" spans="1:25" s="1914" customFormat="1" ht="18" customHeight="1">
      <c r="A3" s="1305" t="s">
        <v>1660</v>
      </c>
      <c r="B3" s="419">
        <f ca="1">ROUND(B2*10000/'数据-汇总表'!E3,0)</f>
        <v>5445</v>
      </c>
      <c r="C3" s="3227"/>
      <c r="D3" s="3227"/>
      <c r="E3" s="3227"/>
      <c r="F3" s="3227"/>
      <c r="G3" s="3227"/>
    </row>
    <row r="4" spans="1:25" s="1914" customFormat="1" ht="18" customHeight="1">
      <c r="A4" s="420" t="s">
        <v>462</v>
      </c>
      <c r="B4" s="421">
        <f ca="1">ROUND(B2*10000/'数据-汇总表'!D3,0)</f>
        <v>5445</v>
      </c>
      <c r="C4" s="3180"/>
      <c r="D4" s="3227"/>
      <c r="E4" s="3227"/>
      <c r="F4" s="3227"/>
      <c r="G4" s="3227"/>
    </row>
    <row r="5" spans="1:25" s="1914" customFormat="1" ht="18" customHeight="1" thickBot="1">
      <c r="A5" s="423"/>
      <c r="B5" s="424">
        <f ca="1">ROUND(B2/('数据-汇总表'!D3/666.67),0)</f>
        <v>363</v>
      </c>
      <c r="C5" s="425" t="s">
        <v>463</v>
      </c>
      <c r="D5" s="3227"/>
      <c r="E5" s="3227"/>
      <c r="F5" s="3227"/>
      <c r="G5" s="3227"/>
    </row>
    <row r="6" spans="1:25" s="2035" customFormat="1" ht="13.5" customHeight="1">
      <c r="A6" s="717"/>
      <c r="B6" s="718" t="s">
        <v>582</v>
      </c>
      <c r="C6" s="719" t="s">
        <v>583</v>
      </c>
      <c r="D6" s="719" t="s">
        <v>584</v>
      </c>
      <c r="E6" s="720" t="s">
        <v>585</v>
      </c>
      <c r="F6" s="720" t="s">
        <v>586</v>
      </c>
      <c r="G6" s="3226" t="s">
        <v>2954</v>
      </c>
    </row>
    <row r="7" spans="1:25" s="2035" customFormat="1" ht="13.5" customHeight="1">
      <c r="A7" s="2294">
        <v>1</v>
      </c>
      <c r="B7" s="721" t="s">
        <v>587</v>
      </c>
      <c r="C7" s="722">
        <f>C8+C9</f>
        <v>10017</v>
      </c>
      <c r="D7" s="722"/>
      <c r="E7" s="723"/>
      <c r="F7" s="723"/>
      <c r="G7" s="2303" t="s">
        <v>3149</v>
      </c>
    </row>
    <row r="8" spans="1:25" s="2035" customFormat="1" ht="13.5" customHeight="1">
      <c r="A8" s="2294" t="s">
        <v>2395</v>
      </c>
      <c r="B8" s="2297" t="s">
        <v>2397</v>
      </c>
      <c r="C8" s="3230">
        <f t="shared" ref="C8:C9" si="0">ROUND(D8*E8/10000,0)</f>
        <v>10017</v>
      </c>
      <c r="D8" s="3573">
        <f>'数据-汇总表'!F19</f>
        <v>22121.8</v>
      </c>
      <c r="E8" s="3231">
        <f>'比较法-工业'!C44</f>
        <v>4528</v>
      </c>
      <c r="F8" s="723"/>
      <c r="G8" s="724"/>
    </row>
    <row r="9" spans="1:25" s="2035" customFormat="1" ht="13.5" customHeight="1">
      <c r="A9" s="2294" t="s">
        <v>2396</v>
      </c>
      <c r="B9" s="2297" t="s">
        <v>2398</v>
      </c>
      <c r="C9" s="3230">
        <f t="shared" si="0"/>
        <v>0</v>
      </c>
      <c r="D9" s="3230">
        <v>0</v>
      </c>
      <c r="E9" s="3231">
        <v>0</v>
      </c>
      <c r="F9" s="723"/>
      <c r="G9" s="724"/>
    </row>
    <row r="10" spans="1:25" s="2035" customFormat="1" ht="36">
      <c r="A10" s="2294">
        <v>2</v>
      </c>
      <c r="B10" s="721" t="s">
        <v>591</v>
      </c>
      <c r="C10" s="722">
        <f>C11+C14+C15</f>
        <v>343</v>
      </c>
      <c r="D10" s="732"/>
      <c r="E10" s="722"/>
      <c r="F10" s="733"/>
      <c r="G10" s="731" t="s">
        <v>592</v>
      </c>
    </row>
    <row r="11" spans="1:25" s="2035" customFormat="1" ht="13.5" customHeight="1">
      <c r="A11" s="2294" t="s">
        <v>2395</v>
      </c>
      <c r="B11" s="725" t="s">
        <v>588</v>
      </c>
      <c r="C11" s="726">
        <f>'数据-取费表'!B29</f>
        <v>343</v>
      </c>
      <c r="D11" s="727"/>
      <c r="E11" s="726"/>
      <c r="F11" s="728"/>
      <c r="G11" s="2302" t="s">
        <v>2406</v>
      </c>
    </row>
    <row r="12" spans="1:25" s="2035" customFormat="1" ht="13.5" customHeight="1">
      <c r="A12" s="2300" t="s">
        <v>2403</v>
      </c>
      <c r="B12" s="729" t="s">
        <v>589</v>
      </c>
      <c r="C12" s="730">
        <f>ROUND(D12*E12/10000,0)</f>
        <v>0</v>
      </c>
      <c r="D12" s="3230">
        <f>'数据-汇总表'!E5</f>
        <v>0</v>
      </c>
      <c r="E12" s="3230">
        <f>'数据-取费表'!B27</f>
        <v>0</v>
      </c>
      <c r="F12" s="728"/>
      <c r="G12" s="731"/>
    </row>
    <row r="13" spans="1:25" s="2035" customFormat="1" ht="13.5" customHeight="1">
      <c r="A13" s="2300" t="s">
        <v>2402</v>
      </c>
      <c r="B13" s="729" t="s">
        <v>590</v>
      </c>
      <c r="C13" s="730">
        <f>ROUND(D13*E13/10000,0)</f>
        <v>343</v>
      </c>
      <c r="D13" s="3230">
        <f>'数据-汇总表'!E6</f>
        <v>22121.8</v>
      </c>
      <c r="E13" s="3230">
        <f>'数据-取费表'!B28</f>
        <v>155</v>
      </c>
      <c r="F13" s="728"/>
      <c r="G13" s="731"/>
    </row>
    <row r="14" spans="1:25" s="2035" customFormat="1" ht="13.5" customHeight="1">
      <c r="A14" s="2294" t="s">
        <v>2396</v>
      </c>
      <c r="B14" s="2299" t="s">
        <v>2399</v>
      </c>
      <c r="C14" s="3232">
        <f t="shared" ref="C14:C15" si="1">ROUND(D14*E14/10000,0)</f>
        <v>0</v>
      </c>
      <c r="D14" s="3230">
        <v>0</v>
      </c>
      <c r="E14" s="3231">
        <v>0</v>
      </c>
      <c r="F14" s="2298"/>
      <c r="G14" s="2301" t="s">
        <v>2404</v>
      </c>
    </row>
    <row r="15" spans="1:25" s="2035" customFormat="1" ht="13.5" customHeight="1">
      <c r="A15" s="2294" t="s">
        <v>2401</v>
      </c>
      <c r="B15" s="2299" t="s">
        <v>2400</v>
      </c>
      <c r="C15" s="3232">
        <f t="shared" si="1"/>
        <v>0</v>
      </c>
      <c r="D15" s="3230">
        <v>0</v>
      </c>
      <c r="E15" s="3231">
        <v>0</v>
      </c>
      <c r="F15" s="2298"/>
      <c r="G15" s="2301" t="s">
        <v>2405</v>
      </c>
    </row>
    <row r="16" spans="1:25" s="2036" customFormat="1" ht="48">
      <c r="A16" s="2294">
        <v>3</v>
      </c>
      <c r="B16" s="721" t="s">
        <v>593</v>
      </c>
      <c r="C16" s="3232">
        <f t="shared" ref="C16" si="2">ROUND(D16*E16/10000,0)</f>
        <v>0</v>
      </c>
      <c r="D16" s="3230">
        <v>0</v>
      </c>
      <c r="E16" s="3231">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594</v>
      </c>
      <c r="C17" s="2393">
        <f ca="1">ROUND(IF('数据-取费表'!B19&lt;=1,((C7+C16)*'数据-取费表'!B19+C10*'数据-取费表'!B19/2)*F17,((C7+C16)*(POWER((1+F17),'数据-取费表'!B19)-1)+C10*(POWER((1+F17),'数据-取费表'!B19/2)-1))),0)</f>
        <v>443</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1243</v>
      </c>
      <c r="D18" s="734"/>
      <c r="E18" s="735"/>
      <c r="F18" s="1276">
        <v>0.12</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12046</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599</v>
      </c>
      <c r="C20" s="722">
        <f ca="1">ROUND(C19*F20,0)</f>
        <v>0</v>
      </c>
      <c r="D20" s="732"/>
      <c r="E20" s="722"/>
      <c r="F20" s="1276">
        <v>0</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601</v>
      </c>
      <c r="C21" s="722">
        <f ca="1">C19+C20</f>
        <v>12046</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12046</v>
      </c>
      <c r="D22" s="732"/>
      <c r="E22" s="722"/>
      <c r="F22" s="738">
        <v>1</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12046</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29" customFormat="1">
      <c r="A24" s="3228"/>
      <c r="D24" s="1856"/>
      <c r="E24" s="1856"/>
    </row>
    <row r="25" spans="1:25" s="3229" customFormat="1">
      <c r="A25" s="3228"/>
      <c r="D25" s="1856"/>
      <c r="E25" s="1856"/>
    </row>
    <row r="26" spans="1:25" s="3229" customFormat="1">
      <c r="A26" s="3228"/>
      <c r="D26" s="1856"/>
      <c r="E26" s="1856"/>
    </row>
    <row r="27" spans="1:25" s="3229" customFormat="1">
      <c r="A27" s="3228"/>
      <c r="D27" s="1856"/>
      <c r="E27" s="1856"/>
    </row>
    <row r="28" spans="1:25" s="3229" customFormat="1">
      <c r="A28" s="3228"/>
      <c r="D28" s="1856"/>
      <c r="E28" s="1856"/>
    </row>
    <row r="29" spans="1:25" s="3229" customFormat="1">
      <c r="A29" s="3228"/>
      <c r="D29" s="1856"/>
      <c r="E29" s="1856"/>
    </row>
    <row r="30" spans="1:25" s="3229" customFormat="1">
      <c r="A30" s="3228"/>
      <c r="D30" s="1856"/>
      <c r="E30" s="1856"/>
    </row>
    <row r="31" spans="1:25" s="3229" customFormat="1">
      <c r="A31" s="3228"/>
      <c r="D31" s="1856"/>
      <c r="E31" s="1856"/>
    </row>
    <row r="32" spans="1:25" s="3229" customFormat="1">
      <c r="A32" s="3228"/>
      <c r="D32" s="1856"/>
      <c r="E32" s="1856"/>
    </row>
    <row r="33" spans="1:5" s="3229" customFormat="1">
      <c r="A33" s="3228"/>
      <c r="D33" s="1856"/>
      <c r="E33" s="1856"/>
    </row>
    <row r="34" spans="1:5" s="3229" customFormat="1">
      <c r="A34" s="3228"/>
      <c r="D34" s="1856"/>
      <c r="E34" s="1856"/>
    </row>
    <row r="35" spans="1:5" s="3229" customFormat="1">
      <c r="A35" s="3228"/>
      <c r="D35" s="1856"/>
      <c r="E35" s="1856"/>
    </row>
    <row r="36" spans="1:5" s="3229" customFormat="1">
      <c r="A36" s="3228"/>
      <c r="D36" s="1856"/>
      <c r="E36" s="1856"/>
    </row>
    <row r="37" spans="1:5" s="3229" customFormat="1">
      <c r="A37" s="3228"/>
      <c r="D37" s="1856"/>
      <c r="E37" s="1856"/>
    </row>
    <row r="38" spans="1:5" s="3229" customFormat="1">
      <c r="A38" s="3228"/>
      <c r="D38" s="1856"/>
      <c r="E38" s="1856"/>
    </row>
    <row r="39" spans="1:5" s="3229" customFormat="1">
      <c r="A39" s="3228"/>
      <c r="D39" s="1856"/>
      <c r="E39" s="1856"/>
    </row>
    <row r="40" spans="1:5" s="3229" customFormat="1">
      <c r="A40" s="3228"/>
      <c r="D40" s="1856"/>
      <c r="E40" s="1856"/>
    </row>
    <row r="41" spans="1:5" s="3229" customFormat="1">
      <c r="A41" s="3228"/>
      <c r="D41" s="1856"/>
      <c r="E41" s="1856"/>
    </row>
    <row r="42" spans="1:5" s="3229" customFormat="1">
      <c r="A42" s="3228"/>
      <c r="D42" s="1856"/>
      <c r="E42" s="1856"/>
    </row>
    <row r="43" spans="1:5" s="3229" customFormat="1">
      <c r="A43" s="3228"/>
      <c r="D43" s="1856"/>
      <c r="E43" s="1856"/>
    </row>
    <row r="44" spans="1:5" s="3229" customFormat="1">
      <c r="A44" s="3228"/>
      <c r="D44" s="1856"/>
      <c r="E44" s="1856"/>
    </row>
    <row r="45" spans="1:5" s="3229" customFormat="1">
      <c r="A45" s="3228"/>
      <c r="D45" s="1856"/>
      <c r="E45" s="1856"/>
    </row>
    <row r="46" spans="1:5" s="3229" customFormat="1">
      <c r="A46" s="3228"/>
      <c r="D46" s="1856"/>
      <c r="E46" s="1856"/>
    </row>
    <row r="47" spans="1:5" s="3229" customFormat="1">
      <c r="A47" s="3228"/>
      <c r="D47" s="1856"/>
      <c r="E47" s="1856"/>
    </row>
    <row r="48" spans="1:5" s="3229" customFormat="1">
      <c r="A48" s="3228"/>
      <c r="D48" s="1856"/>
      <c r="E48" s="1856"/>
    </row>
    <row r="49" spans="1:5" s="3229" customFormat="1">
      <c r="A49" s="3228"/>
      <c r="D49" s="1856"/>
      <c r="E49" s="1856"/>
    </row>
    <row r="50" spans="1:5" s="3229" customFormat="1">
      <c r="A50" s="3228"/>
      <c r="D50" s="1856"/>
      <c r="E50" s="1856"/>
    </row>
    <row r="51" spans="1:5" s="3229" customFormat="1">
      <c r="A51" s="3228"/>
      <c r="D51" s="1856"/>
      <c r="E51" s="1856"/>
    </row>
    <row r="52" spans="1:5" s="3229" customFormat="1">
      <c r="A52" s="3228"/>
      <c r="D52" s="1856"/>
      <c r="E52" s="1856"/>
    </row>
    <row r="53" spans="1:5" s="3229" customFormat="1">
      <c r="A53" s="3228"/>
      <c r="D53" s="1856"/>
      <c r="E53" s="1856"/>
    </row>
    <row r="54" spans="1:5" s="3229" customFormat="1">
      <c r="A54" s="3228"/>
      <c r="D54" s="1856"/>
      <c r="E54" s="1856"/>
    </row>
    <row r="55" spans="1:5" s="3229" customFormat="1">
      <c r="A55" s="3228"/>
      <c r="D55" s="1856"/>
      <c r="E55" s="1856"/>
    </row>
    <row r="56" spans="1:5" s="3229" customFormat="1">
      <c r="A56" s="3228"/>
      <c r="D56" s="1856"/>
      <c r="E56" s="1856"/>
    </row>
    <row r="57" spans="1:5" s="3229" customFormat="1">
      <c r="A57" s="3228"/>
      <c r="D57" s="1856"/>
      <c r="E57" s="1856"/>
    </row>
    <row r="58" spans="1:5" s="3229" customFormat="1">
      <c r="A58" s="3228"/>
      <c r="D58" s="1856"/>
      <c r="E58" s="1856"/>
    </row>
    <row r="59" spans="1:5" s="3229" customFormat="1">
      <c r="A59" s="3228"/>
      <c r="D59" s="1856"/>
      <c r="E59" s="1856"/>
    </row>
    <row r="60" spans="1:5" s="3229" customFormat="1">
      <c r="A60" s="3228"/>
      <c r="D60" s="1856"/>
      <c r="E60" s="1856"/>
    </row>
    <row r="61" spans="1:5" s="3229" customFormat="1">
      <c r="A61" s="3228"/>
      <c r="D61" s="1856"/>
      <c r="E61" s="1856"/>
    </row>
    <row r="62" spans="1:5" s="3229" customFormat="1">
      <c r="A62" s="3228"/>
      <c r="D62" s="1856"/>
      <c r="E62" s="1856"/>
    </row>
    <row r="63" spans="1:5" s="3229" customFormat="1">
      <c r="A63" s="3228"/>
      <c r="D63" s="1856"/>
      <c r="E63" s="1856"/>
    </row>
  </sheetData>
  <sheetProtection algorithmName="SHA-512" hashValue="p0I0dflmKf45I9vqS/2+tAsVK9QZO5/1i8u6373CDcNhHTWS9/omBrdn5LfTfkU4BCfexwBu5JqrBo4peextnw==" saltValue="BHvTgPZnTEnKXj31F/NWyw==" spinCount="100000"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C32" zoomScale="70" zoomScaleNormal="50" zoomScaleSheetLayoutView="70" workbookViewId="0">
      <selection activeCell="I43" sqref="I43"/>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461</v>
      </c>
      <c r="B2" s="484">
        <f>F63</f>
        <v>10017</v>
      </c>
      <c r="C2" s="3181"/>
      <c r="D2" s="3181"/>
      <c r="E2" s="3181"/>
      <c r="F2" s="3182"/>
      <c r="G2" s="3181"/>
      <c r="H2" s="3181"/>
      <c r="I2" s="3181"/>
      <c r="J2" s="3181"/>
      <c r="K2" s="31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c r="A3" s="1306" t="s">
        <v>1660</v>
      </c>
      <c r="B3" s="486">
        <f>ROUND(B2*10000/'数据-汇总表'!E3,0)</f>
        <v>4528</v>
      </c>
      <c r="C3" s="3180"/>
      <c r="D3" s="3180"/>
      <c r="E3" s="3180"/>
      <c r="F3" s="3180"/>
      <c r="G3" s="3181"/>
      <c r="H3" s="3181"/>
      <c r="I3" s="3181"/>
      <c r="J3" s="3181"/>
      <c r="K3" s="3183"/>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f>IF(B43="单位面积地价",C45,ROUND(B2*10000/'数据-汇总表'!D3,0))</f>
        <v>4528</v>
      </c>
      <c r="C4" s="3180"/>
      <c r="D4" s="3180"/>
      <c r="E4" s="3180"/>
      <c r="F4" s="3180"/>
      <c r="G4" s="3181"/>
      <c r="H4" s="3181"/>
      <c r="I4" s="3181"/>
      <c r="J4" s="3181"/>
      <c r="K4" s="3183"/>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f>ROUND(B2/('数据-汇总表'!D3/666.67),0)</f>
        <v>302</v>
      </c>
      <c r="C5" s="425" t="s">
        <v>463</v>
      </c>
      <c r="D5" s="3180"/>
      <c r="E5" s="3180"/>
      <c r="F5" s="3180"/>
      <c r="G5" s="3181"/>
      <c r="H5" s="3181"/>
      <c r="I5" s="3181"/>
      <c r="J5" s="3181"/>
      <c r="K5" s="3183"/>
      <c r="L5" s="1984"/>
      <c r="M5" s="1985"/>
      <c r="N5" s="1985"/>
      <c r="O5" s="1985"/>
      <c r="P5" s="1985"/>
      <c r="Q5" s="1985"/>
      <c r="R5" s="1985"/>
      <c r="S5" s="1985"/>
      <c r="T5" s="1985"/>
      <c r="U5" s="1985"/>
      <c r="V5" s="1985"/>
      <c r="W5" s="1985"/>
      <c r="X5" s="1985"/>
      <c r="Y5" s="1985"/>
      <c r="Z5" s="1985"/>
      <c r="AA5" s="1985"/>
      <c r="AB5" s="3172"/>
      <c r="AC5" s="1916"/>
    </row>
    <row r="6" spans="1:29" ht="15">
      <c r="A6" s="488" t="s">
        <v>499</v>
      </c>
      <c r="B6" s="489"/>
      <c r="C6" s="3788" t="s">
        <v>500</v>
      </c>
      <c r="D6" s="3789"/>
      <c r="E6" s="3829" t="s">
        <v>501</v>
      </c>
      <c r="F6" s="3830"/>
      <c r="G6" s="3788" t="s">
        <v>502</v>
      </c>
      <c r="H6" s="3789"/>
      <c r="I6" s="3788" t="s">
        <v>503</v>
      </c>
      <c r="J6" s="3789"/>
      <c r="K6" s="490" t="s">
        <v>504</v>
      </c>
      <c r="L6" s="1986"/>
      <c r="M6" s="1987"/>
      <c r="N6" s="1987"/>
      <c r="O6" s="1987"/>
      <c r="P6" s="3790" t="s">
        <v>505</v>
      </c>
      <c r="Q6" s="3791"/>
      <c r="R6" s="3796" t="s">
        <v>501</v>
      </c>
      <c r="S6" s="3797"/>
      <c r="T6" s="3796" t="s">
        <v>502</v>
      </c>
      <c r="U6" s="3797"/>
      <c r="V6" s="3783" t="s">
        <v>503</v>
      </c>
      <c r="W6" s="3783"/>
      <c r="X6" s="1476"/>
      <c r="Y6" s="3796" t="s">
        <v>505</v>
      </c>
      <c r="Z6" s="3797"/>
      <c r="AA6" s="3785" t="s">
        <v>501</v>
      </c>
      <c r="AB6" s="3786" t="s">
        <v>502</v>
      </c>
      <c r="AC6" s="3785" t="s">
        <v>503</v>
      </c>
    </row>
    <row r="7" spans="1:29" ht="15">
      <c r="A7" s="491"/>
      <c r="B7" s="492"/>
      <c r="C7" s="3804" t="s">
        <v>2858</v>
      </c>
      <c r="D7" s="3805"/>
      <c r="E7" s="3831" t="str">
        <f>土地案例!F24</f>
        <v>大兴区黄村镇三合庄改造区土地一级开发项目DX00-0202-6008、6009
地块</v>
      </c>
      <c r="F7" s="3832"/>
      <c r="G7" s="3804" t="str">
        <f>土地案例!F29</f>
        <v>昌平区六环路土城出口土城新村改造
土地一级开发项目核A-04、A-05、A-07地块</v>
      </c>
      <c r="H7" s="3805"/>
      <c r="I7" s="3826" t="s">
        <v>3334</v>
      </c>
      <c r="J7" s="3805"/>
      <c r="K7" s="490"/>
      <c r="L7" s="1986"/>
      <c r="M7" s="1987"/>
      <c r="N7" s="1987"/>
      <c r="O7" s="1987"/>
      <c r="P7" s="3792"/>
      <c r="Q7" s="3793"/>
      <c r="R7" s="3798"/>
      <c r="S7" s="3799"/>
      <c r="T7" s="3798"/>
      <c r="U7" s="3799"/>
      <c r="V7" s="3783"/>
      <c r="W7" s="3783"/>
      <c r="X7" s="1476"/>
      <c r="Y7" s="3798"/>
      <c r="Z7" s="3799"/>
      <c r="AA7" s="3786"/>
      <c r="AB7" s="3786"/>
      <c r="AC7" s="3786"/>
    </row>
    <row r="8" spans="1:29" ht="15.75" thickBot="1">
      <c r="A8" s="493"/>
      <c r="B8" s="494"/>
      <c r="C8" s="3802" t="s">
        <v>2862</v>
      </c>
      <c r="D8" s="3803"/>
      <c r="E8" s="3827" t="s">
        <v>2862</v>
      </c>
      <c r="F8" s="3828"/>
      <c r="G8" s="3802" t="s">
        <v>2862</v>
      </c>
      <c r="H8" s="3803"/>
      <c r="I8" s="3802" t="s">
        <v>2862</v>
      </c>
      <c r="J8" s="3803"/>
      <c r="K8" s="490" t="s">
        <v>506</v>
      </c>
      <c r="L8" s="1986"/>
      <c r="M8" s="1987"/>
      <c r="N8" s="1987"/>
      <c r="O8" s="1987"/>
      <c r="P8" s="3794"/>
      <c r="Q8" s="3795"/>
      <c r="R8" s="3798"/>
      <c r="S8" s="3799"/>
      <c r="T8" s="3800"/>
      <c r="U8" s="3801"/>
      <c r="V8" s="3783"/>
      <c r="W8" s="3783"/>
      <c r="X8" s="1476"/>
      <c r="Y8" s="3800"/>
      <c r="Z8" s="3801"/>
      <c r="AA8" s="3787"/>
      <c r="AB8" s="3787"/>
      <c r="AC8" s="3787"/>
    </row>
    <row r="9" spans="1:29" s="1185" customFormat="1" ht="15.75" thickBot="1">
      <c r="A9" s="2597"/>
      <c r="B9" s="2604" t="s">
        <v>507</v>
      </c>
      <c r="C9" s="495">
        <f>'数据-取费表'!B2</f>
        <v>44614</v>
      </c>
      <c r="D9" s="496">
        <v>100</v>
      </c>
      <c r="E9" s="497">
        <v>43221</v>
      </c>
      <c r="F9" s="498">
        <f>SUMIF(67:67,YEAR(E9)&amp;"-"&amp;INT((MONTH(E9)+2)/3),68:68)</f>
        <v>97.6</v>
      </c>
      <c r="G9" s="499">
        <v>43435</v>
      </c>
      <c r="H9" s="496">
        <f>SUMIF(67:67,YEAR(G9)&amp;"-"&amp;INT((MONTH(G9)+2)/3),68:68)</f>
        <v>98.7</v>
      </c>
      <c r="I9" s="499">
        <v>43344</v>
      </c>
      <c r="J9" s="496">
        <f>SUMIF(67:67,YEAR(I9)&amp;"-"&amp;INT((MONTH(I9)+2)/3),68:68)</f>
        <v>98.3</v>
      </c>
      <c r="K9" s="500"/>
      <c r="L9" s="1988"/>
      <c r="M9" s="1989"/>
      <c r="N9" s="1989"/>
      <c r="O9" s="1989"/>
      <c r="P9" s="3813" t="s">
        <v>508</v>
      </c>
      <c r="Q9" s="3815"/>
      <c r="R9" s="1477" t="s">
        <v>8</v>
      </c>
      <c r="S9" s="1478">
        <f t="shared" ref="S9:S17" si="0">F9</f>
        <v>97.6</v>
      </c>
      <c r="T9" s="1477" t="s">
        <v>8</v>
      </c>
      <c r="U9" s="1478">
        <f t="shared" ref="U9:U17" si="1">H9</f>
        <v>98.7</v>
      </c>
      <c r="V9" s="1477" t="s">
        <v>8</v>
      </c>
      <c r="W9" s="1478">
        <f t="shared" ref="W9:W17" si="2">J9</f>
        <v>98.3</v>
      </c>
      <c r="X9" s="1479"/>
      <c r="Y9" s="3813" t="s">
        <v>508</v>
      </c>
      <c r="Z9" s="3814"/>
      <c r="AA9" s="1480">
        <f>D9/F9</f>
        <v>1.0245901639344264</v>
      </c>
      <c r="AB9" s="1480">
        <f>D9/H9</f>
        <v>1.0131712259371835</v>
      </c>
      <c r="AC9" s="1480">
        <f>D9/J9</f>
        <v>1.0172939979654121</v>
      </c>
    </row>
    <row r="10" spans="1:29" s="1185" customFormat="1" ht="15.75" thickBot="1">
      <c r="A10" s="2598"/>
      <c r="B10" s="2605" t="s">
        <v>509</v>
      </c>
      <c r="C10" s="501" t="s">
        <v>510</v>
      </c>
      <c r="D10" s="496">
        <v>100</v>
      </c>
      <c r="E10" s="501" t="s">
        <v>3150</v>
      </c>
      <c r="F10" s="498">
        <f>SUMIF(70:70,E10,71:71)-SUMIF(70:70,C10,71:71)+100</f>
        <v>100</v>
      </c>
      <c r="G10" s="501" t="s">
        <v>3150</v>
      </c>
      <c r="H10" s="496">
        <f>SUMIF(70:70,G10,71:71)-SUMIF(70:70,C10,71:71)+100</f>
        <v>100</v>
      </c>
      <c r="I10" s="501" t="s">
        <v>3150</v>
      </c>
      <c r="J10" s="496">
        <f>SUMIF(70:70,I10,71:71)-SUMIF(70:70,C10,71:71)+100</f>
        <v>100</v>
      </c>
      <c r="K10" s="500"/>
      <c r="L10" s="1988"/>
      <c r="M10" s="1989"/>
      <c r="N10" s="1989"/>
      <c r="O10" s="1989"/>
      <c r="P10" s="3813" t="s">
        <v>511</v>
      </c>
      <c r="Q10" s="3814"/>
      <c r="R10" s="1477" t="s">
        <v>8</v>
      </c>
      <c r="S10" s="1478">
        <f t="shared" si="0"/>
        <v>100</v>
      </c>
      <c r="T10" s="1477" t="s">
        <v>8</v>
      </c>
      <c r="U10" s="1478">
        <f t="shared" si="1"/>
        <v>100</v>
      </c>
      <c r="V10" s="1477" t="s">
        <v>8</v>
      </c>
      <c r="W10" s="1478">
        <f t="shared" si="2"/>
        <v>100</v>
      </c>
      <c r="X10" s="1479"/>
      <c r="Y10" s="3813" t="s">
        <v>511</v>
      </c>
      <c r="Z10" s="3814"/>
      <c r="AA10" s="1480">
        <f t="shared" ref="AA10:AA42" si="3">D10/F10</f>
        <v>1</v>
      </c>
      <c r="AB10" s="1480">
        <f t="shared" ref="AB10:AB42" si="4">D10/H10</f>
        <v>1</v>
      </c>
      <c r="AC10" s="1480">
        <f t="shared" ref="AC10:AC42" si="5">D10/J10</f>
        <v>1</v>
      </c>
    </row>
    <row r="11" spans="1:29" s="1185" customFormat="1" ht="15" hidden="1">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782" t="s">
        <v>513</v>
      </c>
      <c r="Q11" s="1116" t="str">
        <f t="shared" ref="Q11:Q17" si="6">B11</f>
        <v>用途</v>
      </c>
      <c r="R11" s="1477" t="s">
        <v>8</v>
      </c>
      <c r="S11" s="1478">
        <f t="shared" si="0"/>
        <v>100</v>
      </c>
      <c r="T11" s="1477" t="s">
        <v>8</v>
      </c>
      <c r="U11" s="1478">
        <f t="shared" si="1"/>
        <v>100</v>
      </c>
      <c r="V11" s="1477" t="s">
        <v>8</v>
      </c>
      <c r="W11" s="1478">
        <f t="shared" si="2"/>
        <v>100</v>
      </c>
      <c r="X11" s="1479"/>
      <c r="Y11" s="3701" t="s">
        <v>514</v>
      </c>
      <c r="Z11" s="1115" t="str">
        <f t="shared" ref="Z11:Z17" si="7">Q11</f>
        <v>用途</v>
      </c>
      <c r="AA11" s="1480">
        <f t="shared" si="3"/>
        <v>1</v>
      </c>
      <c r="AB11" s="1480">
        <f t="shared" si="4"/>
        <v>1</v>
      </c>
      <c r="AC11" s="1480">
        <f t="shared" si="5"/>
        <v>1</v>
      </c>
    </row>
    <row r="12" spans="1:29" s="1266" customFormat="1" ht="27" hidden="1">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3782"/>
      <c r="Q12" s="1116" t="str">
        <f t="shared" si="6"/>
        <v>土地使用年限（年）</v>
      </c>
      <c r="R12" s="1477" t="s">
        <v>8</v>
      </c>
      <c r="S12" s="1478">
        <f t="shared" si="0"/>
        <v>100</v>
      </c>
      <c r="T12" s="1477" t="s">
        <v>8</v>
      </c>
      <c r="U12" s="1478">
        <f t="shared" si="1"/>
        <v>100</v>
      </c>
      <c r="V12" s="1477" t="s">
        <v>8</v>
      </c>
      <c r="W12" s="1478">
        <f t="shared" si="2"/>
        <v>100</v>
      </c>
      <c r="X12" s="1479"/>
      <c r="Y12" s="3701"/>
      <c r="Z12" s="1115" t="str">
        <f t="shared" si="7"/>
        <v>土地使用年限（年）</v>
      </c>
      <c r="AA12" s="1480">
        <f t="shared" si="3"/>
        <v>1</v>
      </c>
      <c r="AB12" s="1480">
        <f t="shared" si="4"/>
        <v>1</v>
      </c>
      <c r="AC12" s="1480">
        <f t="shared" si="5"/>
        <v>1</v>
      </c>
    </row>
    <row r="13" spans="1:29" ht="15" hidden="1">
      <c r="A13" s="2601"/>
      <c r="B13" s="2605" t="s">
        <v>2711</v>
      </c>
      <c r="C13" s="509">
        <v>1</v>
      </c>
      <c r="D13" s="253">
        <v>100</v>
      </c>
      <c r="E13" s="509">
        <f>C13</f>
        <v>1</v>
      </c>
      <c r="F13" s="253">
        <f>LOOKUP(E13,77:77,78:78)-LOOKUP(C13,77:77,78:78)+100</f>
        <v>100</v>
      </c>
      <c r="G13" s="510">
        <f>C13</f>
        <v>1</v>
      </c>
      <c r="H13" s="253">
        <f>LOOKUP(G13,77:77,78:78)-LOOKUP(C13,77:77,78:78)+100</f>
        <v>100</v>
      </c>
      <c r="I13" s="509">
        <f>C13</f>
        <v>1</v>
      </c>
      <c r="J13" s="253">
        <f>LOOKUP(I13,77:77,78:78)-LOOKUP(C13,77:77,78:78)+100</f>
        <v>100</v>
      </c>
      <c r="K13" s="511"/>
      <c r="L13" s="1993"/>
      <c r="M13" s="1987"/>
      <c r="N13" s="1987"/>
      <c r="O13" s="1994"/>
      <c r="P13" s="3782"/>
      <c r="Q13" s="1116" t="str">
        <f t="shared" si="6"/>
        <v>容积率</v>
      </c>
      <c r="R13" s="1477" t="s">
        <v>8</v>
      </c>
      <c r="S13" s="1478">
        <f t="shared" si="0"/>
        <v>100</v>
      </c>
      <c r="T13" s="1477" t="s">
        <v>8</v>
      </c>
      <c r="U13" s="1478">
        <f t="shared" si="1"/>
        <v>100</v>
      </c>
      <c r="V13" s="1477" t="s">
        <v>8</v>
      </c>
      <c r="W13" s="1478">
        <f t="shared" si="2"/>
        <v>100</v>
      </c>
      <c r="X13" s="1479"/>
      <c r="Y13" s="3701"/>
      <c r="Z13" s="1115" t="str">
        <f t="shared" si="7"/>
        <v>容积率</v>
      </c>
      <c r="AA13" s="1480">
        <f t="shared" si="3"/>
        <v>1</v>
      </c>
      <c r="AB13" s="1480">
        <f t="shared" si="4"/>
        <v>1</v>
      </c>
      <c r="AC13" s="1480">
        <f t="shared" si="5"/>
        <v>1</v>
      </c>
    </row>
    <row r="14" spans="1:29" s="1185" customFormat="1" ht="15" hidden="1">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782"/>
      <c r="Q14" s="1116">
        <f t="shared" si="6"/>
        <v>111</v>
      </c>
      <c r="R14" s="1477" t="s">
        <v>8</v>
      </c>
      <c r="S14" s="1478">
        <f t="shared" si="0"/>
        <v>100</v>
      </c>
      <c r="T14" s="1477" t="s">
        <v>8</v>
      </c>
      <c r="U14" s="1478">
        <f t="shared" si="1"/>
        <v>100</v>
      </c>
      <c r="V14" s="1477" t="s">
        <v>8</v>
      </c>
      <c r="W14" s="1478">
        <f t="shared" si="2"/>
        <v>100</v>
      </c>
      <c r="X14" s="1479"/>
      <c r="Y14" s="3701"/>
      <c r="Z14" s="1115">
        <f t="shared" si="7"/>
        <v>111</v>
      </c>
      <c r="AA14" s="1480">
        <f>D14/F14</f>
        <v>1</v>
      </c>
      <c r="AB14" s="1480">
        <f>D14/H14</f>
        <v>1</v>
      </c>
      <c r="AC14" s="1480">
        <f>D14/J14</f>
        <v>1</v>
      </c>
    </row>
    <row r="15" spans="1:29" ht="15" hidden="1">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782"/>
      <c r="Q15" s="1116">
        <f t="shared" si="6"/>
        <v>111</v>
      </c>
      <c r="R15" s="1477" t="s">
        <v>8</v>
      </c>
      <c r="S15" s="1478">
        <f t="shared" si="0"/>
        <v>100</v>
      </c>
      <c r="T15" s="1477" t="s">
        <v>8</v>
      </c>
      <c r="U15" s="1478">
        <f t="shared" si="1"/>
        <v>100</v>
      </c>
      <c r="V15" s="1477" t="s">
        <v>8</v>
      </c>
      <c r="W15" s="1478">
        <f t="shared" si="2"/>
        <v>100</v>
      </c>
      <c r="X15" s="1479"/>
      <c r="Y15" s="3701"/>
      <c r="Z15" s="1115">
        <f t="shared" si="7"/>
        <v>111</v>
      </c>
      <c r="AA15" s="1480">
        <f t="shared" si="3"/>
        <v>1</v>
      </c>
      <c r="AB15" s="1480">
        <f t="shared" si="4"/>
        <v>1</v>
      </c>
      <c r="AC15" s="1480">
        <f t="shared" si="5"/>
        <v>1</v>
      </c>
    </row>
    <row r="16" spans="1:29" ht="15.75" hidden="1"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782"/>
      <c r="Q16" s="1116">
        <f t="shared" si="6"/>
        <v>111</v>
      </c>
      <c r="R16" s="1477" t="s">
        <v>8</v>
      </c>
      <c r="S16" s="1478">
        <f t="shared" si="0"/>
        <v>100</v>
      </c>
      <c r="T16" s="1477" t="s">
        <v>8</v>
      </c>
      <c r="U16" s="1478">
        <f t="shared" si="1"/>
        <v>100</v>
      </c>
      <c r="V16" s="1477" t="s">
        <v>8</v>
      </c>
      <c r="W16" s="1478">
        <f t="shared" si="2"/>
        <v>100</v>
      </c>
      <c r="X16" s="1479"/>
      <c r="Y16" s="3701"/>
      <c r="Z16" s="1115">
        <f t="shared" si="7"/>
        <v>111</v>
      </c>
      <c r="AA16" s="1480">
        <f t="shared" si="3"/>
        <v>1</v>
      </c>
      <c r="AB16" s="1480">
        <f t="shared" si="4"/>
        <v>1</v>
      </c>
      <c r="AC16" s="1480">
        <f t="shared" si="5"/>
        <v>1</v>
      </c>
    </row>
    <row r="17" spans="1:29" ht="171">
      <c r="A17" s="2595" t="s">
        <v>2707</v>
      </c>
      <c r="B17" s="164" t="s">
        <v>576</v>
      </c>
      <c r="C17" s="892" t="str">
        <f>估价对象房地状况!G15</f>
        <v>估价对象现状周边以产业用地为主，邻近周边有乐铁设备(北京)有限公司、综合信兴物流(南法信卫生院东北)、安博北京首都机场第二物流中心等，物流企业较多，产业集聚程度较好。</v>
      </c>
      <c r="D17" s="525">
        <v>100</v>
      </c>
      <c r="E17" s="526"/>
      <c r="F17" s="525">
        <f>SUMIF(85:85,E18,86:86)-SUMIF(85:85,C18,86:86)+100</f>
        <v>98</v>
      </c>
      <c r="G17" s="526"/>
      <c r="H17" s="525">
        <f>SUMIF(85:85,G18,86:86)-SUMIF(85:85,C18,86:86)+100</f>
        <v>98</v>
      </c>
      <c r="I17" s="528"/>
      <c r="J17" s="525">
        <f>SUMIF(85:85,I18,86:86)-SUMIF(85:85,C18,86:86)+100</f>
        <v>98</v>
      </c>
      <c r="K17" s="511">
        <v>2</v>
      </c>
      <c r="L17" s="1995"/>
      <c r="M17" s="1987"/>
      <c r="N17" s="1987"/>
      <c r="O17" s="1994"/>
      <c r="P17" s="3816" t="s">
        <v>518</v>
      </c>
      <c r="Q17" s="1481" t="str">
        <f t="shared" si="6"/>
        <v>产业集聚程度</v>
      </c>
      <c r="R17" s="1482" t="s">
        <v>8</v>
      </c>
      <c r="S17" s="1483">
        <f t="shared" si="0"/>
        <v>98</v>
      </c>
      <c r="T17" s="1482" t="s">
        <v>8</v>
      </c>
      <c r="U17" s="1483">
        <f t="shared" si="1"/>
        <v>98</v>
      </c>
      <c r="V17" s="1482" t="s">
        <v>8</v>
      </c>
      <c r="W17" s="1483">
        <f t="shared" si="2"/>
        <v>98</v>
      </c>
      <c r="X17" s="1476"/>
      <c r="Y17" s="3816" t="s">
        <v>518</v>
      </c>
      <c r="Z17" s="1484" t="str">
        <f t="shared" si="7"/>
        <v>产业集聚程度</v>
      </c>
      <c r="AA17" s="1485">
        <f t="shared" si="3"/>
        <v>1.0204081632653061</v>
      </c>
      <c r="AB17" s="1485">
        <f t="shared" si="4"/>
        <v>1.0204081632653061</v>
      </c>
      <c r="AC17" s="1485">
        <f t="shared" si="5"/>
        <v>1.0204081632653061</v>
      </c>
    </row>
    <row r="18" spans="1:29" ht="15">
      <c r="A18" s="508"/>
      <c r="B18" s="840"/>
      <c r="C18" s="552" t="s">
        <v>3142</v>
      </c>
      <c r="D18" s="531"/>
      <c r="E18" s="530" t="s">
        <v>3143</v>
      </c>
      <c r="F18" s="531"/>
      <c r="G18" s="530" t="s">
        <v>3143</v>
      </c>
      <c r="H18" s="535"/>
      <c r="I18" s="530" t="s">
        <v>3143</v>
      </c>
      <c r="J18" s="531"/>
      <c r="K18" s="507"/>
      <c r="L18" s="1995"/>
      <c r="M18" s="1987"/>
      <c r="N18" s="1987"/>
      <c r="O18" s="1994"/>
      <c r="P18" s="3817"/>
      <c r="Q18" s="1481"/>
      <c r="R18" s="1482"/>
      <c r="S18" s="1483"/>
      <c r="T18" s="1482"/>
      <c r="U18" s="1483"/>
      <c r="V18" s="1482"/>
      <c r="W18" s="1483"/>
      <c r="X18" s="1476"/>
      <c r="Y18" s="3817"/>
      <c r="Z18" s="1484"/>
      <c r="AA18" s="1485">
        <v>1</v>
      </c>
      <c r="AB18" s="1485">
        <v>1</v>
      </c>
      <c r="AC18" s="1485">
        <v>1</v>
      </c>
    </row>
    <row r="19" spans="1:29" ht="156.75">
      <c r="A19" s="508"/>
      <c r="B19" s="842" t="s">
        <v>521</v>
      </c>
      <c r="C19" s="843" t="str">
        <f>估价对象房地状况!G16</f>
        <v>估价对象周边有顺2路、顺27路、顺28路、顺38路、顺43路、顺59路、顺60路等多条公交线路，距地铁15号线（南法信站）约500米，综合评价交通便捷度较好</v>
      </c>
      <c r="D19" s="535">
        <v>100</v>
      </c>
      <c r="E19" s="538"/>
      <c r="F19" s="541">
        <f>SUMIF(87:87,E20,88:88)-SUMIF(87:87,C20,88:88)+100</f>
        <v>100</v>
      </c>
      <c r="G19" s="538"/>
      <c r="H19" s="541">
        <f>SUMIF(87:87,G20,88:88)-SUMIF(87:87,C20,88:88)+100</f>
        <v>95</v>
      </c>
      <c r="I19" s="540"/>
      <c r="J19" s="535">
        <f>SUMIF(87:87,I20,88:88)-SUMIF(87:87,C20,88:88)+100</f>
        <v>95</v>
      </c>
      <c r="K19" s="511">
        <v>5</v>
      </c>
      <c r="L19" s="1995"/>
      <c r="M19" s="1987"/>
      <c r="N19" s="1987"/>
      <c r="O19" s="1994"/>
      <c r="P19" s="3817"/>
      <c r="Q19" s="1481" t="str">
        <f>B19</f>
        <v>交通便捷度</v>
      </c>
      <c r="R19" s="1482" t="s">
        <v>8</v>
      </c>
      <c r="S19" s="1483">
        <f>F19</f>
        <v>100</v>
      </c>
      <c r="T19" s="1482" t="s">
        <v>8</v>
      </c>
      <c r="U19" s="1483">
        <f>H19</f>
        <v>95</v>
      </c>
      <c r="V19" s="1482" t="s">
        <v>8</v>
      </c>
      <c r="W19" s="1483">
        <f>J19</f>
        <v>95</v>
      </c>
      <c r="X19" s="1476"/>
      <c r="Y19" s="3817"/>
      <c r="Z19" s="1484" t="str">
        <f>Q19</f>
        <v>交通便捷度</v>
      </c>
      <c r="AA19" s="1485">
        <f t="shared" si="3"/>
        <v>1</v>
      </c>
      <c r="AB19" s="1485">
        <f t="shared" si="4"/>
        <v>1.0526315789473684</v>
      </c>
      <c r="AC19" s="1485">
        <f t="shared" si="5"/>
        <v>1.0526315789473684</v>
      </c>
    </row>
    <row r="20" spans="1:29" ht="15">
      <c r="A20" s="508"/>
      <c r="B20" s="893"/>
      <c r="C20" s="552" t="s">
        <v>3142</v>
      </c>
      <c r="D20" s="531"/>
      <c r="E20" s="532" t="s">
        <v>3142</v>
      </c>
      <c r="F20" s="531"/>
      <c r="G20" s="532" t="s">
        <v>3143</v>
      </c>
      <c r="H20" s="531"/>
      <c r="I20" s="534" t="s">
        <v>3143</v>
      </c>
      <c r="J20" s="531"/>
      <c r="K20" s="507"/>
      <c r="L20" s="1995"/>
      <c r="M20" s="1987"/>
      <c r="N20" s="1987"/>
      <c r="O20" s="1994"/>
      <c r="P20" s="3817"/>
      <c r="Q20" s="1481"/>
      <c r="R20" s="1482"/>
      <c r="S20" s="1483"/>
      <c r="T20" s="1482"/>
      <c r="U20" s="1483"/>
      <c r="V20" s="1482"/>
      <c r="W20" s="1483"/>
      <c r="X20" s="1476"/>
      <c r="Y20" s="3817"/>
      <c r="Z20" s="1484"/>
      <c r="AA20" s="1485">
        <v>1</v>
      </c>
      <c r="AB20" s="1485">
        <v>1</v>
      </c>
      <c r="AC20" s="1485">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817"/>
      <c r="Q21" s="1481" t="str">
        <f t="shared" ref="Q21:Q35" si="8">B21</f>
        <v>区域土地利用方向</v>
      </c>
      <c r="R21" s="1482" t="s">
        <v>8</v>
      </c>
      <c r="S21" s="1483">
        <f>F21</f>
        <v>100</v>
      </c>
      <c r="T21" s="1482" t="s">
        <v>8</v>
      </c>
      <c r="U21" s="1483">
        <f>H21</f>
        <v>100</v>
      </c>
      <c r="V21" s="1482" t="s">
        <v>8</v>
      </c>
      <c r="W21" s="1483">
        <f>J21</f>
        <v>100</v>
      </c>
      <c r="X21" s="1476"/>
      <c r="Y21" s="3817"/>
      <c r="Z21" s="1484" t="str">
        <f>Q21</f>
        <v>区域土地利用方向</v>
      </c>
      <c r="AA21" s="1485">
        <f t="shared" si="3"/>
        <v>1</v>
      </c>
      <c r="AB21" s="1485">
        <f t="shared" si="4"/>
        <v>1</v>
      </c>
      <c r="AC21" s="1485">
        <f t="shared" si="5"/>
        <v>1</v>
      </c>
    </row>
    <row r="22" spans="1:29" ht="15">
      <c r="A22" s="491"/>
      <c r="B22" s="571"/>
      <c r="C22" s="552" t="s">
        <v>3143</v>
      </c>
      <c r="D22" s="531"/>
      <c r="E22" s="532" t="s">
        <v>3143</v>
      </c>
      <c r="F22" s="533"/>
      <c r="G22" s="534" t="s">
        <v>3143</v>
      </c>
      <c r="H22" s="533"/>
      <c r="I22" s="534" t="s">
        <v>3143</v>
      </c>
      <c r="J22" s="533"/>
      <c r="K22" s="1275"/>
      <c r="L22" s="1995"/>
      <c r="M22" s="1987"/>
      <c r="N22" s="1987"/>
      <c r="O22" s="1994"/>
      <c r="P22" s="3817"/>
      <c r="Q22" s="1481"/>
      <c r="R22" s="1482"/>
      <c r="S22" s="1483"/>
      <c r="T22" s="1482"/>
      <c r="U22" s="1483"/>
      <c r="V22" s="1482"/>
      <c r="W22" s="1483"/>
      <c r="X22" s="1476"/>
      <c r="Y22" s="3817"/>
      <c r="Z22" s="1484"/>
      <c r="AA22" s="1485"/>
      <c r="AB22" s="1485"/>
      <c r="AC22" s="1485"/>
    </row>
    <row r="23" spans="1:29" ht="85.5">
      <c r="A23" s="491"/>
      <c r="B23" s="893" t="s">
        <v>577</v>
      </c>
      <c r="C23" s="843" t="str">
        <f>估价对象房地状况!G18</f>
        <v>区域自然环境：小众河；人文环境：国家新闻出版广电总局研修学院；综合评价环境状况一般</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817"/>
      <c r="Q23" s="1481" t="str">
        <f t="shared" si="8"/>
        <v>环境状况</v>
      </c>
      <c r="R23" s="1482" t="s">
        <v>8</v>
      </c>
      <c r="S23" s="1483">
        <f>F23</f>
        <v>100</v>
      </c>
      <c r="T23" s="1482" t="s">
        <v>8</v>
      </c>
      <c r="U23" s="1483">
        <f>H23</f>
        <v>100</v>
      </c>
      <c r="V23" s="1482" t="s">
        <v>8</v>
      </c>
      <c r="W23" s="1483">
        <f>J23</f>
        <v>100</v>
      </c>
      <c r="X23" s="1476"/>
      <c r="Y23" s="3817"/>
      <c r="Z23" s="1484" t="str">
        <f>Q23</f>
        <v>环境状况</v>
      </c>
      <c r="AA23" s="1485">
        <f t="shared" si="3"/>
        <v>1</v>
      </c>
      <c r="AB23" s="1485">
        <f t="shared" si="4"/>
        <v>1</v>
      </c>
      <c r="AC23" s="1485">
        <f t="shared" si="5"/>
        <v>1</v>
      </c>
    </row>
    <row r="24" spans="1:29" ht="15">
      <c r="A24" s="491"/>
      <c r="B24" s="571"/>
      <c r="C24" s="552" t="s">
        <v>3143</v>
      </c>
      <c r="D24" s="531"/>
      <c r="E24" s="530" t="s">
        <v>3143</v>
      </c>
      <c r="F24" s="531"/>
      <c r="G24" s="530" t="s">
        <v>3143</v>
      </c>
      <c r="H24" s="531"/>
      <c r="I24" s="552" t="s">
        <v>3143</v>
      </c>
      <c r="J24" s="531"/>
      <c r="K24" s="507"/>
      <c r="L24" s="1995"/>
      <c r="M24" s="1987"/>
      <c r="N24" s="1987"/>
      <c r="O24" s="1994"/>
      <c r="P24" s="3817"/>
      <c r="Q24" s="1481"/>
      <c r="R24" s="1482"/>
      <c r="S24" s="1483"/>
      <c r="T24" s="1482"/>
      <c r="U24" s="1483"/>
      <c r="V24" s="1482"/>
      <c r="W24" s="1483"/>
      <c r="X24" s="1476"/>
      <c r="Y24" s="3817"/>
      <c r="Z24" s="1484"/>
      <c r="AA24" s="1485">
        <v>1</v>
      </c>
      <c r="AB24" s="1485">
        <v>1</v>
      </c>
      <c r="AC24" s="1485">
        <v>1</v>
      </c>
    </row>
    <row r="25" spans="1:29" s="1185" customFormat="1" ht="42.75">
      <c r="A25" s="553"/>
      <c r="B25" s="2405" t="s">
        <v>2502</v>
      </c>
      <c r="C25" s="843" t="str">
        <f>估价对象房地状况!G19</f>
        <v>估价对象所在区域公共配套设施齐备情况一般</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817"/>
      <c r="Q25" s="1116" t="str">
        <f t="shared" si="8"/>
        <v>公共配套设施</v>
      </c>
      <c r="R25" s="1477" t="s">
        <v>8</v>
      </c>
      <c r="S25" s="1478">
        <f>F25</f>
        <v>100</v>
      </c>
      <c r="T25" s="1477" t="s">
        <v>8</v>
      </c>
      <c r="U25" s="1478">
        <f>H25</f>
        <v>100</v>
      </c>
      <c r="V25" s="1477" t="s">
        <v>8</v>
      </c>
      <c r="W25" s="1478">
        <f>J25</f>
        <v>100</v>
      </c>
      <c r="X25" s="1479"/>
      <c r="Y25" s="3817"/>
      <c r="Z25" s="1115" t="str">
        <f>Q25</f>
        <v>公共配套设施</v>
      </c>
      <c r="AA25" s="1485">
        <f>D25/F25</f>
        <v>1</v>
      </c>
      <c r="AB25" s="1485">
        <f>D25/H25</f>
        <v>1</v>
      </c>
      <c r="AC25" s="1485">
        <f>D25/J25</f>
        <v>1</v>
      </c>
    </row>
    <row r="26" spans="1:29" s="1185" customFormat="1" ht="15">
      <c r="A26" s="553"/>
      <c r="B26" s="571"/>
      <c r="C26" s="2404" t="s">
        <v>3143</v>
      </c>
      <c r="D26" s="531"/>
      <c r="E26" s="530" t="s">
        <v>3143</v>
      </c>
      <c r="F26" s="531"/>
      <c r="G26" s="530" t="s">
        <v>3143</v>
      </c>
      <c r="H26" s="531"/>
      <c r="I26" s="552" t="s">
        <v>3143</v>
      </c>
      <c r="J26" s="531"/>
      <c r="K26" s="507"/>
      <c r="L26" s="1988"/>
      <c r="M26" s="1989"/>
      <c r="N26" s="1989"/>
      <c r="O26" s="1990"/>
      <c r="P26" s="3817"/>
      <c r="Q26" s="1116"/>
      <c r="R26" s="1477"/>
      <c r="S26" s="1478"/>
      <c r="T26" s="1477"/>
      <c r="U26" s="1478"/>
      <c r="V26" s="1477"/>
      <c r="W26" s="1478"/>
      <c r="X26" s="1479"/>
      <c r="Y26" s="3817"/>
      <c r="Z26" s="1115"/>
      <c r="AA26" s="1480">
        <v>1</v>
      </c>
      <c r="AB26" s="1480">
        <v>1</v>
      </c>
      <c r="AC26" s="1480">
        <v>1</v>
      </c>
    </row>
    <row r="27" spans="1:29" s="1185" customFormat="1" ht="142.5">
      <c r="A27" s="553"/>
      <c r="B27" s="2405" t="s">
        <v>2503</v>
      </c>
      <c r="C27" s="843" t="str">
        <f>估价对象房地状况!G20</f>
        <v>估价对象所在区域内基础设施配套条件达到“五通”（包括通路、通电、通讯、通上水、通下水），基本能够保证工作、生产需要，基础设施配套完善度一般。</v>
      </c>
      <c r="D27" s="535">
        <v>100</v>
      </c>
      <c r="E27" s="538"/>
      <c r="F27" s="535">
        <f>SUMIF(95:95,E28,96:96)-SUMIF(95:95,C28,96:96)+100</f>
        <v>100</v>
      </c>
      <c r="G27" s="538"/>
      <c r="H27" s="535">
        <f>SUMIF(95:95,G28,96:96)-SUMIF(95:95,C28,96:96)+100</f>
        <v>100</v>
      </c>
      <c r="I27" s="540"/>
      <c r="J27" s="535">
        <f>SUMIF(95:95,I28,96:96)-SUMIF(95:95,C28,96:96)+100</f>
        <v>100</v>
      </c>
      <c r="K27" s="511">
        <v>0</v>
      </c>
      <c r="L27" s="1988"/>
      <c r="M27" s="1989"/>
      <c r="N27" s="1989"/>
      <c r="O27" s="1990"/>
      <c r="P27" s="3817"/>
      <c r="Q27" s="2396" t="str">
        <f t="shared" ref="Q27" si="9">B27</f>
        <v>基础设施水平</v>
      </c>
      <c r="R27" s="1477" t="s">
        <v>8</v>
      </c>
      <c r="S27" s="1478">
        <f>F27</f>
        <v>100</v>
      </c>
      <c r="T27" s="1477" t="s">
        <v>8</v>
      </c>
      <c r="U27" s="1478">
        <f>H27</f>
        <v>100</v>
      </c>
      <c r="V27" s="1477" t="s">
        <v>8</v>
      </c>
      <c r="W27" s="1478">
        <f>J27</f>
        <v>100</v>
      </c>
      <c r="X27" s="1479"/>
      <c r="Y27" s="3817"/>
      <c r="Z27" s="2395" t="str">
        <f>Q27</f>
        <v>基础设施水平</v>
      </c>
      <c r="AA27" s="1485">
        <f>D27/F27</f>
        <v>1</v>
      </c>
      <c r="AB27" s="1485">
        <f>D27/H27</f>
        <v>1</v>
      </c>
      <c r="AC27" s="1485">
        <f>D27/J27</f>
        <v>1</v>
      </c>
    </row>
    <row r="28" spans="1:29" s="1185" customFormat="1" ht="15">
      <c r="A28" s="553"/>
      <c r="B28" s="571"/>
      <c r="C28" s="2404" t="s">
        <v>3335</v>
      </c>
      <c r="D28" s="531"/>
      <c r="E28" s="555" t="s">
        <v>3335</v>
      </c>
      <c r="F28" s="531"/>
      <c r="G28" s="555" t="s">
        <v>3335</v>
      </c>
      <c r="H28" s="531"/>
      <c r="I28" s="555" t="s">
        <v>3335</v>
      </c>
      <c r="J28" s="531"/>
      <c r="K28" s="507"/>
      <c r="L28" s="1988"/>
      <c r="M28" s="1989"/>
      <c r="N28" s="1989"/>
      <c r="O28" s="1990"/>
      <c r="P28" s="3817"/>
      <c r="Q28" s="2396"/>
      <c r="R28" s="1477"/>
      <c r="S28" s="1478"/>
      <c r="T28" s="1477"/>
      <c r="U28" s="1478"/>
      <c r="V28" s="1477"/>
      <c r="W28" s="1478"/>
      <c r="X28" s="1479"/>
      <c r="Y28" s="3817"/>
      <c r="Z28" s="2395"/>
      <c r="AA28" s="1480">
        <v>1</v>
      </c>
      <c r="AB28" s="1480">
        <v>1</v>
      </c>
      <c r="AC28" s="1480">
        <v>1</v>
      </c>
    </row>
    <row r="29" spans="1:29" ht="15" hidden="1">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817"/>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817"/>
      <c r="Z29" s="1484" t="str">
        <f t="shared" ref="Z29:Z42" si="13">Q29</f>
        <v>临街状况</v>
      </c>
      <c r="AA29" s="1485">
        <f t="shared" si="3"/>
        <v>1</v>
      </c>
      <c r="AB29" s="1485">
        <f t="shared" si="4"/>
        <v>1</v>
      </c>
      <c r="AC29" s="1485">
        <f t="shared" si="5"/>
        <v>1</v>
      </c>
    </row>
    <row r="30" spans="1:29" ht="27" hidden="1">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817"/>
      <c r="Q30" s="1481" t="str">
        <f t="shared" si="8"/>
        <v>毗邻道路的类型与等级</v>
      </c>
      <c r="R30" s="1482" t="s">
        <v>8</v>
      </c>
      <c r="S30" s="1483">
        <f t="shared" si="10"/>
        <v>100</v>
      </c>
      <c r="T30" s="1482" t="s">
        <v>8</v>
      </c>
      <c r="U30" s="1483">
        <f t="shared" si="11"/>
        <v>100</v>
      </c>
      <c r="V30" s="1482" t="s">
        <v>8</v>
      </c>
      <c r="W30" s="1483">
        <f t="shared" si="12"/>
        <v>100</v>
      </c>
      <c r="X30" s="1476"/>
      <c r="Y30" s="3817"/>
      <c r="Z30" s="1484" t="str">
        <f t="shared" si="13"/>
        <v>毗邻道路的类型与等级</v>
      </c>
      <c r="AA30" s="1485">
        <f t="shared" si="3"/>
        <v>1</v>
      </c>
      <c r="AB30" s="1485">
        <f t="shared" si="4"/>
        <v>1</v>
      </c>
      <c r="AC30" s="1485">
        <f t="shared" si="5"/>
        <v>1</v>
      </c>
    </row>
    <row r="31" spans="1:29" ht="15" hidden="1">
      <c r="A31" s="508"/>
      <c r="B31" s="571"/>
      <c r="C31" s="552"/>
      <c r="D31" s="531"/>
      <c r="E31" s="552"/>
      <c r="F31" s="531"/>
      <c r="G31" s="552"/>
      <c r="H31" s="531"/>
      <c r="I31" s="552"/>
      <c r="J31" s="531"/>
      <c r="K31" s="557"/>
      <c r="L31" s="1995"/>
      <c r="M31" s="1987"/>
      <c r="N31" s="1987"/>
      <c r="O31" s="1994"/>
      <c r="P31" s="3817"/>
      <c r="Q31" s="1481"/>
      <c r="R31" s="1482"/>
      <c r="S31" s="1483"/>
      <c r="T31" s="1482"/>
      <c r="U31" s="1483"/>
      <c r="V31" s="1482"/>
      <c r="W31" s="1483"/>
      <c r="X31" s="1476"/>
      <c r="Y31" s="3817"/>
      <c r="Z31" s="1484"/>
      <c r="AA31" s="1485">
        <v>1</v>
      </c>
      <c r="AB31" s="1485">
        <v>1</v>
      </c>
      <c r="AC31" s="1485">
        <v>1</v>
      </c>
    </row>
    <row r="32" spans="1:29" ht="15.75" thickBot="1">
      <c r="A32" s="508"/>
      <c r="B32" s="503" t="s">
        <v>527</v>
      </c>
      <c r="C32" s="2408" t="str">
        <f>估价对象房地状况!G23</f>
        <v>八级</v>
      </c>
      <c r="D32" s="516">
        <v>100</v>
      </c>
      <c r="E32" s="556" t="s">
        <v>1386</v>
      </c>
      <c r="F32" s="516">
        <f>SUMIF(101:101,E32,102:102)-SUMIF(101:101,C32,102:102)+100</f>
        <v>105</v>
      </c>
      <c r="G32" s="556" t="s">
        <v>1390</v>
      </c>
      <c r="H32" s="516">
        <f>SUMIF(101:101,G32,102:102)-SUMIF(101:101,C32,102:102)+100</f>
        <v>95</v>
      </c>
      <c r="I32" s="556" t="s">
        <v>1390</v>
      </c>
      <c r="J32" s="516">
        <f>SUMIF(101:101,I32,102:102)-SUMIF(101:101,C32,102:102)+100</f>
        <v>95</v>
      </c>
      <c r="K32" s="560">
        <v>5</v>
      </c>
      <c r="L32" s="1995"/>
      <c r="M32" s="1987"/>
      <c r="N32" s="1987"/>
      <c r="O32" s="1994"/>
      <c r="P32" s="3817"/>
      <c r="Q32" s="1481" t="str">
        <f t="shared" si="8"/>
        <v>土地级别</v>
      </c>
      <c r="R32" s="1482" t="s">
        <v>8</v>
      </c>
      <c r="S32" s="1483">
        <f t="shared" si="10"/>
        <v>105</v>
      </c>
      <c r="T32" s="1482" t="s">
        <v>8</v>
      </c>
      <c r="U32" s="1483">
        <f t="shared" si="11"/>
        <v>95</v>
      </c>
      <c r="V32" s="1482" t="s">
        <v>8</v>
      </c>
      <c r="W32" s="1483">
        <f t="shared" si="12"/>
        <v>95</v>
      </c>
      <c r="X32" s="1476"/>
      <c r="Y32" s="3817"/>
      <c r="Z32" s="1484" t="str">
        <f t="shared" si="13"/>
        <v>土地级别</v>
      </c>
      <c r="AA32" s="1485">
        <f t="shared" si="3"/>
        <v>0.95238095238095233</v>
      </c>
      <c r="AB32" s="1485">
        <f t="shared" si="4"/>
        <v>1.0526315789473684</v>
      </c>
      <c r="AC32" s="1485">
        <f t="shared" si="5"/>
        <v>1.0526315789473684</v>
      </c>
    </row>
    <row r="33" spans="1:29" ht="15" hidden="1">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817"/>
      <c r="Q33" s="1481">
        <f t="shared" si="8"/>
        <v>111</v>
      </c>
      <c r="R33" s="1482" t="s">
        <v>8</v>
      </c>
      <c r="S33" s="1483">
        <f t="shared" si="10"/>
        <v>100</v>
      </c>
      <c r="T33" s="1482" t="s">
        <v>8</v>
      </c>
      <c r="U33" s="1483">
        <f t="shared" si="11"/>
        <v>100</v>
      </c>
      <c r="V33" s="1482" t="s">
        <v>8</v>
      </c>
      <c r="W33" s="1483">
        <f t="shared" si="12"/>
        <v>100</v>
      </c>
      <c r="X33" s="1476"/>
      <c r="Y33" s="3817"/>
      <c r="Z33" s="1484">
        <f t="shared" si="13"/>
        <v>111</v>
      </c>
      <c r="AA33" s="1485">
        <f t="shared" si="3"/>
        <v>1</v>
      </c>
      <c r="AB33" s="1485">
        <f t="shared" si="4"/>
        <v>1</v>
      </c>
      <c r="AC33" s="1485">
        <f t="shared" si="5"/>
        <v>1</v>
      </c>
    </row>
    <row r="34" spans="1:29" ht="15" hidden="1">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818" t="s">
        <v>528</v>
      </c>
      <c r="Q34" s="1481">
        <f t="shared" si="8"/>
        <v>111</v>
      </c>
      <c r="R34" s="1482" t="s">
        <v>8</v>
      </c>
      <c r="S34" s="1483">
        <f t="shared" si="10"/>
        <v>100</v>
      </c>
      <c r="T34" s="1482" t="s">
        <v>8</v>
      </c>
      <c r="U34" s="1483">
        <f t="shared" si="11"/>
        <v>100</v>
      </c>
      <c r="V34" s="1482" t="s">
        <v>8</v>
      </c>
      <c r="W34" s="1483">
        <f t="shared" si="12"/>
        <v>100</v>
      </c>
      <c r="X34" s="1476"/>
      <c r="Y34" s="3819" t="s">
        <v>528</v>
      </c>
      <c r="Z34" s="1484">
        <f t="shared" si="13"/>
        <v>111</v>
      </c>
      <c r="AA34" s="1485">
        <f t="shared" si="3"/>
        <v>1</v>
      </c>
      <c r="AB34" s="1485">
        <f t="shared" si="4"/>
        <v>1</v>
      </c>
      <c r="AC34" s="1485">
        <f t="shared" si="5"/>
        <v>1</v>
      </c>
    </row>
    <row r="35" spans="1:29" s="1267" customFormat="1" ht="15.75" hidden="1"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819"/>
      <c r="Q35" s="1481">
        <f t="shared" si="8"/>
        <v>111</v>
      </c>
      <c r="R35" s="1486" t="s">
        <v>8</v>
      </c>
      <c r="S35" s="1487">
        <f t="shared" si="10"/>
        <v>100</v>
      </c>
      <c r="T35" s="1486" t="s">
        <v>8</v>
      </c>
      <c r="U35" s="1487">
        <f t="shared" si="11"/>
        <v>100</v>
      </c>
      <c r="V35" s="1486" t="s">
        <v>8</v>
      </c>
      <c r="W35" s="1487">
        <f t="shared" si="12"/>
        <v>100</v>
      </c>
      <c r="X35" s="1488"/>
      <c r="Y35" s="3819"/>
      <c r="Z35" s="1489">
        <f t="shared" si="13"/>
        <v>111</v>
      </c>
      <c r="AA35" s="1485">
        <f t="shared" si="3"/>
        <v>1</v>
      </c>
      <c r="AB35" s="1485">
        <f t="shared" si="4"/>
        <v>1</v>
      </c>
      <c r="AC35" s="1485">
        <f t="shared" si="5"/>
        <v>1</v>
      </c>
    </row>
    <row r="36" spans="1:29" ht="15">
      <c r="A36" s="2592" t="s">
        <v>2708</v>
      </c>
      <c r="B36" s="571" t="s">
        <v>530</v>
      </c>
      <c r="C36" s="572">
        <f>'数据-基础表'!A3</f>
        <v>22121.8</v>
      </c>
      <c r="D36" s="573">
        <v>100</v>
      </c>
      <c r="E36" s="572">
        <f>土地案例!K24*10000</f>
        <v>742500</v>
      </c>
      <c r="F36" s="573">
        <f>LOOKUP(E36,110:110,111:111)-LOOKUP(C36,110:110,111:111)+100</f>
        <v>99</v>
      </c>
      <c r="G36" s="572">
        <f>土地案例!K29*10000</f>
        <v>1133200</v>
      </c>
      <c r="H36" s="573">
        <f>LOOKUP(G36,110:110,111:111)-LOOKUP(C36,110:110,111:111)+100</f>
        <v>98</v>
      </c>
      <c r="I36" s="574">
        <v>147600</v>
      </c>
      <c r="J36" s="573">
        <f>LOOKUP(I36,110:110,111:111)-LOOKUP(C36,110:110,111:111)+100</f>
        <v>100</v>
      </c>
      <c r="K36" s="557"/>
      <c r="L36" s="1995"/>
      <c r="M36" s="1987"/>
      <c r="N36" s="1987"/>
      <c r="O36" s="1994"/>
      <c r="P36" s="3819"/>
      <c r="Q36" s="1481" t="str">
        <f>B36</f>
        <v>宗地面积</v>
      </c>
      <c r="R36" s="1482" t="s">
        <v>8</v>
      </c>
      <c r="S36" s="1483">
        <f t="shared" si="10"/>
        <v>99</v>
      </c>
      <c r="T36" s="1482" t="s">
        <v>8</v>
      </c>
      <c r="U36" s="1483">
        <f t="shared" si="11"/>
        <v>98</v>
      </c>
      <c r="V36" s="1482" t="s">
        <v>8</v>
      </c>
      <c r="W36" s="1483">
        <f t="shared" si="12"/>
        <v>100</v>
      </c>
      <c r="X36" s="1476"/>
      <c r="Y36" s="3819"/>
      <c r="Z36" s="1484" t="str">
        <f t="shared" si="13"/>
        <v>宗地面积</v>
      </c>
      <c r="AA36" s="1485">
        <f t="shared" si="3"/>
        <v>1.0101010101010102</v>
      </c>
      <c r="AB36" s="1485">
        <f t="shared" si="4"/>
        <v>1.0204081632653061</v>
      </c>
      <c r="AC36" s="1485">
        <f t="shared" si="5"/>
        <v>1</v>
      </c>
    </row>
    <row r="37" spans="1:29" ht="15">
      <c r="A37" s="570"/>
      <c r="B37" s="503" t="s">
        <v>531</v>
      </c>
      <c r="C37" s="575" t="s">
        <v>3342</v>
      </c>
      <c r="D37" s="516">
        <v>100</v>
      </c>
      <c r="E37" s="575" t="s">
        <v>3342</v>
      </c>
      <c r="F37" s="516">
        <f>SUMIF(112:112,E37,113:113)-SUMIF(112:112,C37,113:113)+100</f>
        <v>100</v>
      </c>
      <c r="G37" s="575" t="s">
        <v>3342</v>
      </c>
      <c r="H37" s="516">
        <f>SUMIF(112:112,G37,113:113)-SUMIF(112:112,C37,113:113)+100</f>
        <v>100</v>
      </c>
      <c r="I37" s="575" t="s">
        <v>3342</v>
      </c>
      <c r="J37" s="516">
        <f>SUMIF(112:112,I37,113:113)-SUMIF(112:112,C37,113:113)+100</f>
        <v>100</v>
      </c>
      <c r="K37" s="560"/>
      <c r="L37" s="1995"/>
      <c r="M37" s="1987"/>
      <c r="N37" s="1987"/>
      <c r="O37" s="1994"/>
      <c r="P37" s="3819"/>
      <c r="Q37" s="1481" t="str">
        <f t="shared" ref="Q37:Q42" si="14">B37</f>
        <v>宗地形状</v>
      </c>
      <c r="R37" s="1482" t="s">
        <v>8</v>
      </c>
      <c r="S37" s="1483">
        <f t="shared" si="10"/>
        <v>100</v>
      </c>
      <c r="T37" s="1482" t="s">
        <v>8</v>
      </c>
      <c r="U37" s="1483">
        <f t="shared" si="11"/>
        <v>100</v>
      </c>
      <c r="V37" s="1482" t="s">
        <v>8</v>
      </c>
      <c r="W37" s="1483">
        <f t="shared" si="12"/>
        <v>100</v>
      </c>
      <c r="X37" s="1476"/>
      <c r="Y37" s="3819"/>
      <c r="Z37" s="1484" t="str">
        <f t="shared" si="13"/>
        <v>宗地形状</v>
      </c>
      <c r="AA37" s="1485">
        <f t="shared" si="3"/>
        <v>1</v>
      </c>
      <c r="AB37" s="1485">
        <f t="shared" si="4"/>
        <v>1</v>
      </c>
      <c r="AC37" s="1485">
        <f t="shared" si="5"/>
        <v>1</v>
      </c>
    </row>
    <row r="38" spans="1:29" s="1185" customFormat="1" ht="15">
      <c r="A38" s="576"/>
      <c r="B38" s="1782" t="s">
        <v>2386</v>
      </c>
      <c r="C38" s="577" t="s">
        <v>3335</v>
      </c>
      <c r="D38" s="253">
        <v>100</v>
      </c>
      <c r="E38" s="577" t="s">
        <v>3335</v>
      </c>
      <c r="F38" s="516">
        <f>SUMIF(114:114,E38,115:115)-SUMIF(114:114,C38,115:115)+100</f>
        <v>100</v>
      </c>
      <c r="G38" s="577" t="s">
        <v>3336</v>
      </c>
      <c r="H38" s="516">
        <f>SUMIF(114:114,G38,115:115)-SUMIF(114:114,C38,115:115)+100</f>
        <v>101</v>
      </c>
      <c r="I38" s="577" t="s">
        <v>3335</v>
      </c>
      <c r="J38" s="516">
        <f>SUMIF(114:114,I38,115:115)-SUMIF(114:114,C38,115:115)+100</f>
        <v>100</v>
      </c>
      <c r="K38" s="560">
        <v>1</v>
      </c>
      <c r="L38" s="1988"/>
      <c r="M38" s="1989"/>
      <c r="N38" s="1989"/>
      <c r="O38" s="1990"/>
      <c r="P38" s="3819"/>
      <c r="Q38" s="1481" t="str">
        <f t="shared" si="14"/>
        <v>宗地开发程度</v>
      </c>
      <c r="R38" s="1477" t="s">
        <v>8</v>
      </c>
      <c r="S38" s="1478">
        <f t="shared" si="10"/>
        <v>100</v>
      </c>
      <c r="T38" s="1477" t="s">
        <v>8</v>
      </c>
      <c r="U38" s="1478">
        <f t="shared" si="11"/>
        <v>101</v>
      </c>
      <c r="V38" s="1477" t="s">
        <v>8</v>
      </c>
      <c r="W38" s="1478">
        <f t="shared" si="12"/>
        <v>100</v>
      </c>
      <c r="X38" s="1479"/>
      <c r="Y38" s="3819"/>
      <c r="Z38" s="1115" t="str">
        <f t="shared" si="13"/>
        <v>宗地开发程度</v>
      </c>
      <c r="AA38" s="1480">
        <f t="shared" si="3"/>
        <v>1</v>
      </c>
      <c r="AB38" s="1480">
        <f t="shared" si="4"/>
        <v>0.99009900990099009</v>
      </c>
      <c r="AC38" s="1480">
        <f t="shared" si="5"/>
        <v>1</v>
      </c>
    </row>
    <row r="39" spans="1:29" ht="15.75" thickBot="1">
      <c r="A39" s="570"/>
      <c r="B39" s="503" t="s">
        <v>533</v>
      </c>
      <c r="C39" s="575" t="s">
        <v>3142</v>
      </c>
      <c r="D39" s="516">
        <v>100</v>
      </c>
      <c r="E39" s="575" t="s">
        <v>3142</v>
      </c>
      <c r="F39" s="516">
        <f>SUMIF(116:116,E39,117:117)-SUMIF(116:116,C39,117:117)+100</f>
        <v>100</v>
      </c>
      <c r="G39" s="575" t="s">
        <v>3142</v>
      </c>
      <c r="H39" s="516">
        <f>SUMIF(116:116,G39,117:117)-SUMIF(116:116,C39,117:117)+100</f>
        <v>100</v>
      </c>
      <c r="I39" s="575" t="s">
        <v>3142</v>
      </c>
      <c r="J39" s="516">
        <f>SUMIF(116:116,I39,117:117)-SUMIF(116:116,C39,117:117)+100</f>
        <v>100</v>
      </c>
      <c r="K39" s="560"/>
      <c r="L39" s="1995"/>
      <c r="M39" s="1987"/>
      <c r="N39" s="1987"/>
      <c r="O39" s="1994"/>
      <c r="P39" s="3819" t="s">
        <v>579</v>
      </c>
      <c r="Q39" s="1481" t="str">
        <f t="shared" si="14"/>
        <v>工程地质条件</v>
      </c>
      <c r="R39" s="1482" t="s">
        <v>8</v>
      </c>
      <c r="S39" s="1483">
        <f t="shared" si="10"/>
        <v>100</v>
      </c>
      <c r="T39" s="1482" t="s">
        <v>8</v>
      </c>
      <c r="U39" s="1483">
        <f t="shared" si="11"/>
        <v>100</v>
      </c>
      <c r="V39" s="1482" t="s">
        <v>8</v>
      </c>
      <c r="W39" s="1483">
        <f t="shared" si="12"/>
        <v>100</v>
      </c>
      <c r="X39" s="1476"/>
      <c r="Y39" s="3819" t="s">
        <v>579</v>
      </c>
      <c r="Z39" s="1484" t="str">
        <f t="shared" si="13"/>
        <v>工程地质条件</v>
      </c>
      <c r="AA39" s="1485">
        <f t="shared" si="3"/>
        <v>1</v>
      </c>
      <c r="AB39" s="1485">
        <f t="shared" si="4"/>
        <v>1</v>
      </c>
      <c r="AC39" s="1485">
        <f t="shared" si="5"/>
        <v>1</v>
      </c>
    </row>
    <row r="40" spans="1:29" ht="15" hidden="1">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819"/>
      <c r="Q40" s="1481">
        <f t="shared" si="14"/>
        <v>111</v>
      </c>
      <c r="R40" s="1482" t="s">
        <v>8</v>
      </c>
      <c r="S40" s="1483">
        <f t="shared" si="10"/>
        <v>100</v>
      </c>
      <c r="T40" s="1482" t="s">
        <v>8</v>
      </c>
      <c r="U40" s="1483">
        <f t="shared" si="11"/>
        <v>100</v>
      </c>
      <c r="V40" s="1482" t="s">
        <v>8</v>
      </c>
      <c r="W40" s="1483">
        <f t="shared" si="12"/>
        <v>100</v>
      </c>
      <c r="X40" s="1476"/>
      <c r="Y40" s="3819"/>
      <c r="Z40" s="1484">
        <f t="shared" si="13"/>
        <v>111</v>
      </c>
      <c r="AA40" s="1485">
        <f t="shared" si="3"/>
        <v>1</v>
      </c>
      <c r="AB40" s="1485">
        <f t="shared" si="4"/>
        <v>1</v>
      </c>
      <c r="AC40" s="1485">
        <f t="shared" si="5"/>
        <v>1</v>
      </c>
    </row>
    <row r="41" spans="1:29" ht="15" hidden="1">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819"/>
      <c r="Q41" s="1481">
        <f t="shared" si="14"/>
        <v>111</v>
      </c>
      <c r="R41" s="1482" t="s">
        <v>8</v>
      </c>
      <c r="S41" s="1483">
        <f t="shared" si="10"/>
        <v>100</v>
      </c>
      <c r="T41" s="1482" t="s">
        <v>8</v>
      </c>
      <c r="U41" s="1483">
        <f t="shared" si="11"/>
        <v>100</v>
      </c>
      <c r="V41" s="1482" t="s">
        <v>8</v>
      </c>
      <c r="W41" s="1483">
        <f t="shared" si="12"/>
        <v>100</v>
      </c>
      <c r="X41" s="1476"/>
      <c r="Y41" s="3819"/>
      <c r="Z41" s="1484">
        <f t="shared" si="13"/>
        <v>111</v>
      </c>
      <c r="AA41" s="1485">
        <f t="shared" si="3"/>
        <v>1</v>
      </c>
      <c r="AB41" s="1485">
        <f t="shared" si="4"/>
        <v>1</v>
      </c>
      <c r="AC41" s="1485">
        <f t="shared" si="5"/>
        <v>1</v>
      </c>
    </row>
    <row r="42" spans="1:29" s="1267" customFormat="1" ht="15.75" hidden="1"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819"/>
      <c r="Q42" s="1481">
        <f t="shared" si="14"/>
        <v>111</v>
      </c>
      <c r="R42" s="1486" t="s">
        <v>8</v>
      </c>
      <c r="S42" s="1487">
        <f t="shared" si="10"/>
        <v>100</v>
      </c>
      <c r="T42" s="1486" t="s">
        <v>8</v>
      </c>
      <c r="U42" s="1487">
        <f t="shared" si="11"/>
        <v>100</v>
      </c>
      <c r="V42" s="1486" t="s">
        <v>8</v>
      </c>
      <c r="W42" s="1487">
        <f t="shared" si="12"/>
        <v>100</v>
      </c>
      <c r="X42" s="1488"/>
      <c r="Y42" s="3819"/>
      <c r="Z42" s="1489">
        <f t="shared" si="13"/>
        <v>111</v>
      </c>
      <c r="AA42" s="1485">
        <f t="shared" si="3"/>
        <v>1</v>
      </c>
      <c r="AB42" s="1485">
        <f t="shared" si="4"/>
        <v>1</v>
      </c>
      <c r="AC42" s="1485">
        <f t="shared" si="5"/>
        <v>1</v>
      </c>
    </row>
    <row r="43" spans="1:29" ht="15">
      <c r="A43" s="583" t="s">
        <v>534</v>
      </c>
      <c r="B43" s="584" t="s">
        <v>2863</v>
      </c>
      <c r="C43" s="585" t="s">
        <v>1</v>
      </c>
      <c r="D43" s="586"/>
      <c r="E43" s="587">
        <f>土地案例!O24</f>
        <v>4110.07</v>
      </c>
      <c r="F43" s="588"/>
      <c r="G43" s="589">
        <f>土地案例!O29</f>
        <v>4086.36</v>
      </c>
      <c r="H43" s="590"/>
      <c r="I43" s="587">
        <v>4103.7</v>
      </c>
      <c r="J43" s="590"/>
      <c r="K43" s="1268"/>
      <c r="L43" s="1997"/>
      <c r="M43" s="1987"/>
      <c r="N43" s="1987"/>
      <c r="O43" s="1998"/>
      <c r="P43" s="3782" t="str">
        <f>A43</f>
        <v>成交单价</v>
      </c>
      <c r="Q43" s="3782"/>
      <c r="R43" s="3783">
        <f>E43</f>
        <v>4110.07</v>
      </c>
      <c r="S43" s="3783"/>
      <c r="T43" s="3783">
        <f>G43</f>
        <v>4086.36</v>
      </c>
      <c r="U43" s="3783"/>
      <c r="V43" s="3783">
        <f>I43</f>
        <v>4103.7</v>
      </c>
      <c r="W43" s="3783"/>
      <c r="X43" s="1471"/>
      <c r="Y43" s="1490"/>
      <c r="Z43" s="1471"/>
      <c r="AA43" s="1471"/>
      <c r="AB43" s="1471"/>
      <c r="AC43" s="1471"/>
    </row>
    <row r="44" spans="1:29" ht="15.75" thickBot="1">
      <c r="A44" s="591" t="s">
        <v>2646</v>
      </c>
      <c r="B44" s="592"/>
      <c r="C44" s="593">
        <f>R45</f>
        <v>4528</v>
      </c>
      <c r="D44" s="2980" t="s">
        <v>2928</v>
      </c>
      <c r="E44" s="593">
        <f>R44</f>
        <v>4134</v>
      </c>
      <c r="F44" s="2981"/>
      <c r="G44" s="594">
        <f>T44</f>
        <v>4729</v>
      </c>
      <c r="H44" s="2981"/>
      <c r="I44" s="593">
        <f>V44</f>
        <v>4720</v>
      </c>
      <c r="J44" s="2981"/>
      <c r="K44" s="2982">
        <f>F44+H44+J44</f>
        <v>0</v>
      </c>
      <c r="L44" s="1997"/>
      <c r="M44" s="1987"/>
      <c r="N44" s="1987"/>
      <c r="O44" s="1998"/>
      <c r="P44" s="3782" t="str">
        <f>A44</f>
        <v>比较价格（元/平方米）</v>
      </c>
      <c r="Q44" s="3782"/>
      <c r="R44" s="3784">
        <f>ROUND(PRODUCT(R43,AA9:AA42),0)</f>
        <v>4134</v>
      </c>
      <c r="S44" s="3784"/>
      <c r="T44" s="3784">
        <f>ROUND(PRODUCT(T43,AB9:AB42),0)</f>
        <v>4729</v>
      </c>
      <c r="U44" s="3784"/>
      <c r="V44" s="3784">
        <f>ROUND(PRODUCT(V43,AC9:AC42),0)</f>
        <v>4720</v>
      </c>
      <c r="W44" s="3784"/>
      <c r="X44" s="1471"/>
      <c r="Y44" s="1471"/>
      <c r="Z44" s="1471"/>
      <c r="AA44" s="1471"/>
      <c r="AB44" s="1471"/>
      <c r="AC44" s="1471"/>
    </row>
    <row r="45" spans="1:29" ht="15.75" thickBot="1">
      <c r="A45" s="595" t="s">
        <v>2864</v>
      </c>
      <c r="B45" s="596"/>
      <c r="C45" s="597">
        <f>R45</f>
        <v>4528</v>
      </c>
      <c r="D45" s="597"/>
      <c r="E45" s="597"/>
      <c r="F45" s="597"/>
      <c r="G45" s="597"/>
      <c r="H45" s="597"/>
      <c r="I45" s="597"/>
      <c r="J45" s="597"/>
      <c r="K45" s="1269"/>
      <c r="L45" s="1997"/>
      <c r="M45" s="1987"/>
      <c r="N45" s="1987"/>
      <c r="O45" s="1998"/>
      <c r="P45" s="3779" t="str">
        <f>A45</f>
        <v>估价对象XX用房的比较价格（楼面单价，元/平方米）</v>
      </c>
      <c r="Q45" s="3780"/>
      <c r="R45" s="3838">
        <f>ROUND(IF(D44="简单平均",AVERAGE(R44:W44),R44*F44+T44*H44+V44*J44),0)</f>
        <v>4528</v>
      </c>
      <c r="S45" s="3838"/>
      <c r="T45" s="3838"/>
      <c r="U45" s="3838"/>
      <c r="V45" s="3838"/>
      <c r="W45" s="3838"/>
      <c r="X45" s="1471"/>
      <c r="Y45" s="1471"/>
      <c r="Z45" s="1471"/>
      <c r="AA45" s="1471"/>
      <c r="AB45" s="1471"/>
      <c r="AC45" s="1471"/>
    </row>
    <row r="46" spans="1:29">
      <c r="A46" s="3173"/>
      <c r="B46" s="3173"/>
      <c r="C46" s="3173"/>
      <c r="D46" s="3173"/>
      <c r="E46" s="3173"/>
      <c r="F46" s="3173"/>
      <c r="G46" s="3175"/>
      <c r="H46" s="3173"/>
      <c r="I46" s="3173"/>
      <c r="J46" s="3173"/>
      <c r="K46" s="3176"/>
      <c r="L46" s="2002"/>
      <c r="M46" s="1987"/>
      <c r="N46" s="1987"/>
      <c r="O46" s="1998"/>
      <c r="P46" s="1998"/>
      <c r="Q46" s="1998"/>
      <c r="R46" s="1998"/>
      <c r="S46" s="1998"/>
      <c r="T46" s="1998"/>
      <c r="U46" s="1998"/>
      <c r="V46" s="1998"/>
      <c r="W46" s="1998"/>
      <c r="X46" s="1998"/>
      <c r="Y46" s="1998"/>
      <c r="Z46" s="1998"/>
      <c r="AA46" s="1998"/>
      <c r="AB46" s="1998"/>
      <c r="AC46" s="1998"/>
    </row>
    <row r="47" spans="1:29">
      <c r="A47" s="3173"/>
      <c r="B47" s="3173"/>
      <c r="C47" s="3173"/>
      <c r="D47" s="3173"/>
      <c r="E47" s="3173"/>
      <c r="F47" s="3173"/>
      <c r="G47" s="3173"/>
      <c r="H47" s="3173"/>
      <c r="I47" s="3173"/>
      <c r="J47" s="3173"/>
      <c r="K47" s="3176"/>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3"/>
      <c r="B48" s="3173"/>
      <c r="C48" s="598" t="s">
        <v>535</v>
      </c>
      <c r="D48" s="599"/>
      <c r="E48" s="600">
        <f>IF(E43&lt;E44,E44/E43-1,E43/E44-1)</f>
        <v>5.8222852652145551E-3</v>
      </c>
      <c r="F48" s="601" t="str">
        <f>IF(OR(E48&gt;=0.3,E48&lt;=-0.3),"超过30%","")</f>
        <v/>
      </c>
      <c r="G48" s="600">
        <f>IF(G43&lt;G44,G44/G43-1,G43/G44-1)</f>
        <v>0.15726465607533346</v>
      </c>
      <c r="H48" s="601" t="str">
        <f>IF(OR(G48&gt;=0.3,G48&lt;=-0.3),"超过30%","")</f>
        <v/>
      </c>
      <c r="I48" s="600">
        <f>IF(I43&lt;I44,I44/I43-1,I43/I44-1)</f>
        <v>0.15018154348514767</v>
      </c>
      <c r="J48" s="601" t="str">
        <f>IF(OR(I48&gt;=0.3,I48&lt;=-0.3),"超过30%","")</f>
        <v/>
      </c>
      <c r="K48" s="3176"/>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3"/>
      <c r="B49" s="3173"/>
      <c r="C49" s="598" t="s">
        <v>536</v>
      </c>
      <c r="D49" s="602"/>
      <c r="E49" s="600">
        <f>IF(E44&lt;G44,G44/E44-1,E44/G44-1)</f>
        <v>0.14392839864537987</v>
      </c>
      <c r="F49" s="601" t="str">
        <f>IF(OR(E49&gt;=0.2,E49&lt;=-0.2),"超过20%","")</f>
        <v/>
      </c>
      <c r="G49" s="600">
        <f>IF(G44&lt;I44,I44/G44-1,G44/I44-1)</f>
        <v>1.906779661017044E-3</v>
      </c>
      <c r="H49" s="601" t="str">
        <f>IF(OR(G49&gt;=0.2,G49&lt;=-0.2),"超过20%","")</f>
        <v/>
      </c>
      <c r="I49" s="600">
        <f>IF(I44&lt;E44,E44/I44-1,I44/E44-1)</f>
        <v>0.14175133043057575</v>
      </c>
      <c r="J49" s="601" t="str">
        <f>IF(OR(I49&gt;=0.2,I49&lt;=-0.2),"超过20%","")</f>
        <v/>
      </c>
      <c r="K49" s="3176"/>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74"/>
      <c r="B50" s="3174"/>
      <c r="C50" s="598" t="s">
        <v>537</v>
      </c>
      <c r="D50" s="602"/>
      <c r="E50" s="600">
        <f>IF(E43&lt;G43,G43/E43-1,E43/G43-1)</f>
        <v>5.8022298573789932E-3</v>
      </c>
      <c r="F50" s="601" t="str">
        <f>IF(OR(E50&gt;=0.3,E50&lt;=-0.3),"超过30%","")</f>
        <v/>
      </c>
      <c r="G50" s="600">
        <f>IF(G43&lt;I43,I43/G43-1,G43/I43-1)</f>
        <v>4.2433853111325526E-3</v>
      </c>
      <c r="H50" s="601" t="str">
        <f>IF(OR(G50&gt;=0.3,G50&lt;=-0.3),"超过30%","")</f>
        <v/>
      </c>
      <c r="I50" s="600">
        <f>IF(I43&lt;E43,E43/I43-1,I43/E43-1)</f>
        <v>1.552257718644201E-3</v>
      </c>
      <c r="J50" s="601" t="str">
        <f>IF(OR(I50&gt;=0.3,I50&lt;=-0.3),"超过30%","")</f>
        <v/>
      </c>
      <c r="K50" s="3177"/>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74"/>
      <c r="B51" s="3185"/>
      <c r="C51" s="2003"/>
      <c r="D51" s="1999"/>
      <c r="E51" s="1999"/>
      <c r="F51" s="1999"/>
      <c r="G51" s="1999"/>
      <c r="H51" s="1999"/>
      <c r="I51" s="1999"/>
      <c r="J51" s="1999"/>
      <c r="K51" s="3177"/>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538</v>
      </c>
      <c r="B52" s="604" t="s">
        <v>539</v>
      </c>
      <c r="C52" s="1472" t="s">
        <v>1699</v>
      </c>
      <c r="D52" s="2078" t="s">
        <v>2258</v>
      </c>
      <c r="E52" s="605" t="s">
        <v>540</v>
      </c>
      <c r="F52" s="1838" t="s">
        <v>541</v>
      </c>
      <c r="G52" s="3833" t="s">
        <v>2250</v>
      </c>
      <c r="H52" s="3834"/>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542</v>
      </c>
      <c r="B53" s="608">
        <f>C45</f>
        <v>4528</v>
      </c>
      <c r="C53" s="609">
        <v>1</v>
      </c>
      <c r="D53" s="2079">
        <v>1</v>
      </c>
      <c r="E53" s="609">
        <f>'数据-汇总表'!E8+'数据-汇总表'!E9</f>
        <v>22121.8</v>
      </c>
      <c r="F53" s="1837">
        <f t="shared" ref="F53:F62" si="15">ROUND(B53*E53/10000,0)</f>
        <v>10017</v>
      </c>
      <c r="G53" s="3835"/>
      <c r="H53" s="3836"/>
      <c r="I53" s="1840">
        <v>1</v>
      </c>
      <c r="J53" s="1469">
        <v>1</v>
      </c>
      <c r="K53" s="3178"/>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543</v>
      </c>
      <c r="B54" s="612">
        <f>ROUND($C$45*C54*D54,0)</f>
        <v>679</v>
      </c>
      <c r="C54" s="372">
        <f t="shared" ref="C54:C62" si="16">IF($C$52="北京市系数",I54,J54)</f>
        <v>0.6</v>
      </c>
      <c r="D54" s="2080">
        <v>0.25</v>
      </c>
      <c r="E54" s="613"/>
      <c r="F54" s="1837">
        <f t="shared" si="15"/>
        <v>0</v>
      </c>
      <c r="G54" s="3837" t="s">
        <v>2251</v>
      </c>
      <c r="H54" s="1841" t="str">
        <f>项目基本情况!B43</f>
        <v>八级</v>
      </c>
      <c r="I54" s="1840">
        <f>SUMIF(修正!$A$45:$A$56,H54,修正!B45:B56)</f>
        <v>0.6</v>
      </c>
      <c r="J54" s="1470"/>
      <c r="K54" s="3178"/>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544</v>
      </c>
      <c r="B55" s="612">
        <f t="shared" ref="B55:B62" si="17">ROUND($C$45*C55*D55,0)</f>
        <v>340</v>
      </c>
      <c r="C55" s="372">
        <f t="shared" si="16"/>
        <v>0.3</v>
      </c>
      <c r="D55" s="2080">
        <v>0.25</v>
      </c>
      <c r="E55" s="613"/>
      <c r="F55" s="1837">
        <f t="shared" si="15"/>
        <v>0</v>
      </c>
      <c r="G55" s="3837"/>
      <c r="H55" s="1842" t="str">
        <f>项目基本情况!B43</f>
        <v>八级</v>
      </c>
      <c r="I55" s="1840">
        <f>SUMIF(修正!$A$45:$A$56,H55,修正!C45:C56)</f>
        <v>0.3</v>
      </c>
      <c r="J55" s="1470"/>
      <c r="K55" s="3178"/>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545</v>
      </c>
      <c r="B56" s="612">
        <f t="shared" si="17"/>
        <v>226</v>
      </c>
      <c r="C56" s="372">
        <f t="shared" si="16"/>
        <v>0.2</v>
      </c>
      <c r="D56" s="2080">
        <v>0.25</v>
      </c>
      <c r="E56" s="613"/>
      <c r="F56" s="1837">
        <f t="shared" si="15"/>
        <v>0</v>
      </c>
      <c r="G56" s="3837"/>
      <c r="H56" s="1842" t="str">
        <f>项目基本情况!B43</f>
        <v>八级</v>
      </c>
      <c r="I56" s="1840">
        <f>SUMIF(修正!$A$45:$A$56,H56,修正!D45:D56)</f>
        <v>0.2</v>
      </c>
      <c r="J56" s="1470"/>
      <c r="K56" s="3178"/>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546</v>
      </c>
      <c r="B57" s="612">
        <f t="shared" si="17"/>
        <v>226</v>
      </c>
      <c r="C57" s="372">
        <f t="shared" si="16"/>
        <v>0.2</v>
      </c>
      <c r="D57" s="2080">
        <v>0.25</v>
      </c>
      <c r="E57" s="613"/>
      <c r="F57" s="1837">
        <f t="shared" si="15"/>
        <v>0</v>
      </c>
      <c r="G57" s="3837"/>
      <c r="H57" s="1842" t="str">
        <f>项目基本情况!B43</f>
        <v>八级</v>
      </c>
      <c r="I57" s="1840">
        <f>SUMIF(修正!$A$45:$A$56,H57,修正!E45:E56)</f>
        <v>0.2</v>
      </c>
      <c r="J57" s="1470"/>
      <c r="K57" s="3178"/>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2293</v>
      </c>
      <c r="B58" s="612">
        <f t="shared" si="17"/>
        <v>0</v>
      </c>
      <c r="C58" s="372">
        <f t="shared" si="16"/>
        <v>0</v>
      </c>
      <c r="D58" s="2080">
        <v>0.25</v>
      </c>
      <c r="E58" s="615">
        <f>'数据-汇总表'!E11</f>
        <v>0</v>
      </c>
      <c r="F58" s="1837">
        <f t="shared" si="15"/>
        <v>0</v>
      </c>
      <c r="G58" s="1843" t="s">
        <v>2252</v>
      </c>
      <c r="H58" s="1842">
        <f>项目基本情况!C43</f>
        <v>0</v>
      </c>
      <c r="I58" s="1840">
        <f>SUMIF(修正!$A$45:$A$56,H58,修正!F45:F56)</f>
        <v>0</v>
      </c>
      <c r="J58" s="1470"/>
      <c r="K58" s="3178"/>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547</v>
      </c>
      <c r="B59" s="612">
        <f t="shared" si="17"/>
        <v>0</v>
      </c>
      <c r="C59" s="372">
        <f t="shared" si="16"/>
        <v>0</v>
      </c>
      <c r="D59" s="2080">
        <v>0.25</v>
      </c>
      <c r="E59" s="615">
        <f>'数据-汇总表'!E12</f>
        <v>0</v>
      </c>
      <c r="F59" s="1837">
        <f t="shared" si="15"/>
        <v>0</v>
      </c>
      <c r="G59" s="1833" t="s">
        <v>1652</v>
      </c>
      <c r="H59" s="1841">
        <f>IF(G59="商业",项目基本情况!B43,IF(G59="办公",项目基本情况!C43,IF(G59="住宅",项目基本情况!D43,项目基本情况!E43)))</f>
        <v>0</v>
      </c>
      <c r="I59" s="1840">
        <f>SUMIF(修正!$A$45:$A$56,H59,修正!G45:G56)</f>
        <v>0</v>
      </c>
      <c r="J59" s="1470"/>
      <c r="K59" s="3178"/>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548</v>
      </c>
      <c r="B60" s="612">
        <f t="shared" si="17"/>
        <v>0</v>
      </c>
      <c r="C60" s="372">
        <f t="shared" si="16"/>
        <v>0</v>
      </c>
      <c r="D60" s="2080">
        <v>0.25</v>
      </c>
      <c r="E60" s="615">
        <f>'数据-汇总表'!E13</f>
        <v>0</v>
      </c>
      <c r="F60" s="1837">
        <f t="shared" si="15"/>
        <v>0</v>
      </c>
      <c r="G60" s="1833" t="s">
        <v>898</v>
      </c>
      <c r="H60" s="1841">
        <f>IF(G60="商业",项目基本情况!B43,IF(G60="办公",项目基本情况!C43,IF(G60="住宅",项目基本情况!D43,项目基本情况!E43)))</f>
        <v>0</v>
      </c>
      <c r="I60" s="1840">
        <f>SUMIF(修正!$A$45:$A$56,H60,修正!H45:H56)</f>
        <v>0</v>
      </c>
      <c r="J60" s="1470"/>
      <c r="K60" s="3178"/>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549</v>
      </c>
      <c r="B61" s="612">
        <f t="shared" si="17"/>
        <v>170</v>
      </c>
      <c r="C61" s="372">
        <f t="shared" si="16"/>
        <v>0.15</v>
      </c>
      <c r="D61" s="2080">
        <v>0.25</v>
      </c>
      <c r="E61" s="615">
        <f>'数据-汇总表'!E14</f>
        <v>0</v>
      </c>
      <c r="F61" s="1837">
        <f t="shared" si="15"/>
        <v>0</v>
      </c>
      <c r="G61" s="1843" t="s">
        <v>2251</v>
      </c>
      <c r="H61" s="1842" t="str">
        <f>项目基本情况!B43</f>
        <v>八级</v>
      </c>
      <c r="I61" s="1840">
        <f>SUMIF(修正!$A$45:$A$56,H61,修正!H45:H56)</f>
        <v>0.15</v>
      </c>
      <c r="J61" s="1470"/>
      <c r="K61" s="3178"/>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f t="shared" si="17"/>
        <v>0</v>
      </c>
      <c r="C62" s="372">
        <f t="shared" si="16"/>
        <v>0</v>
      </c>
      <c r="D62" s="2080">
        <v>0.25</v>
      </c>
      <c r="E62" s="615">
        <f>'数据-汇总表'!E15</f>
        <v>0</v>
      </c>
      <c r="F62" s="1837">
        <f t="shared" si="15"/>
        <v>0</v>
      </c>
      <c r="G62" s="1844" t="s">
        <v>2252</v>
      </c>
      <c r="H62" s="1845">
        <f>项目基本情况!C43</f>
        <v>0</v>
      </c>
      <c r="I62" s="1840">
        <f>SUMIF(修正!$A$45:$A$56,H62,修正!H45:H56)</f>
        <v>0</v>
      </c>
      <c r="J62" s="1470"/>
      <c r="K62" s="3178"/>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551</v>
      </c>
      <c r="B63" s="617" t="s">
        <v>17</v>
      </c>
      <c r="C63" s="617" t="s">
        <v>18</v>
      </c>
      <c r="D63" s="617" t="s">
        <v>2259</v>
      </c>
      <c r="E63" s="617">
        <f>IF(B43="楼面地价",SUM(E53:E62),'数据-汇总表'!D3)</f>
        <v>22121.8</v>
      </c>
      <c r="F63" s="618">
        <f>IF(B43="楼面地价",SUM(F53:F62),ROUND(C45*E63/10000,0))</f>
        <v>10017</v>
      </c>
      <c r="G63" s="2008"/>
      <c r="H63" s="2008"/>
      <c r="I63" s="2008"/>
      <c r="J63" s="2008"/>
      <c r="K63" s="3186"/>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2022-2-1</v>
      </c>
      <c r="D65" s="2484">
        <f>EDATE(C65,-3)</f>
        <v>44501</v>
      </c>
      <c r="E65" s="2484">
        <f t="shared" ref="E65:N65" si="18">EDATE(D65,-3)</f>
        <v>44409</v>
      </c>
      <c r="F65" s="2484">
        <f t="shared" si="18"/>
        <v>44317</v>
      </c>
      <c r="G65" s="2484">
        <f t="shared" si="18"/>
        <v>44228</v>
      </c>
      <c r="H65" s="2484">
        <f t="shared" si="18"/>
        <v>44136</v>
      </c>
      <c r="I65" s="2484">
        <f t="shared" si="18"/>
        <v>44044</v>
      </c>
      <c r="J65" s="2484">
        <f t="shared" si="18"/>
        <v>43952</v>
      </c>
      <c r="K65" s="2484">
        <f t="shared" si="18"/>
        <v>43862</v>
      </c>
      <c r="L65" s="2484">
        <f t="shared" si="18"/>
        <v>43770</v>
      </c>
      <c r="M65" s="2484">
        <f t="shared" si="18"/>
        <v>43678</v>
      </c>
      <c r="N65" s="2484">
        <f t="shared" si="18"/>
        <v>43586</v>
      </c>
      <c r="O65" s="1998"/>
      <c r="P65" s="1998"/>
      <c r="Q65" s="1998"/>
      <c r="R65" s="1998"/>
      <c r="S65" s="1998"/>
      <c r="T65" s="1998"/>
      <c r="U65" s="1998"/>
      <c r="V65" s="1998"/>
      <c r="W65" s="1998"/>
      <c r="X65" s="1998"/>
      <c r="Y65" s="1998"/>
      <c r="Z65" s="1998"/>
      <c r="AA65" s="1998"/>
      <c r="AB65" s="1998"/>
      <c r="AC65" s="1998"/>
    </row>
    <row r="66" spans="1:29" ht="21.7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2487</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t="s">
        <v>3345</v>
      </c>
      <c r="P67" s="2012" t="s">
        <v>3346</v>
      </c>
      <c r="Q67" s="2013" t="s">
        <v>3347</v>
      </c>
      <c r="R67" s="2013" t="s">
        <v>3348</v>
      </c>
      <c r="S67" s="2013" t="s">
        <v>3349</v>
      </c>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"北京市平均增长率"&amp;TEXT(基准地价!P24,"0.00%")</f>
        <v>北京市平均增长率1.18%</v>
      </c>
      <c r="C68" s="865">
        <v>100</v>
      </c>
      <c r="D68" s="704"/>
      <c r="E68" s="704"/>
      <c r="F68" s="704"/>
      <c r="G68" s="704"/>
      <c r="H68" s="704"/>
      <c r="I68" s="704"/>
      <c r="J68" s="704"/>
      <c r="K68" s="704"/>
      <c r="L68" s="704"/>
      <c r="M68" s="2479"/>
      <c r="N68" s="2480"/>
      <c r="O68" s="2014"/>
      <c r="P68" s="2010">
        <f>土地案例!J137</f>
        <v>98.7</v>
      </c>
      <c r="Q68" s="1877">
        <f>土地案例!J138</f>
        <v>98.3</v>
      </c>
      <c r="R68" s="1877">
        <f>土地案例!J139</f>
        <v>97.6</v>
      </c>
      <c r="S68" s="1877">
        <f>土地案例!J140</f>
        <v>98</v>
      </c>
      <c r="T68" s="1877"/>
      <c r="U68" s="1877"/>
      <c r="V68" s="1877"/>
      <c r="W68" s="1877"/>
      <c r="X68" s="1877"/>
      <c r="Y68" s="1877"/>
      <c r="Z68" s="1877"/>
      <c r="AA68" s="1877"/>
      <c r="AB68" s="1877"/>
      <c r="AC68" s="1877"/>
    </row>
    <row r="69" spans="1:29" s="1185" customFormat="1" ht="15.7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87"/>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87"/>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88"/>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89"/>
      <c r="O73" s="2018"/>
      <c r="P73" s="2017"/>
      <c r="Q73" s="2010"/>
      <c r="R73" s="1998"/>
      <c r="S73" s="1998"/>
      <c r="T73" s="1998"/>
      <c r="U73" s="1998"/>
      <c r="V73" s="1998"/>
      <c r="W73" s="1998"/>
      <c r="X73" s="1998"/>
      <c r="Y73" s="1998"/>
      <c r="Z73" s="1998"/>
      <c r="AA73" s="1998"/>
      <c r="AB73" s="1998"/>
      <c r="AC73" s="1998"/>
    </row>
    <row r="74" spans="1:29" ht="27.75" thickTop="1">
      <c r="A74" s="643"/>
      <c r="B74" s="647" t="s">
        <v>515</v>
      </c>
      <c r="C74" s="648"/>
      <c r="D74" s="648"/>
      <c r="E74" s="648"/>
      <c r="F74" s="648"/>
      <c r="G74" s="648"/>
      <c r="H74" s="648"/>
      <c r="I74" s="648"/>
      <c r="J74" s="648"/>
      <c r="K74" s="649"/>
      <c r="L74" s="650"/>
      <c r="M74" s="651"/>
      <c r="N74" s="3188"/>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89"/>
      <c r="O75" s="2018"/>
      <c r="P75" s="2017"/>
      <c r="Q75" s="2010"/>
      <c r="R75" s="1998"/>
      <c r="S75" s="1998"/>
      <c r="T75" s="1998"/>
      <c r="U75" s="1998"/>
      <c r="V75" s="1998"/>
      <c r="W75" s="1998"/>
      <c r="X75" s="1998"/>
      <c r="Y75" s="1998"/>
      <c r="Z75" s="1998"/>
      <c r="AA75" s="1998"/>
      <c r="AB75" s="1998"/>
      <c r="AC75" s="1998"/>
    </row>
    <row r="76" spans="1:29" ht="15.75" thickTop="1">
      <c r="A76" s="643"/>
      <c r="B76" s="655" t="s">
        <v>516</v>
      </c>
      <c r="C76" s="656" t="str">
        <f>C77&amp;"（含）"&amp;"-"&amp;D77</f>
        <v>1（含）-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89"/>
      <c r="O76" s="2018"/>
      <c r="P76" s="2017"/>
      <c r="Q76" s="2010"/>
      <c r="R76" s="1998"/>
      <c r="S76" s="1998"/>
      <c r="T76" s="1998"/>
      <c r="U76" s="1998"/>
      <c r="V76" s="1998"/>
      <c r="W76" s="1998"/>
      <c r="X76" s="1998"/>
      <c r="Y76" s="1998"/>
      <c r="Z76" s="1998"/>
      <c r="AA76" s="1998"/>
      <c r="AB76" s="1998"/>
      <c r="AC76" s="1998"/>
    </row>
    <row r="77" spans="1:29" ht="15">
      <c r="A77" s="643"/>
      <c r="B77" s="657"/>
      <c r="C77" s="517">
        <v>1</v>
      </c>
      <c r="D77" s="517"/>
      <c r="E77" s="517"/>
      <c r="F77" s="517"/>
      <c r="G77" s="517"/>
      <c r="H77" s="517"/>
      <c r="I77" s="517"/>
      <c r="J77" s="517"/>
      <c r="K77" s="658"/>
      <c r="L77" s="659"/>
      <c r="M77" s="660"/>
      <c r="N77" s="3188"/>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89"/>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0"/>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89"/>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0"/>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0"/>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0"/>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0"/>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88"/>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98</v>
      </c>
      <c r="E86" s="653">
        <f>D86-$K17</f>
        <v>96</v>
      </c>
      <c r="F86" s="653">
        <f>E86-$K17</f>
        <v>94</v>
      </c>
      <c r="G86" s="653">
        <f>F86-$K17</f>
        <v>92</v>
      </c>
      <c r="H86" s="653"/>
      <c r="I86" s="653"/>
      <c r="J86" s="653"/>
      <c r="K86" s="653"/>
      <c r="L86" s="653"/>
      <c r="M86" s="654"/>
      <c r="N86" s="3189"/>
      <c r="O86" s="2018"/>
      <c r="P86" s="2017"/>
      <c r="Q86" s="2010"/>
      <c r="R86" s="1998"/>
      <c r="S86" s="1998"/>
      <c r="T86" s="1998"/>
      <c r="U86" s="1998"/>
      <c r="V86" s="1998"/>
      <c r="W86" s="1998"/>
      <c r="X86" s="1998"/>
      <c r="Y86" s="1998"/>
      <c r="Z86" s="1998"/>
      <c r="AA86" s="1998"/>
      <c r="AB86" s="1998"/>
      <c r="AC86" s="1998"/>
    </row>
    <row r="87" spans="1:29" ht="15.75" thickTop="1">
      <c r="A87" s="643"/>
      <c r="B87" s="647" t="s">
        <v>564</v>
      </c>
      <c r="C87" s="682" t="s">
        <v>557</v>
      </c>
      <c r="D87" s="682" t="s">
        <v>558</v>
      </c>
      <c r="E87" s="682" t="s">
        <v>559</v>
      </c>
      <c r="F87" s="682" t="s">
        <v>560</v>
      </c>
      <c r="G87" s="682" t="s">
        <v>561</v>
      </c>
      <c r="H87" s="648"/>
      <c r="I87" s="648"/>
      <c r="J87" s="648"/>
      <c r="K87" s="649"/>
      <c r="L87" s="650"/>
      <c r="M87" s="651"/>
      <c r="N87" s="3188"/>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95</v>
      </c>
      <c r="E88" s="653">
        <f>D88-$K19</f>
        <v>90</v>
      </c>
      <c r="F88" s="653">
        <f>E88-$K19</f>
        <v>85</v>
      </c>
      <c r="G88" s="653">
        <f>F88-$K19</f>
        <v>80</v>
      </c>
      <c r="H88" s="653"/>
      <c r="I88" s="653"/>
      <c r="J88" s="653"/>
      <c r="K88" s="653"/>
      <c r="L88" s="653"/>
      <c r="M88" s="654"/>
      <c r="N88" s="3189"/>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87"/>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89"/>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87"/>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89"/>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2502</v>
      </c>
      <c r="C93" s="677" t="s">
        <v>557</v>
      </c>
      <c r="D93" s="677" t="s">
        <v>558</v>
      </c>
      <c r="E93" s="677" t="s">
        <v>559</v>
      </c>
      <c r="F93" s="677" t="s">
        <v>560</v>
      </c>
      <c r="G93" s="677" t="s">
        <v>561</v>
      </c>
      <c r="H93" s="687"/>
      <c r="I93" s="687"/>
      <c r="J93" s="687"/>
      <c r="K93" s="687"/>
      <c r="L93" s="688"/>
      <c r="M93" s="689"/>
      <c r="N93" s="3190"/>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0"/>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2504</v>
      </c>
      <c r="C95" s="2410" t="s">
        <v>2505</v>
      </c>
      <c r="D95" s="2410" t="s">
        <v>2506</v>
      </c>
      <c r="E95" s="2410" t="s">
        <v>2507</v>
      </c>
      <c r="F95" s="2410" t="s">
        <v>2508</v>
      </c>
      <c r="G95" s="2410" t="s">
        <v>2509</v>
      </c>
      <c r="H95" s="687"/>
      <c r="I95" s="687"/>
      <c r="J95" s="687"/>
      <c r="K95" s="687"/>
      <c r="L95" s="687"/>
      <c r="M95" s="689"/>
      <c r="N95" s="3190"/>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0"/>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567</v>
      </c>
      <c r="D97" s="648" t="s">
        <v>568</v>
      </c>
      <c r="E97" s="648" t="s">
        <v>569</v>
      </c>
      <c r="F97" s="648" t="s">
        <v>570</v>
      </c>
      <c r="G97" s="648"/>
      <c r="H97" s="648"/>
      <c r="I97" s="648"/>
      <c r="J97" s="648"/>
      <c r="K97" s="649"/>
      <c r="L97" s="650"/>
      <c r="M97" s="651"/>
      <c r="N97" s="3188"/>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89"/>
      <c r="O98" s="2018"/>
      <c r="P98" s="2017"/>
      <c r="Q98" s="2010"/>
      <c r="R98" s="1998"/>
      <c r="S98" s="1998"/>
      <c r="T98" s="1998"/>
      <c r="U98" s="1998"/>
      <c r="V98" s="1998"/>
      <c r="W98" s="1998"/>
      <c r="X98" s="1998"/>
      <c r="Y98" s="1998"/>
      <c r="Z98" s="1998"/>
      <c r="AA98" s="1998"/>
      <c r="AB98" s="1998"/>
      <c r="AC98" s="1998"/>
    </row>
    <row r="99" spans="1:29" ht="27.75" thickTop="1">
      <c r="A99" s="643"/>
      <c r="B99" s="647" t="s">
        <v>526</v>
      </c>
      <c r="C99" s="662"/>
      <c r="D99" s="662"/>
      <c r="E99" s="662"/>
      <c r="F99" s="662"/>
      <c r="G99" s="662"/>
      <c r="H99" s="692"/>
      <c r="I99" s="692"/>
      <c r="J99" s="692"/>
      <c r="K99" s="693"/>
      <c r="L99" s="694"/>
      <c r="M99" s="695"/>
      <c r="N99" s="3188"/>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89"/>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527</v>
      </c>
      <c r="C101" s="3555" t="s">
        <v>3337</v>
      </c>
      <c r="D101" s="3555" t="s">
        <v>3338</v>
      </c>
      <c r="E101" s="3555" t="s">
        <v>3339</v>
      </c>
      <c r="F101" s="3555" t="s">
        <v>3340</v>
      </c>
      <c r="G101" s="3555" t="s">
        <v>3341</v>
      </c>
      <c r="H101" s="692"/>
      <c r="I101" s="692"/>
      <c r="J101" s="692"/>
      <c r="K101" s="693"/>
      <c r="L101" s="694"/>
      <c r="M101" s="695"/>
      <c r="N101" s="3188"/>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95</v>
      </c>
      <c r="E102" s="653">
        <f t="shared" si="24"/>
        <v>90</v>
      </c>
      <c r="F102" s="653">
        <f t="shared" si="24"/>
        <v>85</v>
      </c>
      <c r="G102" s="653">
        <f t="shared" si="24"/>
        <v>80</v>
      </c>
      <c r="H102" s="653">
        <f t="shared" si="24"/>
        <v>75</v>
      </c>
      <c r="I102" s="653">
        <f t="shared" si="24"/>
        <v>70</v>
      </c>
      <c r="J102" s="653">
        <f t="shared" si="24"/>
        <v>65</v>
      </c>
      <c r="K102" s="653">
        <f t="shared" si="24"/>
        <v>60</v>
      </c>
      <c r="L102" s="653">
        <f t="shared" si="24"/>
        <v>55</v>
      </c>
      <c r="M102" s="653">
        <f t="shared" si="24"/>
        <v>50</v>
      </c>
      <c r="N102" s="3189"/>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88"/>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89"/>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88"/>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89"/>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0"/>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89"/>
      <c r="O108" s="2018"/>
      <c r="P108" s="2020"/>
      <c r="Q108" s="2021"/>
      <c r="R108" s="2022"/>
      <c r="S108" s="2022"/>
      <c r="T108" s="2022"/>
      <c r="U108" s="2022"/>
      <c r="V108" s="2022"/>
      <c r="W108" s="2022"/>
      <c r="X108" s="2022"/>
      <c r="Y108" s="2022"/>
      <c r="Z108" s="2022"/>
      <c r="AA108" s="2022"/>
      <c r="AB108" s="2022"/>
      <c r="AC108" s="2022"/>
    </row>
    <row r="109" spans="1:29" ht="28.5">
      <c r="A109" s="638" t="s">
        <v>529</v>
      </c>
      <c r="B109" s="639" t="s">
        <v>571</v>
      </c>
      <c r="C109" s="678" t="str">
        <f t="shared" ref="C109:L109" si="25">C110&amp;"(含)"&amp;"-"&amp;D110</f>
        <v>0(含)-500000</v>
      </c>
      <c r="D109" s="678" t="str">
        <f t="shared" si="25"/>
        <v>500000(含)-1000000</v>
      </c>
      <c r="E109" s="678" t="str">
        <f t="shared" si="25"/>
        <v>1000000(含)-2000000</v>
      </c>
      <c r="F109" s="678" t="str">
        <f t="shared" si="25"/>
        <v>2000000(含)-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88"/>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v>0</v>
      </c>
      <c r="D110" s="704">
        <v>500000</v>
      </c>
      <c r="E110" s="704">
        <v>1000000</v>
      </c>
      <c r="F110" s="704">
        <v>2000000</v>
      </c>
      <c r="G110" s="704"/>
      <c r="H110" s="704"/>
      <c r="I110" s="704"/>
      <c r="J110" s="705"/>
      <c r="K110" s="705"/>
      <c r="L110" s="706"/>
      <c r="M110" s="707"/>
      <c r="N110" s="3188"/>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v>100</v>
      </c>
      <c r="D111" s="700">
        <v>99</v>
      </c>
      <c r="E111" s="700">
        <v>98</v>
      </c>
      <c r="F111" s="700">
        <v>97</v>
      </c>
      <c r="G111" s="700"/>
      <c r="H111" s="700"/>
      <c r="I111" s="700"/>
      <c r="J111" s="700"/>
      <c r="K111" s="700"/>
      <c r="L111" s="700"/>
      <c r="M111" s="701"/>
      <c r="N111" s="3189"/>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572</v>
      </c>
      <c r="C112" s="3555" t="s">
        <v>3343</v>
      </c>
      <c r="D112" s="692"/>
      <c r="E112" s="692"/>
      <c r="F112" s="692"/>
      <c r="G112" s="692"/>
      <c r="H112" s="692"/>
      <c r="I112" s="692"/>
      <c r="J112" s="692"/>
      <c r="K112" s="693"/>
      <c r="L112" s="694"/>
      <c r="M112" s="695"/>
      <c r="N112" s="3188"/>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89"/>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2387</v>
      </c>
      <c r="C114" s="1301" t="s">
        <v>3375</v>
      </c>
      <c r="D114" s="1301" t="s">
        <v>3374</v>
      </c>
      <c r="E114" s="1301" t="s">
        <v>3373</v>
      </c>
      <c r="F114" s="1301" t="s">
        <v>3372</v>
      </c>
      <c r="G114" s="1301"/>
      <c r="H114" s="692"/>
      <c r="I114" s="692"/>
      <c r="J114" s="692"/>
      <c r="K114" s="693"/>
      <c r="L114" s="694"/>
      <c r="M114" s="695"/>
      <c r="N114" s="3190"/>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99</v>
      </c>
      <c r="E115" s="653">
        <f t="shared" si="27"/>
        <v>98</v>
      </c>
      <c r="F115" s="653">
        <f t="shared" si="27"/>
        <v>97</v>
      </c>
      <c r="G115" s="653">
        <f t="shared" si="27"/>
        <v>96</v>
      </c>
      <c r="H115" s="653">
        <f t="shared" si="27"/>
        <v>95</v>
      </c>
      <c r="I115" s="653">
        <f t="shared" si="27"/>
        <v>94</v>
      </c>
      <c r="J115" s="653">
        <f t="shared" si="27"/>
        <v>93</v>
      </c>
      <c r="K115" s="653">
        <f t="shared" si="27"/>
        <v>92</v>
      </c>
      <c r="L115" s="653">
        <f t="shared" si="27"/>
        <v>91</v>
      </c>
      <c r="M115" s="654">
        <f t="shared" si="27"/>
        <v>90</v>
      </c>
      <c r="N115" s="3190"/>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574</v>
      </c>
      <c r="C116" s="3556" t="s">
        <v>3344</v>
      </c>
      <c r="D116" s="662"/>
      <c r="E116" s="692"/>
      <c r="F116" s="692"/>
      <c r="G116" s="692"/>
      <c r="H116" s="692"/>
      <c r="I116" s="692"/>
      <c r="J116" s="692"/>
      <c r="K116" s="693"/>
      <c r="L116" s="694"/>
      <c r="M116" s="695"/>
      <c r="N116" s="3188"/>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89"/>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88"/>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89"/>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88"/>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89"/>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0"/>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0"/>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7" priority="18" stopIfTrue="1" operator="containsText" text="超过">
      <formula>NOT(ISERROR(SEARCH("超过",F48)))</formula>
    </cfRule>
  </conditionalFormatting>
  <conditionalFormatting sqref="J50">
    <cfRule type="containsText" dxfId="136" priority="17" stopIfTrue="1" operator="containsText" text="超过">
      <formula>NOT(ISERROR(SEARCH("超过",J50)))</formula>
    </cfRule>
  </conditionalFormatting>
  <conditionalFormatting sqref="H50">
    <cfRule type="containsText" dxfId="135" priority="16" stopIfTrue="1" operator="containsText" text="超过">
      <formula>NOT(ISERROR(SEARCH("超过",H50)))</formula>
    </cfRule>
  </conditionalFormatting>
  <conditionalFormatting sqref="F50">
    <cfRule type="containsText" dxfId="134" priority="15" stopIfTrue="1" operator="containsText" text="超过">
      <formula>NOT(ISERROR(SEARCH("超过",F50)))</formula>
    </cfRule>
  </conditionalFormatting>
  <conditionalFormatting sqref="F49 H49 J49">
    <cfRule type="containsText" dxfId="133" priority="14" stopIfTrue="1" operator="containsText" text="超过">
      <formula>NOT(ISERROR(SEARCH("超过",F49)))</formula>
    </cfRule>
  </conditionalFormatting>
  <conditionalFormatting sqref="E48">
    <cfRule type="expression" dxfId="132" priority="13" stopIfTrue="1">
      <formula>$F$48="超过30%"</formula>
    </cfRule>
  </conditionalFormatting>
  <conditionalFormatting sqref="G50">
    <cfRule type="expression" dxfId="131" priority="12" stopIfTrue="1">
      <formula>$H$50="超过30%"</formula>
    </cfRule>
  </conditionalFormatting>
  <conditionalFormatting sqref="E50">
    <cfRule type="expression" dxfId="130" priority="10" stopIfTrue="1">
      <formula>$F$50="超过30%"</formula>
    </cfRule>
  </conditionalFormatting>
  <conditionalFormatting sqref="G48">
    <cfRule type="expression" dxfId="129" priority="9" stopIfTrue="1">
      <formula>$H$48="超过30%"</formula>
    </cfRule>
  </conditionalFormatting>
  <conditionalFormatting sqref="G49">
    <cfRule type="expression" dxfId="128" priority="8" stopIfTrue="1">
      <formula>$H$49="超过20%"</formula>
    </cfRule>
  </conditionalFormatting>
  <conditionalFormatting sqref="I48">
    <cfRule type="expression" dxfId="127" priority="7" stopIfTrue="1">
      <formula>$J$48="超过30%"</formula>
    </cfRule>
  </conditionalFormatting>
  <conditionalFormatting sqref="I49">
    <cfRule type="expression" dxfId="126" priority="6" stopIfTrue="1">
      <formula>$J$49="超过20%"</formula>
    </cfRule>
  </conditionalFormatting>
  <conditionalFormatting sqref="I50">
    <cfRule type="expression" dxfId="125" priority="5" stopIfTrue="1">
      <formula>$J$50="超过30%"</formula>
    </cfRule>
  </conditionalFormatting>
  <conditionalFormatting sqref="E49">
    <cfRule type="expression" dxfId="124" priority="51" stopIfTrue="1">
      <formula>#REF!+$F$49="超过20%"</formula>
    </cfRule>
  </conditionalFormatting>
  <conditionalFormatting sqref="F44">
    <cfRule type="expression" dxfId="123" priority="4">
      <formula>$D$44="简单平均"</formula>
    </cfRule>
  </conditionalFormatting>
  <conditionalFormatting sqref="H44">
    <cfRule type="expression" dxfId="122" priority="3">
      <formula>$D$44="简单平均"</formula>
    </cfRule>
  </conditionalFormatting>
  <conditionalFormatting sqref="J44">
    <cfRule type="expression" dxfId="121" priority="2">
      <formula>$D$44="简单平均"</formula>
    </cfRule>
  </conditionalFormatting>
  <conditionalFormatting sqref="F9:F42 H9:H42 J9:J42">
    <cfRule type="cellIs" dxfId="120"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0E273-4640-4C67-8184-699564D82BBF}">
  <dimension ref="A1:R140"/>
  <sheetViews>
    <sheetView zoomScale="89" workbookViewId="0">
      <pane xSplit="1" ySplit="3" topLeftCell="B51" activePane="bottomRight" state="frozen"/>
      <selection pane="topRight" activeCell="B1" sqref="B1"/>
      <selection pane="bottomLeft" activeCell="A4" sqref="A4"/>
      <selection pane="bottomRight" activeCell="O56" sqref="O56"/>
    </sheetView>
  </sheetViews>
  <sheetFormatPr defaultColWidth="9" defaultRowHeight="13.5"/>
  <cols>
    <col min="1" max="2" width="9" style="3446"/>
    <col min="3" max="3" width="0" style="3446" hidden="1" customWidth="1"/>
    <col min="4" max="6" width="9" style="3446"/>
    <col min="7" max="7" width="15.125" style="3446" customWidth="1"/>
    <col min="8" max="9" width="9" style="3446"/>
    <col min="10" max="10" width="19.375" style="3446" customWidth="1"/>
    <col min="11" max="11" width="9" style="3446"/>
    <col min="12" max="12" width="12.875" style="3446" customWidth="1"/>
    <col min="13" max="13" width="13" style="3446" customWidth="1"/>
    <col min="14" max="14" width="9" style="3446"/>
    <col min="15" max="15" width="13" style="3446" bestFit="1" customWidth="1"/>
    <col min="16" max="16" width="12.625" style="3446" bestFit="1" customWidth="1"/>
    <col min="17" max="17" width="9" style="3446"/>
    <col min="18" max="18" width="12.75" style="3446" bestFit="1" customWidth="1"/>
    <col min="19" max="16384" width="9" style="3446"/>
  </cols>
  <sheetData>
    <row r="1" spans="1:15" ht="17.25">
      <c r="A1" s="3839" t="s">
        <v>3151</v>
      </c>
      <c r="B1" s="3840"/>
      <c r="C1" s="3840"/>
      <c r="D1" s="3840"/>
      <c r="E1" s="3840"/>
      <c r="F1" s="3840"/>
      <c r="G1" s="3840"/>
      <c r="H1" s="3840"/>
      <c r="I1" s="3840"/>
      <c r="J1" s="3840"/>
      <c r="K1" s="3840"/>
      <c r="L1" s="3840"/>
      <c r="M1" s="3840"/>
      <c r="N1" s="3445" t="s">
        <v>3152</v>
      </c>
      <c r="O1" s="3445"/>
    </row>
    <row r="2" spans="1:15">
      <c r="A2" s="3841" t="s">
        <v>3153</v>
      </c>
      <c r="B2" s="3841" t="s">
        <v>3154</v>
      </c>
      <c r="C2" s="3841" t="s">
        <v>3155</v>
      </c>
      <c r="D2" s="3842" t="s">
        <v>3156</v>
      </c>
      <c r="E2" s="3842" t="s">
        <v>3157</v>
      </c>
      <c r="F2" s="3841" t="s">
        <v>3158</v>
      </c>
      <c r="G2" s="3841" t="s">
        <v>3159</v>
      </c>
      <c r="H2" s="3841" t="s">
        <v>3160</v>
      </c>
      <c r="I2" s="3841" t="s">
        <v>3161</v>
      </c>
      <c r="J2" s="3841" t="s">
        <v>3162</v>
      </c>
      <c r="K2" s="3843" t="s">
        <v>3163</v>
      </c>
      <c r="L2" s="3843" t="s">
        <v>3164</v>
      </c>
      <c r="M2" s="3843"/>
      <c r="N2" s="3445"/>
      <c r="O2" s="3445"/>
    </row>
    <row r="3" spans="1:15" ht="22.5">
      <c r="A3" s="3841"/>
      <c r="B3" s="3841"/>
      <c r="C3" s="3841"/>
      <c r="D3" s="3842"/>
      <c r="E3" s="3842"/>
      <c r="F3" s="3841"/>
      <c r="G3" s="3841"/>
      <c r="H3" s="3841"/>
      <c r="I3" s="3841"/>
      <c r="J3" s="3841"/>
      <c r="K3" s="3843"/>
      <c r="L3" s="3447" t="s">
        <v>3165</v>
      </c>
      <c r="M3" s="3447" t="s">
        <v>3166</v>
      </c>
      <c r="N3" s="3445" t="s">
        <v>3167</v>
      </c>
      <c r="O3" s="3445" t="s">
        <v>3168</v>
      </c>
    </row>
    <row r="4" spans="1:15" ht="96" hidden="1">
      <c r="A4" s="3448">
        <v>2016</v>
      </c>
      <c r="B4" s="3449" t="s">
        <v>3169</v>
      </c>
      <c r="C4" s="3449" t="s">
        <v>3170</v>
      </c>
      <c r="D4" s="3450" t="s">
        <v>3171</v>
      </c>
      <c r="E4" s="3450" t="s">
        <v>3172</v>
      </c>
      <c r="F4" s="3451" t="s">
        <v>3173</v>
      </c>
      <c r="G4" s="3450" t="s">
        <v>3174</v>
      </c>
      <c r="H4" s="3450" t="s">
        <v>3175</v>
      </c>
      <c r="I4" s="3450" t="s">
        <v>3176</v>
      </c>
      <c r="J4" s="3450" t="s">
        <v>3177</v>
      </c>
      <c r="K4" s="3452">
        <v>16.73</v>
      </c>
      <c r="L4" s="3450">
        <v>15586.51</v>
      </c>
      <c r="M4" s="3450">
        <v>24154.36</v>
      </c>
      <c r="N4" s="3453"/>
      <c r="O4" s="3453">
        <f>ROUND((M4+L4)/K4,2)</f>
        <v>2375.4299999999998</v>
      </c>
    </row>
    <row r="5" spans="1:15" ht="96" hidden="1">
      <c r="A5" s="3448">
        <v>2016</v>
      </c>
      <c r="B5" s="3449" t="s">
        <v>3169</v>
      </c>
      <c r="C5" s="3449" t="s">
        <v>3170</v>
      </c>
      <c r="D5" s="3450" t="s">
        <v>3171</v>
      </c>
      <c r="E5" s="3450" t="s">
        <v>3172</v>
      </c>
      <c r="F5" s="3451" t="s">
        <v>3178</v>
      </c>
      <c r="G5" s="3450" t="s">
        <v>3174</v>
      </c>
      <c r="H5" s="3450" t="s">
        <v>3175</v>
      </c>
      <c r="I5" s="3450" t="s">
        <v>3179</v>
      </c>
      <c r="J5" s="3450" t="s">
        <v>3177</v>
      </c>
      <c r="K5" s="3454">
        <v>39.770000000000003</v>
      </c>
      <c r="L5" s="3450">
        <v>17716.41</v>
      </c>
      <c r="M5" s="3450">
        <v>2390.64</v>
      </c>
      <c r="N5" s="3453"/>
      <c r="O5" s="3453">
        <f t="shared" ref="O5:O32" si="0">ROUND((M5+L5)/K5,2)</f>
        <v>505.58</v>
      </c>
    </row>
    <row r="6" spans="1:15" ht="144" hidden="1">
      <c r="A6" s="3448">
        <v>2016</v>
      </c>
      <c r="B6" s="3449" t="s">
        <v>3169</v>
      </c>
      <c r="C6" s="3449" t="s">
        <v>3170</v>
      </c>
      <c r="D6" s="3450" t="s">
        <v>3171</v>
      </c>
      <c r="E6" s="3455" t="s">
        <v>3180</v>
      </c>
      <c r="F6" s="3451" t="s">
        <v>3181</v>
      </c>
      <c r="G6" s="3455" t="s">
        <v>3182</v>
      </c>
      <c r="H6" s="3455" t="s">
        <v>3175</v>
      </c>
      <c r="I6" s="3455" t="s">
        <v>3183</v>
      </c>
      <c r="J6" s="3450" t="s">
        <v>3184</v>
      </c>
      <c r="K6" s="3454">
        <v>663.6</v>
      </c>
      <c r="L6" s="3450">
        <v>191909.86</v>
      </c>
      <c r="M6" s="3450">
        <v>204137.8</v>
      </c>
      <c r="N6" s="3453"/>
      <c r="O6" s="3453">
        <f t="shared" si="0"/>
        <v>596.82000000000005</v>
      </c>
    </row>
    <row r="7" spans="1:15" ht="120" hidden="1">
      <c r="A7" s="3448">
        <v>2016</v>
      </c>
      <c r="B7" s="3449" t="s">
        <v>3185</v>
      </c>
      <c r="C7" s="3449" t="s">
        <v>3186</v>
      </c>
      <c r="D7" s="3456" t="s">
        <v>3171</v>
      </c>
      <c r="E7" s="3456" t="s">
        <v>3180</v>
      </c>
      <c r="F7" s="3451" t="s">
        <v>3187</v>
      </c>
      <c r="G7" s="3457" t="s">
        <v>3188</v>
      </c>
      <c r="H7" s="3456" t="s">
        <v>3189</v>
      </c>
      <c r="I7" s="3456" t="s">
        <v>3190</v>
      </c>
      <c r="J7" s="3456" t="s">
        <v>3191</v>
      </c>
      <c r="K7" s="3454">
        <v>129.57</v>
      </c>
      <c r="L7" s="3450">
        <v>122822.85</v>
      </c>
      <c r="M7" s="3450">
        <v>403475</v>
      </c>
      <c r="N7" s="3453"/>
      <c r="O7" s="3453">
        <f t="shared" si="0"/>
        <v>4061.88</v>
      </c>
    </row>
    <row r="8" spans="1:15" ht="120" hidden="1">
      <c r="A8" s="3448">
        <v>2017</v>
      </c>
      <c r="B8" s="3458" t="s">
        <v>3192</v>
      </c>
      <c r="C8" s="3458" t="s">
        <v>3193</v>
      </c>
      <c r="D8" s="3456" t="s">
        <v>3171</v>
      </c>
      <c r="E8" s="3456" t="s">
        <v>3180</v>
      </c>
      <c r="F8" s="3451" t="s">
        <v>3194</v>
      </c>
      <c r="G8" s="3457" t="s">
        <v>3188</v>
      </c>
      <c r="H8" s="3456" t="s">
        <v>3189</v>
      </c>
      <c r="I8" s="3456" t="s">
        <v>3195</v>
      </c>
      <c r="J8" s="3455" t="s">
        <v>3196</v>
      </c>
      <c r="K8" s="3454">
        <v>34.26</v>
      </c>
      <c r="L8" s="3450">
        <v>38931.19</v>
      </c>
      <c r="M8" s="3450">
        <v>64775.53</v>
      </c>
      <c r="N8" s="3459"/>
      <c r="O8" s="3453">
        <f t="shared" si="0"/>
        <v>3027.05</v>
      </c>
    </row>
    <row r="9" spans="1:15" ht="120" hidden="1">
      <c r="A9" s="3448">
        <v>2017</v>
      </c>
      <c r="B9" s="3458" t="s">
        <v>3192</v>
      </c>
      <c r="C9" s="3458" t="s">
        <v>3193</v>
      </c>
      <c r="D9" s="3456" t="s">
        <v>3171</v>
      </c>
      <c r="E9" s="3456" t="s">
        <v>3180</v>
      </c>
      <c r="F9" s="3451" t="s">
        <v>3197</v>
      </c>
      <c r="G9" s="3456" t="s">
        <v>3188</v>
      </c>
      <c r="H9" s="3456" t="s">
        <v>3189</v>
      </c>
      <c r="I9" s="3456" t="s">
        <v>3176</v>
      </c>
      <c r="J9" s="3456" t="s">
        <v>3198</v>
      </c>
      <c r="K9" s="3454">
        <v>51.07</v>
      </c>
      <c r="L9" s="3450">
        <v>33012.44</v>
      </c>
      <c r="M9" s="3450">
        <v>46402.36</v>
      </c>
      <c r="N9" s="3459"/>
      <c r="O9" s="3453">
        <f t="shared" si="0"/>
        <v>1555.02</v>
      </c>
    </row>
    <row r="10" spans="1:15" ht="96" hidden="1">
      <c r="A10" s="3460">
        <v>2017</v>
      </c>
      <c r="B10" s="3461" t="s">
        <v>3192</v>
      </c>
      <c r="C10" s="3461" t="s">
        <v>3193</v>
      </c>
      <c r="D10" s="3462" t="s">
        <v>3199</v>
      </c>
      <c r="E10" s="3462" t="s">
        <v>3180</v>
      </c>
      <c r="F10" s="3463" t="s">
        <v>3200</v>
      </c>
      <c r="G10" s="3462" t="s">
        <v>3201</v>
      </c>
      <c r="H10" s="3462" t="s">
        <v>3175</v>
      </c>
      <c r="I10" s="3462" t="s">
        <v>3202</v>
      </c>
      <c r="J10" s="3462" t="s">
        <v>3203</v>
      </c>
      <c r="K10" s="3464">
        <v>96.99</v>
      </c>
      <c r="L10" s="3464">
        <v>51676.39</v>
      </c>
      <c r="M10" s="3464">
        <v>172115.08</v>
      </c>
      <c r="N10" s="3465">
        <f>ROUND((L10+M10)/(K10*15),0)</f>
        <v>154</v>
      </c>
      <c r="O10" s="3453">
        <f t="shared" si="0"/>
        <v>2307.37</v>
      </c>
    </row>
    <row r="11" spans="1:15" ht="108" hidden="1">
      <c r="A11" s="3460">
        <v>2017</v>
      </c>
      <c r="B11" s="3461" t="s">
        <v>3192</v>
      </c>
      <c r="C11" s="3461" t="s">
        <v>3193</v>
      </c>
      <c r="D11" s="3462" t="s">
        <v>3199</v>
      </c>
      <c r="E11" s="3462" t="s">
        <v>3180</v>
      </c>
      <c r="F11" s="3463" t="s">
        <v>3204</v>
      </c>
      <c r="G11" s="3462" t="s">
        <v>3205</v>
      </c>
      <c r="H11" s="3462" t="s">
        <v>3175</v>
      </c>
      <c r="I11" s="3462" t="s">
        <v>3206</v>
      </c>
      <c r="J11" s="3464" t="s">
        <v>3207</v>
      </c>
      <c r="K11" s="3466">
        <v>49.52</v>
      </c>
      <c r="L11" s="3464">
        <v>25737.439999999999</v>
      </c>
      <c r="M11" s="3464">
        <v>180122.23999999999</v>
      </c>
      <c r="N11" s="3465">
        <f>ROUND((L11+M11)/(K11*15),0)</f>
        <v>277</v>
      </c>
      <c r="O11" s="3453">
        <f t="shared" si="0"/>
        <v>4157.1000000000004</v>
      </c>
    </row>
    <row r="12" spans="1:15" ht="120" hidden="1">
      <c r="A12" s="3448">
        <v>2017</v>
      </c>
      <c r="B12" s="3458" t="s">
        <v>3192</v>
      </c>
      <c r="C12" s="3458" t="s">
        <v>3193</v>
      </c>
      <c r="D12" s="3457" t="s">
        <v>3208</v>
      </c>
      <c r="E12" s="3457" t="s">
        <v>3180</v>
      </c>
      <c r="F12" s="3451" t="s">
        <v>3209</v>
      </c>
      <c r="G12" s="3457" t="s">
        <v>3210</v>
      </c>
      <c r="H12" s="3456" t="s">
        <v>3189</v>
      </c>
      <c r="I12" s="3457" t="s">
        <v>3211</v>
      </c>
      <c r="J12" s="3450" t="s">
        <v>3212</v>
      </c>
      <c r="K12" s="3454">
        <v>116.6</v>
      </c>
      <c r="L12" s="3450">
        <v>138739.75</v>
      </c>
      <c r="M12" s="3450">
        <v>441601.69</v>
      </c>
      <c r="N12" s="3459"/>
      <c r="O12" s="3453">
        <f t="shared" si="0"/>
        <v>4977.2</v>
      </c>
    </row>
    <row r="13" spans="1:15" ht="156" hidden="1">
      <c r="A13" s="3448">
        <v>2017</v>
      </c>
      <c r="B13" s="3456" t="s">
        <v>3213</v>
      </c>
      <c r="C13" s="3456" t="s">
        <v>3214</v>
      </c>
      <c r="D13" s="3456" t="s">
        <v>3215</v>
      </c>
      <c r="E13" s="3456" t="s">
        <v>3172</v>
      </c>
      <c r="F13" s="3457" t="s">
        <v>3216</v>
      </c>
      <c r="G13" s="3457" t="s">
        <v>3217</v>
      </c>
      <c r="H13" s="3457" t="s">
        <v>3175</v>
      </c>
      <c r="I13" s="3457" t="s">
        <v>3218</v>
      </c>
      <c r="J13" s="3450" t="s">
        <v>3219</v>
      </c>
      <c r="K13" s="3452">
        <v>33.36</v>
      </c>
      <c r="L13" s="3450">
        <v>16588.11</v>
      </c>
      <c r="M13" s="3450">
        <v>13953.2</v>
      </c>
      <c r="N13" s="3467"/>
      <c r="O13" s="3453">
        <f t="shared" si="0"/>
        <v>915.51</v>
      </c>
    </row>
    <row r="14" spans="1:15" ht="96" hidden="1">
      <c r="A14" s="3448">
        <v>2017</v>
      </c>
      <c r="B14" s="3468" t="s">
        <v>3220</v>
      </c>
      <c r="C14" s="3468" t="s">
        <v>3221</v>
      </c>
      <c r="D14" s="3457" t="s">
        <v>3199</v>
      </c>
      <c r="E14" s="3457" t="s">
        <v>3180</v>
      </c>
      <c r="F14" s="3456" t="s">
        <v>3222</v>
      </c>
      <c r="G14" s="3457" t="s">
        <v>3223</v>
      </c>
      <c r="H14" s="3457" t="s">
        <v>3175</v>
      </c>
      <c r="I14" s="3457" t="s">
        <v>3224</v>
      </c>
      <c r="J14" s="3457" t="s">
        <v>3225</v>
      </c>
      <c r="K14" s="3450">
        <v>19.994820000000001</v>
      </c>
      <c r="L14" s="3450">
        <v>4110.28</v>
      </c>
      <c r="M14" s="3450">
        <v>1634.87</v>
      </c>
      <c r="N14" s="3465">
        <f>ROUND((L14+M14)/(K14*15),0)</f>
        <v>19</v>
      </c>
      <c r="O14" s="3453">
        <f t="shared" si="0"/>
        <v>287.33</v>
      </c>
    </row>
    <row r="15" spans="1:15" ht="120" hidden="1">
      <c r="A15" s="3448">
        <v>2017</v>
      </c>
      <c r="B15" s="3458" t="s">
        <v>3226</v>
      </c>
      <c r="C15" s="3458" t="s">
        <v>3227</v>
      </c>
      <c r="D15" s="3457" t="s">
        <v>3228</v>
      </c>
      <c r="E15" s="3457" t="s">
        <v>3180</v>
      </c>
      <c r="F15" s="3457" t="s">
        <v>3229</v>
      </c>
      <c r="G15" s="3457" t="s">
        <v>3230</v>
      </c>
      <c r="H15" s="3457" t="s">
        <v>3189</v>
      </c>
      <c r="I15" s="3457" t="s">
        <v>3231</v>
      </c>
      <c r="J15" s="3450" t="s">
        <v>3232</v>
      </c>
      <c r="K15" s="3448">
        <v>72.180000000000007</v>
      </c>
      <c r="L15" s="3450">
        <v>20148.59</v>
      </c>
      <c r="M15" s="3450">
        <v>195592.13</v>
      </c>
      <c r="N15" s="3467"/>
      <c r="O15" s="3453">
        <f t="shared" si="0"/>
        <v>2988.93</v>
      </c>
    </row>
    <row r="16" spans="1:15" ht="168" hidden="1">
      <c r="A16" s="3448">
        <v>2017</v>
      </c>
      <c r="B16" s="3458" t="s">
        <v>3226</v>
      </c>
      <c r="C16" s="3458" t="s">
        <v>3227</v>
      </c>
      <c r="D16" s="3457" t="s">
        <v>3228</v>
      </c>
      <c r="E16" s="3457" t="s">
        <v>3180</v>
      </c>
      <c r="F16" s="3457" t="s">
        <v>3233</v>
      </c>
      <c r="G16" s="3457" t="s">
        <v>3234</v>
      </c>
      <c r="H16" s="3457" t="s">
        <v>3189</v>
      </c>
      <c r="I16" s="3457" t="s">
        <v>3235</v>
      </c>
      <c r="J16" s="3469" t="s">
        <v>3236</v>
      </c>
      <c r="K16" s="3454">
        <v>148.19999999999999</v>
      </c>
      <c r="L16" s="3450">
        <v>46469.07</v>
      </c>
      <c r="M16" s="3450">
        <v>462882.97</v>
      </c>
      <c r="N16" s="3467"/>
      <c r="O16" s="3453">
        <f t="shared" si="0"/>
        <v>3436.92</v>
      </c>
    </row>
    <row r="17" spans="1:15" ht="96" hidden="1">
      <c r="A17" s="3448">
        <v>2017</v>
      </c>
      <c r="B17" s="3468" t="s">
        <v>3237</v>
      </c>
      <c r="C17" s="3468" t="s">
        <v>3186</v>
      </c>
      <c r="D17" s="3457" t="s">
        <v>3238</v>
      </c>
      <c r="E17" s="3457" t="s">
        <v>3180</v>
      </c>
      <c r="F17" s="3457" t="s">
        <v>3239</v>
      </c>
      <c r="G17" s="3457" t="s">
        <v>3240</v>
      </c>
      <c r="H17" s="3457" t="s">
        <v>3189</v>
      </c>
      <c r="I17" s="3457" t="s">
        <v>3241</v>
      </c>
      <c r="J17" s="3457" t="s">
        <v>3242</v>
      </c>
      <c r="K17" s="3454">
        <v>89.78</v>
      </c>
      <c r="L17" s="3450">
        <v>52725.51</v>
      </c>
      <c r="M17" s="3450">
        <v>150160.9</v>
      </c>
      <c r="N17" s="3470"/>
      <c r="O17" s="3453">
        <f t="shared" si="0"/>
        <v>2259.8200000000002</v>
      </c>
    </row>
    <row r="18" spans="1:15" ht="168" hidden="1">
      <c r="A18" s="3448">
        <v>2017</v>
      </c>
      <c r="B18" s="3468" t="s">
        <v>3237</v>
      </c>
      <c r="C18" s="3468" t="s">
        <v>3186</v>
      </c>
      <c r="D18" s="3457" t="s">
        <v>3238</v>
      </c>
      <c r="E18" s="3457" t="s">
        <v>3180</v>
      </c>
      <c r="F18" s="3457" t="s">
        <v>3243</v>
      </c>
      <c r="G18" s="3457" t="s">
        <v>3244</v>
      </c>
      <c r="H18" s="3457" t="s">
        <v>3189</v>
      </c>
      <c r="I18" s="3457" t="s">
        <v>3245</v>
      </c>
      <c r="J18" s="3471" t="s">
        <v>3246</v>
      </c>
      <c r="K18" s="3454">
        <v>146.24</v>
      </c>
      <c r="L18" s="3450">
        <v>73331.179999999993</v>
      </c>
      <c r="M18" s="3450">
        <v>459399.64</v>
      </c>
      <c r="N18" s="3467"/>
      <c r="O18" s="3453">
        <f t="shared" si="0"/>
        <v>3642.85</v>
      </c>
    </row>
    <row r="19" spans="1:15" ht="96" hidden="1">
      <c r="A19" s="3448">
        <v>2017</v>
      </c>
      <c r="B19" s="3468" t="s">
        <v>3247</v>
      </c>
      <c r="C19" s="3468" t="s">
        <v>3186</v>
      </c>
      <c r="D19" s="3457" t="s">
        <v>3199</v>
      </c>
      <c r="E19" s="3457" t="s">
        <v>3180</v>
      </c>
      <c r="F19" s="3457" t="s">
        <v>3248</v>
      </c>
      <c r="G19" s="3457" t="s">
        <v>3249</v>
      </c>
      <c r="H19" s="3457" t="s">
        <v>3175</v>
      </c>
      <c r="I19" s="3457" t="s">
        <v>3250</v>
      </c>
      <c r="J19" s="3457" t="s">
        <v>3251</v>
      </c>
      <c r="K19" s="3450">
        <v>132.25</v>
      </c>
      <c r="L19" s="3450">
        <v>24298.5</v>
      </c>
      <c r="M19" s="3450">
        <v>107594.55</v>
      </c>
      <c r="N19" s="3465">
        <f>ROUND((L19+M19)/(K19*15),0)</f>
        <v>66</v>
      </c>
      <c r="O19" s="3472">
        <f t="shared" si="0"/>
        <v>997.3</v>
      </c>
    </row>
    <row r="20" spans="1:15" ht="132" hidden="1">
      <c r="A20" s="3448">
        <v>2017</v>
      </c>
      <c r="B20" s="3468" t="s">
        <v>3247</v>
      </c>
      <c r="C20" s="3473" t="s">
        <v>3186</v>
      </c>
      <c r="D20" s="3474" t="s">
        <v>3252</v>
      </c>
      <c r="E20" s="3457" t="s">
        <v>3172</v>
      </c>
      <c r="F20" s="3475" t="s">
        <v>3253</v>
      </c>
      <c r="G20" s="3457" t="s">
        <v>3230</v>
      </c>
      <c r="H20" s="3457" t="s">
        <v>3189</v>
      </c>
      <c r="I20" s="3476" t="s">
        <v>3254</v>
      </c>
      <c r="J20" s="3476" t="s">
        <v>3255</v>
      </c>
      <c r="K20" s="3454">
        <v>217.58</v>
      </c>
      <c r="L20" s="3450">
        <v>106922.18</v>
      </c>
      <c r="M20" s="3450">
        <v>1002860.16</v>
      </c>
      <c r="N20" s="3477"/>
      <c r="O20" s="3453">
        <f t="shared" si="0"/>
        <v>5100.57</v>
      </c>
    </row>
    <row r="21" spans="1:15" ht="144">
      <c r="A21" s="3478">
        <v>2018</v>
      </c>
      <c r="B21" s="3468" t="s">
        <v>3256</v>
      </c>
      <c r="C21" s="3468" t="s">
        <v>3221</v>
      </c>
      <c r="D21" s="3479" t="s">
        <v>3215</v>
      </c>
      <c r="E21" s="3479" t="s">
        <v>3172</v>
      </c>
      <c r="F21" s="3479" t="s">
        <v>3257</v>
      </c>
      <c r="G21" s="3479" t="s">
        <v>3258</v>
      </c>
      <c r="H21" s="3479" t="s">
        <v>3175</v>
      </c>
      <c r="I21" s="3456" t="s">
        <v>3259</v>
      </c>
      <c r="J21" s="3451" t="s">
        <v>3260</v>
      </c>
      <c r="K21" s="3479">
        <v>726.3</v>
      </c>
      <c r="L21" s="3450">
        <v>281939.06</v>
      </c>
      <c r="M21" s="3450">
        <v>704305.38</v>
      </c>
      <c r="N21" s="3453"/>
      <c r="O21" s="3472">
        <f t="shared" si="0"/>
        <v>1357.9</v>
      </c>
    </row>
    <row r="22" spans="1:15" ht="120">
      <c r="A22" s="3479">
        <v>2018</v>
      </c>
      <c r="B22" s="3468" t="s">
        <v>3261</v>
      </c>
      <c r="C22" s="3480" t="s">
        <v>3170</v>
      </c>
      <c r="D22" s="3456" t="s">
        <v>3252</v>
      </c>
      <c r="E22" s="3456" t="s">
        <v>3180</v>
      </c>
      <c r="F22" s="3456" t="s">
        <v>3262</v>
      </c>
      <c r="G22" s="3456" t="s">
        <v>3230</v>
      </c>
      <c r="H22" s="3456" t="s">
        <v>3189</v>
      </c>
      <c r="I22" s="3456" t="s">
        <v>3263</v>
      </c>
      <c r="J22" s="3451" t="s">
        <v>3264</v>
      </c>
      <c r="K22" s="3454">
        <v>193.55</v>
      </c>
      <c r="L22" s="3450">
        <v>230654.05</v>
      </c>
      <c r="M22" s="3450">
        <v>598903.21</v>
      </c>
      <c r="N22" s="3481"/>
      <c r="O22" s="3453">
        <f t="shared" si="0"/>
        <v>4286.01</v>
      </c>
    </row>
    <row r="23" spans="1:15" ht="132">
      <c r="A23" s="3479">
        <v>2018</v>
      </c>
      <c r="B23" s="3468" t="s">
        <v>3261</v>
      </c>
      <c r="C23" s="3480" t="s">
        <v>3170</v>
      </c>
      <c r="D23" s="3456" t="s">
        <v>3252</v>
      </c>
      <c r="E23" s="3456" t="s">
        <v>3180</v>
      </c>
      <c r="F23" s="3456" t="s">
        <v>3265</v>
      </c>
      <c r="G23" s="3456" t="s">
        <v>3266</v>
      </c>
      <c r="H23" s="3456" t="s">
        <v>3189</v>
      </c>
      <c r="I23" s="3456" t="s">
        <v>3267</v>
      </c>
      <c r="J23" s="3451" t="s">
        <v>3268</v>
      </c>
      <c r="K23" s="3482">
        <v>210.43</v>
      </c>
      <c r="L23" s="3450">
        <v>23862.83</v>
      </c>
      <c r="M23" s="3450">
        <v>602931.53</v>
      </c>
      <c r="N23" s="3481"/>
      <c r="O23" s="3453">
        <f t="shared" si="0"/>
        <v>2978.64</v>
      </c>
    </row>
    <row r="24" spans="1:15" s="3547" customFormat="1" ht="108">
      <c r="A24" s="3538">
        <v>2018</v>
      </c>
      <c r="B24" s="3539" t="s">
        <v>3261</v>
      </c>
      <c r="C24" s="3540" t="s">
        <v>3170</v>
      </c>
      <c r="D24" s="3541" t="s">
        <v>3252</v>
      </c>
      <c r="E24" s="3541" t="s">
        <v>3180</v>
      </c>
      <c r="F24" s="3541" t="s">
        <v>3376</v>
      </c>
      <c r="G24" s="3541" t="s">
        <v>3230</v>
      </c>
      <c r="H24" s="3541" t="s">
        <v>3189</v>
      </c>
      <c r="I24" s="3541" t="s">
        <v>3269</v>
      </c>
      <c r="J24" s="3542" t="s">
        <v>3270</v>
      </c>
      <c r="K24" s="3543">
        <v>74.25</v>
      </c>
      <c r="L24" s="3544">
        <v>13520.67</v>
      </c>
      <c r="M24" s="3544">
        <v>291651.92</v>
      </c>
      <c r="N24" s="3545"/>
      <c r="O24" s="3546">
        <f t="shared" si="0"/>
        <v>4110.07</v>
      </c>
    </row>
    <row r="25" spans="1:15" ht="96">
      <c r="A25" s="3483">
        <v>2018</v>
      </c>
      <c r="B25" s="3484" t="s">
        <v>3261</v>
      </c>
      <c r="C25" s="3485" t="s">
        <v>3170</v>
      </c>
      <c r="D25" s="3486" t="s">
        <v>3271</v>
      </c>
      <c r="E25" s="3486" t="s">
        <v>3180</v>
      </c>
      <c r="F25" s="3486" t="s">
        <v>3272</v>
      </c>
      <c r="G25" s="3486" t="s">
        <v>3273</v>
      </c>
      <c r="H25" s="3486" t="s">
        <v>3189</v>
      </c>
      <c r="I25" s="3486" t="s">
        <v>3274</v>
      </c>
      <c r="J25" s="3463" t="s">
        <v>3275</v>
      </c>
      <c r="K25" s="3487">
        <v>29.09</v>
      </c>
      <c r="L25" s="3464">
        <v>12773.36</v>
      </c>
      <c r="M25" s="3464">
        <v>231746.85</v>
      </c>
      <c r="N25" s="3465">
        <f>ROUND((L25+M25)/(K25*15),0)</f>
        <v>560</v>
      </c>
      <c r="O25" s="3488">
        <f>ROUND((M25+L25)/K25,2)</f>
        <v>8405.64</v>
      </c>
    </row>
    <row r="26" spans="1:15" ht="108">
      <c r="A26" s="3479">
        <v>2018</v>
      </c>
      <c r="B26" s="3468" t="s">
        <v>3276</v>
      </c>
      <c r="C26" s="3489" t="s">
        <v>3277</v>
      </c>
      <c r="D26" s="3482" t="s">
        <v>3252</v>
      </c>
      <c r="E26" s="3482" t="s">
        <v>3180</v>
      </c>
      <c r="F26" s="3482" t="s">
        <v>3278</v>
      </c>
      <c r="G26" s="3482" t="s">
        <v>3230</v>
      </c>
      <c r="H26" s="3482" t="s">
        <v>3189</v>
      </c>
      <c r="I26" s="3482" t="s">
        <v>3279</v>
      </c>
      <c r="J26" s="3482" t="s">
        <v>3280</v>
      </c>
      <c r="K26" s="3482">
        <v>165.53</v>
      </c>
      <c r="L26" s="3450">
        <v>55495.91</v>
      </c>
      <c r="M26" s="3450">
        <v>418159.92</v>
      </c>
      <c r="N26" s="3481"/>
      <c r="O26" s="3472">
        <f t="shared" si="0"/>
        <v>2861.45</v>
      </c>
    </row>
    <row r="27" spans="1:15" ht="156">
      <c r="A27" s="3479">
        <v>2018</v>
      </c>
      <c r="B27" s="3468" t="s">
        <v>3281</v>
      </c>
      <c r="C27" s="3489" t="s">
        <v>3277</v>
      </c>
      <c r="D27" s="3482" t="s">
        <v>3252</v>
      </c>
      <c r="E27" s="3482" t="s">
        <v>3180</v>
      </c>
      <c r="F27" s="3482" t="s">
        <v>3282</v>
      </c>
      <c r="G27" s="3482" t="s">
        <v>3283</v>
      </c>
      <c r="H27" s="3482" t="s">
        <v>3189</v>
      </c>
      <c r="I27" s="3482" t="s">
        <v>3284</v>
      </c>
      <c r="J27" s="3482" t="s">
        <v>3285</v>
      </c>
      <c r="K27" s="3490">
        <v>175.57</v>
      </c>
      <c r="L27" s="3450">
        <v>157294.39999999999</v>
      </c>
      <c r="M27" s="3450">
        <v>394653.43</v>
      </c>
      <c r="N27" s="3481"/>
      <c r="O27" s="3453">
        <f t="shared" si="0"/>
        <v>3143.75</v>
      </c>
    </row>
    <row r="28" spans="1:15" ht="120">
      <c r="A28" s="3479">
        <v>2018</v>
      </c>
      <c r="B28" s="3468" t="s">
        <v>3286</v>
      </c>
      <c r="C28" s="3491" t="s">
        <v>3287</v>
      </c>
      <c r="D28" s="3492" t="s">
        <v>3208</v>
      </c>
      <c r="E28" s="3492" t="s">
        <v>3180</v>
      </c>
      <c r="F28" s="3492" t="s">
        <v>3288</v>
      </c>
      <c r="G28" s="3492" t="s">
        <v>3289</v>
      </c>
      <c r="H28" s="3492" t="s">
        <v>3189</v>
      </c>
      <c r="I28" s="3492" t="s">
        <v>3290</v>
      </c>
      <c r="J28" s="3492" t="s">
        <v>3291</v>
      </c>
      <c r="K28" s="3482">
        <v>49.58</v>
      </c>
      <c r="L28" s="3450">
        <v>61873.95</v>
      </c>
      <c r="M28" s="3450">
        <v>240341.82</v>
      </c>
      <c r="N28" s="3453"/>
      <c r="O28" s="3453">
        <f t="shared" si="0"/>
        <v>6095.52</v>
      </c>
    </row>
    <row r="29" spans="1:15" s="3547" customFormat="1" ht="132">
      <c r="A29" s="3538">
        <v>2018</v>
      </c>
      <c r="B29" s="3539" t="s">
        <v>3286</v>
      </c>
      <c r="C29" s="3549" t="s">
        <v>3287</v>
      </c>
      <c r="D29" s="3548" t="s">
        <v>3292</v>
      </c>
      <c r="E29" s="3548" t="s">
        <v>3180</v>
      </c>
      <c r="F29" s="3548" t="s">
        <v>3333</v>
      </c>
      <c r="G29" s="3548" t="s">
        <v>3293</v>
      </c>
      <c r="H29" s="3548" t="s">
        <v>3189</v>
      </c>
      <c r="I29" s="3548" t="s">
        <v>3294</v>
      </c>
      <c r="J29" s="3548" t="s">
        <v>3295</v>
      </c>
      <c r="K29" s="3550">
        <v>113.32</v>
      </c>
      <c r="L29" s="3544">
        <v>84598.35</v>
      </c>
      <c r="M29" s="3544">
        <v>378467.53</v>
      </c>
      <c r="N29" s="3546"/>
      <c r="O29" s="3546">
        <f t="shared" si="0"/>
        <v>4086.36</v>
      </c>
    </row>
    <row r="30" spans="1:15" ht="120">
      <c r="A30" s="3479">
        <v>2018</v>
      </c>
      <c r="B30" s="3468" t="s">
        <v>3286</v>
      </c>
      <c r="C30" s="3454">
        <v>12</v>
      </c>
      <c r="D30" s="3492" t="s">
        <v>3252</v>
      </c>
      <c r="E30" s="3492" t="s">
        <v>3180</v>
      </c>
      <c r="F30" s="3492" t="s">
        <v>3296</v>
      </c>
      <c r="G30" s="3492" t="s">
        <v>3230</v>
      </c>
      <c r="H30" s="3492" t="s">
        <v>3189</v>
      </c>
      <c r="I30" s="3492" t="s">
        <v>3297</v>
      </c>
      <c r="J30" s="3492" t="s">
        <v>3298</v>
      </c>
      <c r="K30" s="3482">
        <v>239.14</v>
      </c>
      <c r="L30" s="3450">
        <v>61695.44</v>
      </c>
      <c r="M30" s="3450">
        <v>859650.5</v>
      </c>
      <c r="N30" s="3453"/>
      <c r="O30" s="3453">
        <f t="shared" si="0"/>
        <v>3852.75</v>
      </c>
    </row>
    <row r="31" spans="1:15" s="3533" customFormat="1" ht="132">
      <c r="A31" s="3527">
        <v>2018</v>
      </c>
      <c r="B31" s="3551" t="s">
        <v>3286</v>
      </c>
      <c r="C31" s="3552" t="s">
        <v>3287</v>
      </c>
      <c r="D31" s="3553" t="s">
        <v>3238</v>
      </c>
      <c r="E31" s="3553" t="s">
        <v>3180</v>
      </c>
      <c r="F31" s="3553" t="s">
        <v>3299</v>
      </c>
      <c r="G31" s="3553" t="s">
        <v>3300</v>
      </c>
      <c r="H31" s="3553" t="s">
        <v>3189</v>
      </c>
      <c r="I31" s="3553" t="s">
        <v>3301</v>
      </c>
      <c r="J31" s="3553" t="s">
        <v>3302</v>
      </c>
      <c r="K31" s="3535">
        <v>129.57</v>
      </c>
      <c r="L31" s="3554">
        <v>164075.88</v>
      </c>
      <c r="M31" s="3554">
        <v>363152.48</v>
      </c>
      <c r="N31" s="3531"/>
      <c r="O31" s="3531">
        <f t="shared" si="0"/>
        <v>4069.06</v>
      </c>
    </row>
    <row r="32" spans="1:15" ht="132">
      <c r="A32" s="3479">
        <v>2018</v>
      </c>
      <c r="B32" s="3468" t="s">
        <v>3281</v>
      </c>
      <c r="C32" s="3454" t="s">
        <v>3287</v>
      </c>
      <c r="D32" s="3492" t="s">
        <v>3252</v>
      </c>
      <c r="E32" s="3492" t="s">
        <v>3180</v>
      </c>
      <c r="F32" s="3492" t="s">
        <v>3303</v>
      </c>
      <c r="G32" s="3492" t="s">
        <v>3230</v>
      </c>
      <c r="H32" s="3492" t="s">
        <v>3189</v>
      </c>
      <c r="I32" s="3492" t="s">
        <v>3304</v>
      </c>
      <c r="J32" s="3492" t="s">
        <v>3305</v>
      </c>
      <c r="K32" s="3482">
        <v>55.01</v>
      </c>
      <c r="L32" s="3450">
        <v>61454.45</v>
      </c>
      <c r="M32" s="3450">
        <v>558371.41</v>
      </c>
      <c r="N32" s="3453"/>
      <c r="O32" s="3453">
        <f t="shared" si="0"/>
        <v>11267.51</v>
      </c>
    </row>
    <row r="33" spans="1:15">
      <c r="A33" s="3493"/>
      <c r="B33" s="3493"/>
      <c r="C33" s="3493"/>
      <c r="D33" s="3445"/>
      <c r="E33" s="3445"/>
      <c r="F33" s="3445"/>
      <c r="G33" s="3445"/>
      <c r="H33" s="3445"/>
      <c r="I33" s="3445"/>
      <c r="J33" s="3445"/>
      <c r="K33" s="3494">
        <f>K10+K11+K25</f>
        <v>175.6</v>
      </c>
      <c r="L33" s="3494">
        <f>L10+L11+L25</f>
        <v>90187.19</v>
      </c>
      <c r="M33" s="3494">
        <f>M10+M11+M25</f>
        <v>583984.16999999993</v>
      </c>
      <c r="N33" s="3445"/>
      <c r="O33" s="3445">
        <f>(M33+L33)/K33</f>
        <v>3839.2446469248284</v>
      </c>
    </row>
    <row r="34" spans="1:15">
      <c r="A34" s="3493"/>
      <c r="B34" s="3493"/>
      <c r="C34" s="3493"/>
      <c r="D34" s="3445"/>
      <c r="E34" s="3445"/>
      <c r="F34" s="3445"/>
      <c r="G34" s="3445"/>
      <c r="H34" s="3445"/>
      <c r="I34" s="3445"/>
      <c r="J34" s="3445"/>
      <c r="K34" s="3495"/>
      <c r="L34" s="3493"/>
      <c r="M34" s="3493"/>
      <c r="N34" s="3445">
        <f>ROUND((N10+N11+N25)/3,0)</f>
        <v>330</v>
      </c>
      <c r="O34" s="3445"/>
    </row>
    <row r="35" spans="1:15">
      <c r="A35" s="3496"/>
      <c r="B35" s="3493"/>
      <c r="C35" s="3493"/>
      <c r="D35" s="3445"/>
      <c r="E35" s="3445"/>
      <c r="F35" s="3445"/>
      <c r="G35" s="3445"/>
      <c r="H35" s="3445"/>
      <c r="I35" s="3445"/>
      <c r="J35" s="3445"/>
      <c r="K35" s="3495"/>
      <c r="L35" s="3493"/>
      <c r="M35" s="3493"/>
      <c r="N35" s="3445"/>
      <c r="O35" s="3445"/>
    </row>
    <row r="36" spans="1:15">
      <c r="A36" s="3493"/>
      <c r="B36" s="3493"/>
      <c r="C36" s="3493"/>
      <c r="D36" s="3445"/>
      <c r="E36" s="3445"/>
      <c r="F36" s="3445"/>
      <c r="G36" s="3445"/>
      <c r="H36" s="3445"/>
      <c r="I36" s="3445"/>
      <c r="J36" s="3445"/>
      <c r="K36" s="3495"/>
      <c r="L36" s="3493"/>
      <c r="M36" s="3493"/>
      <c r="N36" s="3445"/>
      <c r="O36" s="3445">
        <f>(O10+O11+O25)/3</f>
        <v>4956.7033333333338</v>
      </c>
    </row>
    <row r="37" spans="1:15">
      <c r="A37" s="3493"/>
      <c r="B37" s="3493"/>
      <c r="C37" s="3493"/>
      <c r="D37" s="3445"/>
      <c r="E37" s="3445"/>
      <c r="F37" s="3445"/>
      <c r="G37" s="3445"/>
      <c r="H37" s="3445"/>
      <c r="I37" s="3445"/>
      <c r="J37" s="3445"/>
      <c r="K37" s="3495"/>
      <c r="L37" s="3493"/>
      <c r="M37" s="3493"/>
      <c r="N37" s="3445">
        <f>ROUND(N34*'[8]数据-汇总表'!D3,0)</f>
        <v>7300194</v>
      </c>
      <c r="O37" s="3445"/>
    </row>
    <row r="41" spans="1:15">
      <c r="O41" s="3497">
        <f>ROUND(78411.77/7.65,2)</f>
        <v>10249.9</v>
      </c>
    </row>
    <row r="56" spans="15:15">
      <c r="O56" s="3497">
        <f>ROUND(60201.96/14.67,2)</f>
        <v>4103.75</v>
      </c>
    </row>
    <row r="60" spans="15:15">
      <c r="O60" s="3446">
        <f>ROUND((O27+O21+O25)/3,1)</f>
        <v>4302.3999999999996</v>
      </c>
    </row>
    <row r="84" spans="1:18" ht="14.25" thickBot="1"/>
    <row r="85" spans="1:18" ht="21.75" thickTop="1">
      <c r="A85" s="3850" t="s">
        <v>2337</v>
      </c>
      <c r="B85" s="3844" t="s">
        <v>1997</v>
      </c>
      <c r="C85" s="3498" t="s">
        <v>2876</v>
      </c>
      <c r="D85" s="3498" t="s">
        <v>3306</v>
      </c>
      <c r="E85" s="3844" t="s">
        <v>3161</v>
      </c>
      <c r="F85" s="3844" t="s">
        <v>1999</v>
      </c>
      <c r="G85" s="3844" t="s">
        <v>3307</v>
      </c>
      <c r="H85" s="3498" t="s">
        <v>3308</v>
      </c>
      <c r="I85" s="3844" t="s">
        <v>3309</v>
      </c>
      <c r="J85" s="3844" t="s">
        <v>3310</v>
      </c>
      <c r="K85" s="3852" t="s">
        <v>3311</v>
      </c>
      <c r="L85" s="3852" t="s">
        <v>3312</v>
      </c>
      <c r="M85" s="3854" t="s">
        <v>3313</v>
      </c>
      <c r="N85" s="3854" t="s">
        <v>3314</v>
      </c>
      <c r="O85" s="3856" t="s">
        <v>3315</v>
      </c>
    </row>
    <row r="86" spans="1:18" ht="21.75" customHeight="1" thickBot="1">
      <c r="A86" s="3851"/>
      <c r="B86" s="3845"/>
      <c r="C86" s="3499" t="s">
        <v>3316</v>
      </c>
      <c r="D86" s="3499" t="s">
        <v>3316</v>
      </c>
      <c r="E86" s="3845"/>
      <c r="F86" s="3845"/>
      <c r="G86" s="3845"/>
      <c r="H86" s="3500" t="s">
        <v>3317</v>
      </c>
      <c r="I86" s="3845"/>
      <c r="J86" s="3845"/>
      <c r="K86" s="3853"/>
      <c r="L86" s="3853"/>
      <c r="M86" s="3855"/>
      <c r="N86" s="3855"/>
      <c r="O86" s="3857"/>
    </row>
    <row r="87" spans="1:18" ht="84.75" thickTop="1">
      <c r="A87" s="3501">
        <v>1</v>
      </c>
      <c r="B87" s="3502" t="s">
        <v>3318</v>
      </c>
      <c r="C87" s="3503">
        <v>34812</v>
      </c>
      <c r="D87" s="3503">
        <v>19340</v>
      </c>
      <c r="E87" s="3503" t="s">
        <v>3319</v>
      </c>
      <c r="F87" s="3503">
        <v>1.8</v>
      </c>
      <c r="G87" s="3504">
        <v>43873</v>
      </c>
      <c r="H87" s="3503">
        <v>5764.87</v>
      </c>
      <c r="I87" s="3503">
        <v>2352.65</v>
      </c>
      <c r="J87" s="3503">
        <v>3412.22</v>
      </c>
      <c r="K87" s="3503">
        <v>1656</v>
      </c>
      <c r="L87" s="3503">
        <v>2980</v>
      </c>
      <c r="M87" s="3505" t="s">
        <v>927</v>
      </c>
      <c r="N87" s="3505" t="s">
        <v>927</v>
      </c>
      <c r="O87" s="3506">
        <v>0.59</v>
      </c>
      <c r="P87" s="3446">
        <f>I87*10000/D87</f>
        <v>1216.4684591520165</v>
      </c>
      <c r="R87" s="3446">
        <f>P87/L87</f>
        <v>0.40821089233289143</v>
      </c>
    </row>
    <row r="88" spans="1:18" ht="72">
      <c r="A88" s="3507">
        <v>2</v>
      </c>
      <c r="B88" s="3508" t="s">
        <v>3320</v>
      </c>
      <c r="C88" s="3509">
        <v>93237</v>
      </c>
      <c r="D88" s="3509">
        <v>46618.33</v>
      </c>
      <c r="E88" s="3509" t="s">
        <v>3319</v>
      </c>
      <c r="F88" s="3509">
        <v>2</v>
      </c>
      <c r="G88" s="3510">
        <v>43577</v>
      </c>
      <c r="H88" s="3509">
        <v>16204.59</v>
      </c>
      <c r="I88" s="3509">
        <v>5047.03</v>
      </c>
      <c r="J88" s="3509">
        <v>11157.56</v>
      </c>
      <c r="K88" s="3509">
        <v>1738</v>
      </c>
      <c r="L88" s="3509">
        <v>3476</v>
      </c>
      <c r="M88" s="3511">
        <v>3522</v>
      </c>
      <c r="N88" s="3511">
        <v>7044</v>
      </c>
      <c r="O88" s="3512">
        <v>0.69</v>
      </c>
      <c r="P88" s="3446">
        <f>I88*10000/D88</f>
        <v>1082.6277989795001</v>
      </c>
    </row>
    <row r="89" spans="1:18" ht="84">
      <c r="A89" s="3513">
        <v>3</v>
      </c>
      <c r="B89" s="3514" t="s">
        <v>3321</v>
      </c>
      <c r="C89" s="3515">
        <v>15660</v>
      </c>
      <c r="D89" s="3515">
        <v>8700</v>
      </c>
      <c r="E89" s="3515" t="s">
        <v>3319</v>
      </c>
      <c r="F89" s="3515">
        <v>1.8</v>
      </c>
      <c r="G89" s="3516">
        <v>43577</v>
      </c>
      <c r="H89" s="3515">
        <v>2593.3000000000002</v>
      </c>
      <c r="I89" s="3515">
        <v>1058.33</v>
      </c>
      <c r="J89" s="3515">
        <v>1534.97</v>
      </c>
      <c r="K89" s="3515">
        <v>1656</v>
      </c>
      <c r="L89" s="3515">
        <v>2980</v>
      </c>
      <c r="M89" s="3517">
        <v>3126</v>
      </c>
      <c r="N89" s="3517">
        <v>6252</v>
      </c>
      <c r="O89" s="3518">
        <v>0.59</v>
      </c>
      <c r="P89" s="3446">
        <f t="shared" ref="P89:P96" si="1">I89*10000/D89</f>
        <v>1216.471264367816</v>
      </c>
    </row>
    <row r="90" spans="1:18" ht="84">
      <c r="A90" s="3507">
        <v>4</v>
      </c>
      <c r="B90" s="3508" t="s">
        <v>3322</v>
      </c>
      <c r="C90" s="3509">
        <v>30055</v>
      </c>
      <c r="D90" s="3509">
        <v>16697.47</v>
      </c>
      <c r="E90" s="3509" t="s">
        <v>3319</v>
      </c>
      <c r="F90" s="3509">
        <v>1.8</v>
      </c>
      <c r="G90" s="3510">
        <v>43662</v>
      </c>
      <c r="H90" s="3509">
        <v>4977.1099999999997</v>
      </c>
      <c r="I90" s="3509">
        <v>2031.17</v>
      </c>
      <c r="J90" s="3509">
        <v>2945.94</v>
      </c>
      <c r="K90" s="3509">
        <v>1656</v>
      </c>
      <c r="L90" s="3509">
        <v>2980</v>
      </c>
      <c r="M90" s="3511">
        <v>3126</v>
      </c>
      <c r="N90" s="3511">
        <v>6252</v>
      </c>
      <c r="O90" s="3512">
        <v>0.59</v>
      </c>
      <c r="P90" s="3446">
        <f t="shared" si="1"/>
        <v>1216.4537501789193</v>
      </c>
    </row>
    <row r="91" spans="1:18">
      <c r="A91" s="3519"/>
      <c r="B91" s="3520"/>
      <c r="C91" s="3520"/>
      <c r="D91" s="3520"/>
      <c r="E91" s="3520"/>
      <c r="F91" s="3520"/>
      <c r="G91" s="3520"/>
      <c r="H91" s="3520"/>
      <c r="I91" s="3520"/>
      <c r="J91" s="3521" t="s">
        <v>3323</v>
      </c>
      <c r="K91" s="3521">
        <v>1677</v>
      </c>
      <c r="L91" s="3521">
        <v>3104</v>
      </c>
      <c r="M91" s="3520"/>
      <c r="N91" s="3520"/>
      <c r="O91" s="3522"/>
    </row>
    <row r="94" spans="1:18" ht="18" customHeight="1">
      <c r="A94" s="3846" t="s">
        <v>2337</v>
      </c>
      <c r="B94" s="3848" t="s">
        <v>1997</v>
      </c>
      <c r="C94" s="3848" t="s">
        <v>3324</v>
      </c>
      <c r="D94" s="3848" t="s">
        <v>3325</v>
      </c>
      <c r="E94" s="3848" t="s">
        <v>3161</v>
      </c>
      <c r="F94" s="3848" t="s">
        <v>1999</v>
      </c>
      <c r="G94" s="3848" t="s">
        <v>3307</v>
      </c>
      <c r="H94" s="3523" t="s">
        <v>3308</v>
      </c>
      <c r="I94" s="3848" t="s">
        <v>3309</v>
      </c>
      <c r="J94" s="3848" t="s">
        <v>3310</v>
      </c>
      <c r="K94" s="3848" t="s">
        <v>3326</v>
      </c>
      <c r="L94" s="3858" t="s">
        <v>3327</v>
      </c>
      <c r="M94" s="3865"/>
      <c r="N94" s="3858" t="s">
        <v>3315</v>
      </c>
      <c r="O94" s="3859"/>
    </row>
    <row r="95" spans="1:18">
      <c r="A95" s="3847"/>
      <c r="B95" s="3849"/>
      <c r="C95" s="3849"/>
      <c r="D95" s="3849"/>
      <c r="E95" s="3849"/>
      <c r="F95" s="3849"/>
      <c r="G95" s="3849"/>
      <c r="H95" s="3524" t="s">
        <v>3317</v>
      </c>
      <c r="I95" s="3849"/>
      <c r="J95" s="3849"/>
      <c r="K95" s="3849"/>
      <c r="L95" s="3860"/>
      <c r="M95" s="3866"/>
      <c r="N95" s="3860"/>
      <c r="O95" s="3861"/>
    </row>
    <row r="96" spans="1:18" ht="120">
      <c r="A96" s="3513">
        <v>1</v>
      </c>
      <c r="B96" s="3514" t="s">
        <v>3328</v>
      </c>
      <c r="C96" s="3515">
        <v>93400</v>
      </c>
      <c r="D96" s="3515">
        <v>46700</v>
      </c>
      <c r="E96" s="3515" t="s">
        <v>3329</v>
      </c>
      <c r="F96" s="3515">
        <v>2</v>
      </c>
      <c r="G96" s="3514" t="s">
        <v>3330</v>
      </c>
      <c r="H96" s="3514" t="s">
        <v>3331</v>
      </c>
      <c r="I96" s="3515">
        <v>5055.8599999999997</v>
      </c>
      <c r="J96" s="3515" t="s">
        <v>927</v>
      </c>
      <c r="K96" s="3515">
        <v>650</v>
      </c>
      <c r="L96" s="3862">
        <v>1299</v>
      </c>
      <c r="M96" s="3863"/>
      <c r="N96" s="3862" t="s">
        <v>927</v>
      </c>
      <c r="O96" s="3864"/>
      <c r="P96" s="3446">
        <f t="shared" si="1"/>
        <v>1082.6252676659528</v>
      </c>
    </row>
    <row r="104" spans="1:15">
      <c r="A104" s="3841" t="s">
        <v>3153</v>
      </c>
      <c r="B104" s="3841" t="s">
        <v>3154</v>
      </c>
      <c r="C104" s="3841" t="s">
        <v>3155</v>
      </c>
      <c r="D104" s="3841" t="s">
        <v>3156</v>
      </c>
      <c r="E104" s="3841" t="s">
        <v>3157</v>
      </c>
      <c r="F104" s="3841" t="s">
        <v>3158</v>
      </c>
      <c r="G104" s="3841" t="s">
        <v>3159</v>
      </c>
      <c r="H104" s="3841" t="s">
        <v>3160</v>
      </c>
      <c r="I104" s="3841" t="s">
        <v>3161</v>
      </c>
      <c r="J104" s="3841" t="s">
        <v>3162</v>
      </c>
      <c r="K104" s="3843" t="s">
        <v>3163</v>
      </c>
      <c r="L104" s="3843" t="s">
        <v>3164</v>
      </c>
      <c r="M104" s="3843"/>
    </row>
    <row r="105" spans="1:15" ht="22.5">
      <c r="A105" s="3841"/>
      <c r="B105" s="3841"/>
      <c r="C105" s="3841"/>
      <c r="D105" s="3841"/>
      <c r="E105" s="3841"/>
      <c r="F105" s="3841"/>
      <c r="G105" s="3841"/>
      <c r="H105" s="3841"/>
      <c r="I105" s="3841"/>
      <c r="J105" s="3841"/>
      <c r="K105" s="3843"/>
      <c r="L105" s="3447" t="s">
        <v>3165</v>
      </c>
      <c r="M105" s="3447" t="s">
        <v>3166</v>
      </c>
    </row>
    <row r="106" spans="1:15" s="3533" customFormat="1" ht="144">
      <c r="A106" s="3525">
        <v>2018</v>
      </c>
      <c r="B106" s="3526" t="s">
        <v>3256</v>
      </c>
      <c r="C106" s="3526" t="s">
        <v>3221</v>
      </c>
      <c r="D106" s="3527" t="s">
        <v>3215</v>
      </c>
      <c r="E106" s="3527" t="s">
        <v>3172</v>
      </c>
      <c r="F106" s="3527" t="s">
        <v>3257</v>
      </c>
      <c r="G106" s="3527" t="s">
        <v>3258</v>
      </c>
      <c r="H106" s="3527" t="s">
        <v>3175</v>
      </c>
      <c r="I106" s="3528" t="s">
        <v>3259</v>
      </c>
      <c r="J106" s="3529" t="s">
        <v>3260</v>
      </c>
      <c r="K106" s="3527">
        <v>726.3</v>
      </c>
      <c r="L106" s="3530">
        <v>281939.06</v>
      </c>
      <c r="M106" s="3530">
        <v>704305.38</v>
      </c>
      <c r="N106" s="3531"/>
      <c r="O106" s="3532">
        <f>ROUND((M106+L106)/K106,1)</f>
        <v>1357.9</v>
      </c>
    </row>
    <row r="107" spans="1:15" s="3533" customFormat="1" ht="96">
      <c r="A107" s="3527">
        <v>2018</v>
      </c>
      <c r="B107" s="3526" t="s">
        <v>3261</v>
      </c>
      <c r="C107" s="3534" t="s">
        <v>3170</v>
      </c>
      <c r="D107" s="3528" t="s">
        <v>3271</v>
      </c>
      <c r="E107" s="3528" t="s">
        <v>3180</v>
      </c>
      <c r="F107" s="3528" t="s">
        <v>3332</v>
      </c>
      <c r="G107" s="3528" t="s">
        <v>3273</v>
      </c>
      <c r="H107" s="3528" t="s">
        <v>3189</v>
      </c>
      <c r="I107" s="3528" t="s">
        <v>3274</v>
      </c>
      <c r="J107" s="3529" t="s">
        <v>3275</v>
      </c>
      <c r="K107" s="3535">
        <v>29.09</v>
      </c>
      <c r="L107" s="3530">
        <v>12773.36</v>
      </c>
      <c r="M107" s="3530">
        <v>231746.85</v>
      </c>
      <c r="N107" s="3536">
        <v>560</v>
      </c>
      <c r="O107" s="3532">
        <f t="shared" ref="O107:O108" si="2">ROUND((M107+L107)/K107,1)</f>
        <v>8405.6</v>
      </c>
    </row>
    <row r="108" spans="1:15" s="3533" customFormat="1" ht="156">
      <c r="A108" s="3527">
        <v>2018</v>
      </c>
      <c r="B108" s="3526" t="s">
        <v>3281</v>
      </c>
      <c r="C108" s="3527" t="s">
        <v>3277</v>
      </c>
      <c r="D108" s="3535" t="s">
        <v>3252</v>
      </c>
      <c r="E108" s="3535" t="s">
        <v>3180</v>
      </c>
      <c r="F108" s="3535" t="s">
        <v>3282</v>
      </c>
      <c r="G108" s="3535" t="s">
        <v>3283</v>
      </c>
      <c r="H108" s="3535" t="s">
        <v>3189</v>
      </c>
      <c r="I108" s="3535" t="s">
        <v>3284</v>
      </c>
      <c r="J108" s="3535" t="s">
        <v>3285</v>
      </c>
      <c r="K108" s="3535">
        <v>175.57</v>
      </c>
      <c r="L108" s="3530">
        <v>157294.39999999999</v>
      </c>
      <c r="M108" s="3530">
        <v>394653.43</v>
      </c>
      <c r="N108" s="3537"/>
      <c r="O108" s="3532">
        <f t="shared" si="2"/>
        <v>3143.7</v>
      </c>
    </row>
    <row r="124" spans="7:10">
      <c r="G124" s="3558" t="s">
        <v>3114</v>
      </c>
      <c r="H124" s="3559">
        <v>0</v>
      </c>
      <c r="I124" s="3560">
        <f>1+H124</f>
        <v>1</v>
      </c>
      <c r="J124" s="3561">
        <f>ROUND(100/I124,1)</f>
        <v>100</v>
      </c>
    </row>
    <row r="125" spans="7:10">
      <c r="G125" s="3562" t="s">
        <v>3113</v>
      </c>
      <c r="H125" s="3563">
        <v>0</v>
      </c>
      <c r="I125" s="3560">
        <f t="shared" ref="I125:I140" si="3">1+H125</f>
        <v>1</v>
      </c>
      <c r="J125" s="3561">
        <f t="shared" ref="J125:J140" si="4">ROUND(100/I125,1)</f>
        <v>100</v>
      </c>
    </row>
    <row r="126" spans="7:10">
      <c r="G126" s="3562" t="s">
        <v>2961</v>
      </c>
      <c r="H126" s="3563">
        <v>4.7999999999999996E-3</v>
      </c>
      <c r="I126" s="3560">
        <f t="shared" si="3"/>
        <v>1.0047999999999999</v>
      </c>
      <c r="J126" s="3561">
        <f t="shared" si="4"/>
        <v>99.5</v>
      </c>
    </row>
    <row r="127" spans="7:10">
      <c r="G127" s="3562" t="s">
        <v>2960</v>
      </c>
      <c r="H127" s="3563">
        <v>1.01E-2</v>
      </c>
      <c r="I127" s="3560">
        <f t="shared" si="3"/>
        <v>1.0101</v>
      </c>
      <c r="J127" s="3561">
        <f t="shared" si="4"/>
        <v>99</v>
      </c>
    </row>
    <row r="128" spans="7:10">
      <c r="G128" s="3562" t="s">
        <v>2959</v>
      </c>
      <c r="H128" s="3563">
        <v>3.5999999999999999E-3</v>
      </c>
      <c r="I128" s="3560">
        <f t="shared" si="3"/>
        <v>1.0036</v>
      </c>
      <c r="J128" s="3561">
        <f t="shared" si="4"/>
        <v>99.6</v>
      </c>
    </row>
    <row r="129" spans="7:10">
      <c r="G129" s="3562" t="s">
        <v>2958</v>
      </c>
      <c r="H129" s="3563">
        <v>2.69E-2</v>
      </c>
      <c r="I129" s="3560">
        <f t="shared" si="3"/>
        <v>1.0268999999999999</v>
      </c>
      <c r="J129" s="3561">
        <f t="shared" si="4"/>
        <v>97.4</v>
      </c>
    </row>
    <row r="130" spans="7:10">
      <c r="G130" s="3562" t="s">
        <v>2957</v>
      </c>
      <c r="H130" s="3563">
        <v>7.000000000000001E-4</v>
      </c>
      <c r="I130" s="3560">
        <f t="shared" si="3"/>
        <v>1.0006999999999999</v>
      </c>
      <c r="J130" s="3561">
        <f t="shared" si="4"/>
        <v>99.9</v>
      </c>
    </row>
    <row r="131" spans="7:10">
      <c r="G131" s="3562" t="s">
        <v>2920</v>
      </c>
      <c r="H131" s="3563">
        <v>4.6999999999999993E-3</v>
      </c>
      <c r="I131" s="3560">
        <f t="shared" si="3"/>
        <v>1.0046999999999999</v>
      </c>
      <c r="J131" s="3561">
        <f t="shared" si="4"/>
        <v>99.5</v>
      </c>
    </row>
    <row r="132" spans="7:10">
      <c r="G132" s="3562" t="s">
        <v>2918</v>
      </c>
      <c r="H132" s="3563">
        <v>2.7000000000000001E-3</v>
      </c>
      <c r="I132" s="3560">
        <f t="shared" si="3"/>
        <v>1.0026999999999999</v>
      </c>
      <c r="J132" s="3561">
        <f t="shared" si="4"/>
        <v>99.7</v>
      </c>
    </row>
    <row r="133" spans="7:10">
      <c r="G133" s="3562" t="s">
        <v>2915</v>
      </c>
      <c r="H133" s="3563">
        <v>4.7999999999999996E-3</v>
      </c>
      <c r="I133" s="3560">
        <f t="shared" si="3"/>
        <v>1.0047999999999999</v>
      </c>
      <c r="J133" s="3561">
        <f t="shared" si="4"/>
        <v>99.5</v>
      </c>
    </row>
    <row r="134" spans="7:10">
      <c r="G134" s="3562" t="s">
        <v>2914</v>
      </c>
      <c r="H134" s="3563">
        <v>1.03E-2</v>
      </c>
      <c r="I134" s="3560">
        <f t="shared" si="3"/>
        <v>1.0103</v>
      </c>
      <c r="J134" s="3561">
        <f t="shared" si="4"/>
        <v>99</v>
      </c>
    </row>
    <row r="135" spans="7:10">
      <c r="G135" s="3562" t="s">
        <v>2913</v>
      </c>
      <c r="H135" s="3563">
        <v>1.2500000000000001E-2</v>
      </c>
      <c r="I135" s="3560">
        <f t="shared" si="3"/>
        <v>1.0125</v>
      </c>
      <c r="J135" s="3561">
        <f t="shared" si="4"/>
        <v>98.8</v>
      </c>
    </row>
    <row r="136" spans="7:10">
      <c r="G136" s="3562" t="s">
        <v>2912</v>
      </c>
      <c r="H136" s="3563">
        <v>1.1299999999999999E-2</v>
      </c>
      <c r="I136" s="3560">
        <f t="shared" si="3"/>
        <v>1.0113000000000001</v>
      </c>
      <c r="J136" s="3561">
        <f t="shared" si="4"/>
        <v>98.9</v>
      </c>
    </row>
    <row r="137" spans="7:10">
      <c r="G137" s="2864" t="s">
        <v>2910</v>
      </c>
      <c r="H137" s="3563">
        <v>1.29E-2</v>
      </c>
      <c r="I137" s="3560">
        <f t="shared" si="3"/>
        <v>1.0128999999999999</v>
      </c>
      <c r="J137" s="3561">
        <f t="shared" si="4"/>
        <v>98.7</v>
      </c>
    </row>
    <row r="138" spans="7:10">
      <c r="G138" s="2864" t="s">
        <v>2903</v>
      </c>
      <c r="H138" s="3563">
        <v>1.7399999999999999E-2</v>
      </c>
      <c r="I138" s="3560">
        <f t="shared" si="3"/>
        <v>1.0174000000000001</v>
      </c>
      <c r="J138" s="3561">
        <f t="shared" si="4"/>
        <v>98.3</v>
      </c>
    </row>
    <row r="139" spans="7:10">
      <c r="G139" s="2864" t="s">
        <v>2904</v>
      </c>
      <c r="H139" s="3563">
        <v>2.4399999999999998E-2</v>
      </c>
      <c r="I139" s="3560">
        <f t="shared" si="3"/>
        <v>1.0244</v>
      </c>
      <c r="J139" s="3561">
        <f t="shared" si="4"/>
        <v>97.6</v>
      </c>
    </row>
    <row r="140" spans="7:10">
      <c r="G140" s="2864" t="s">
        <v>2900</v>
      </c>
      <c r="H140" s="3563">
        <v>2.0099999999999996E-2</v>
      </c>
      <c r="I140" s="3560">
        <f t="shared" si="3"/>
        <v>1.0201</v>
      </c>
      <c r="J140" s="3561">
        <f t="shared" si="4"/>
        <v>98</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{7DD09CD5-18B3-40B4-91B7-6B5690AA4DBF}</x14:id>
        </ext>
      </extLst>
    </cfRule>
  </conditionalFormatting>
  <conditionalFormatting sqref="B27">
    <cfRule type="dataBar" priority="7">
      <dataBar>
        <cfvo type="min"/>
        <cfvo type="max"/>
        <color rgb="FF638EC6"/>
      </dataBar>
      <extLst>
        <ext xmlns:x14="http://schemas.microsoft.com/office/spreadsheetml/2009/9/main" uri="{B025F937-C7B1-47D3-B67F-A62EFF666E3E}">
          <x14:id>{ECD0C89C-533F-4CA4-8A8B-00720BE30061}</x14:id>
        </ext>
      </extLst>
    </cfRule>
  </conditionalFormatting>
  <conditionalFormatting sqref="B28">
    <cfRule type="dataBar" priority="6">
      <dataBar>
        <cfvo type="min"/>
        <cfvo type="max"/>
        <color rgb="FF638EC6"/>
      </dataBar>
      <extLst>
        <ext xmlns:x14="http://schemas.microsoft.com/office/spreadsheetml/2009/9/main" uri="{B025F937-C7B1-47D3-B67F-A62EFF666E3E}">
          <x14:id>{51EDD571-399C-4970-BECD-7E6D298F218A}</x14:id>
        </ext>
      </extLst>
    </cfRule>
  </conditionalFormatting>
  <conditionalFormatting sqref="B29">
    <cfRule type="dataBar" priority="5">
      <dataBar>
        <cfvo type="min"/>
        <cfvo type="max"/>
        <color rgb="FF638EC6"/>
      </dataBar>
      <extLst>
        <ext xmlns:x14="http://schemas.microsoft.com/office/spreadsheetml/2009/9/main" uri="{B025F937-C7B1-47D3-B67F-A62EFF666E3E}">
          <x14:id>{58243A3F-1192-4BA3-A272-F1CB928AFAE0}</x14:id>
        </ext>
      </extLst>
    </cfRule>
  </conditionalFormatting>
  <conditionalFormatting sqref="B30">
    <cfRule type="dataBar" priority="4">
      <dataBar>
        <cfvo type="min"/>
        <cfvo type="max"/>
        <color rgb="FF638EC6"/>
      </dataBar>
      <extLst>
        <ext xmlns:x14="http://schemas.microsoft.com/office/spreadsheetml/2009/9/main" uri="{B025F937-C7B1-47D3-B67F-A62EFF666E3E}">
          <x14:id>{2C6E73C4-4864-4E59-BE67-AF738FF2AC12}</x14:id>
        </ext>
      </extLst>
    </cfRule>
  </conditionalFormatting>
  <conditionalFormatting sqref="B31">
    <cfRule type="dataBar" priority="3">
      <dataBar>
        <cfvo type="min"/>
        <cfvo type="max"/>
        <color rgb="FF638EC6"/>
      </dataBar>
      <extLst>
        <ext xmlns:x14="http://schemas.microsoft.com/office/spreadsheetml/2009/9/main" uri="{B025F937-C7B1-47D3-B67F-A62EFF666E3E}">
          <x14:id>{F17FFBD4-DADC-4B00-9F5C-DB043CAD6881}</x14:id>
        </ext>
      </extLst>
    </cfRule>
  </conditionalFormatting>
  <conditionalFormatting sqref="B32">
    <cfRule type="dataBar" priority="2">
      <dataBar>
        <cfvo type="min"/>
        <cfvo type="max"/>
        <color rgb="FF638EC6"/>
      </dataBar>
      <extLst>
        <ext xmlns:x14="http://schemas.microsoft.com/office/spreadsheetml/2009/9/main" uri="{B025F937-C7B1-47D3-B67F-A62EFF666E3E}">
          <x14:id>{38BEF95F-04A3-4FFE-AF7E-9A9F4011CEED}</x14:id>
        </ext>
      </extLst>
    </cfRule>
  </conditionalFormatting>
  <conditionalFormatting sqref="B108">
    <cfRule type="dataBar" priority="1">
      <dataBar>
        <cfvo type="min"/>
        <cfvo type="max"/>
        <color rgb="FF638EC6"/>
      </dataBar>
      <extLst>
        <ext xmlns:x14="http://schemas.microsoft.com/office/spreadsheetml/2009/9/main" uri="{B025F937-C7B1-47D3-B67F-A62EFF666E3E}">
          <x14:id>{A6AA4386-973F-46B4-90DE-AAD41E9C2E72}</x14:id>
        </ext>
      </extLst>
    </cfRule>
  </conditionalFormatting>
  <dataValidations count="1">
    <dataValidation type="list" allowBlank="1" showInputMessage="1" showErrorMessage="1" sqref="E6 E10:E32 E106:E108" xr:uid="{60DC8EE4-3114-4DD8-8EC1-DF6B8F6551AE}">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7DD09CD5-18B3-40B4-91B7-6B5690AA4DBF}">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ECD0C89C-533F-4CA4-8A8B-00720BE30061}">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51EDD571-399C-4970-BECD-7E6D298F218A}">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58243A3F-1192-4BA3-A272-F1CB928AFA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2C6E73C4-4864-4E59-BE67-AF738FF2AC1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F17FFBD4-DADC-4B00-9F5C-DB043CAD688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8BEF95F-04A3-4FFE-AF7E-9A9F4011CEED}">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A6AA4386-973F-46B4-90DE-AAD41E9C2E72}">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2911</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74" t="s">
        <v>982</v>
      </c>
      <c r="B18" s="1119" t="s">
        <v>1421</v>
      </c>
      <c r="C18" s="1096" t="s">
        <v>1422</v>
      </c>
      <c r="D18" s="1097"/>
      <c r="E18" s="1119">
        <v>1</v>
      </c>
      <c r="F18" s="1098" t="s">
        <v>1423</v>
      </c>
      <c r="G18" s="1099"/>
      <c r="H18" s="1070"/>
      <c r="I18" s="1070"/>
    </row>
    <row r="19" spans="1:9" s="1504" customFormat="1" ht="19.5" customHeight="1">
      <c r="A19" s="3774"/>
      <c r="B19" s="3774" t="s">
        <v>1424</v>
      </c>
      <c r="C19" s="1096" t="s">
        <v>1425</v>
      </c>
      <c r="D19" s="1097"/>
      <c r="E19" s="1119">
        <v>0.9</v>
      </c>
      <c r="F19" s="1098" t="s">
        <v>1426</v>
      </c>
      <c r="G19" s="1099"/>
      <c r="H19" s="1070"/>
      <c r="I19" s="1070"/>
    </row>
    <row r="20" spans="1:9" s="1504" customFormat="1" ht="19.5" customHeight="1">
      <c r="A20" s="3774"/>
      <c r="B20" s="3774"/>
      <c r="C20" s="1096" t="s">
        <v>1427</v>
      </c>
      <c r="D20" s="1097"/>
      <c r="E20" s="1119">
        <v>1.1000000000000001</v>
      </c>
      <c r="F20" s="1098" t="s">
        <v>1428</v>
      </c>
      <c r="G20" s="1099"/>
      <c r="H20" s="1070"/>
      <c r="I20" s="1070"/>
    </row>
    <row r="21" spans="1:9" s="1504" customFormat="1" ht="19.5" customHeight="1">
      <c r="A21" s="3774"/>
      <c r="B21" s="3774"/>
      <c r="C21" s="1096" t="s">
        <v>1429</v>
      </c>
      <c r="D21" s="1097"/>
      <c r="E21" s="1119">
        <v>0.8</v>
      </c>
      <c r="F21" s="1098" t="s">
        <v>1430</v>
      </c>
      <c r="G21" s="1099"/>
      <c r="H21" s="1070"/>
      <c r="I21" s="1070"/>
    </row>
    <row r="22" spans="1:9" s="1504" customFormat="1" ht="19.5" customHeight="1">
      <c r="A22" s="3774"/>
      <c r="B22" s="3774"/>
      <c r="C22" s="1096" t="s">
        <v>1431</v>
      </c>
      <c r="D22" s="1097"/>
      <c r="E22" s="1119">
        <v>0.5</v>
      </c>
      <c r="F22" s="1098"/>
      <c r="G22" s="1099"/>
      <c r="H22" s="1070"/>
      <c r="I22" s="1070"/>
    </row>
    <row r="23" spans="1:9" s="1504" customFormat="1" ht="19.5" customHeight="1">
      <c r="A23" s="3774" t="s">
        <v>1004</v>
      </c>
      <c r="B23" s="1119" t="s">
        <v>1421</v>
      </c>
      <c r="C23" s="1096" t="s">
        <v>1432</v>
      </c>
      <c r="D23" s="1097"/>
      <c r="E23" s="1119">
        <v>1</v>
      </c>
      <c r="F23" s="1098" t="s">
        <v>1433</v>
      </c>
      <c r="G23" s="1099"/>
      <c r="H23" s="1070"/>
      <c r="I23" s="1070"/>
    </row>
    <row r="24" spans="1:9" s="1504" customFormat="1" ht="19.5" customHeight="1">
      <c r="A24" s="3774"/>
      <c r="B24" s="3774" t="s">
        <v>1424</v>
      </c>
      <c r="C24" s="1096" t="s">
        <v>1434</v>
      </c>
      <c r="D24" s="1097"/>
      <c r="E24" s="1119">
        <v>0.5</v>
      </c>
      <c r="F24" s="1098"/>
      <c r="G24" s="1099"/>
      <c r="H24" s="1070"/>
      <c r="I24" s="1070"/>
    </row>
    <row r="25" spans="1:9" s="1504" customFormat="1" ht="19.5" customHeight="1">
      <c r="A25" s="3774"/>
      <c r="B25" s="3774"/>
      <c r="C25" s="1096" t="s">
        <v>1435</v>
      </c>
      <c r="D25" s="1097"/>
      <c r="E25" s="1119">
        <v>1.1000000000000001</v>
      </c>
      <c r="F25" s="1098"/>
      <c r="G25" s="1099"/>
      <c r="H25" s="1070"/>
      <c r="I25" s="1070"/>
    </row>
    <row r="26" spans="1:9" s="1504" customFormat="1" ht="19.5" customHeight="1">
      <c r="A26" s="3774"/>
      <c r="B26" s="3774"/>
      <c r="C26" s="1096" t="s">
        <v>1436</v>
      </c>
      <c r="D26" s="1097"/>
      <c r="E26" s="1119">
        <v>1.1000000000000001</v>
      </c>
      <c r="F26" s="1098"/>
      <c r="G26" s="1099"/>
      <c r="H26" s="1070"/>
      <c r="I26" s="1070"/>
    </row>
    <row r="27" spans="1:9" s="1504" customFormat="1" ht="19.5" customHeight="1">
      <c r="A27" s="3774"/>
      <c r="B27" s="3774"/>
      <c r="C27" s="1096" t="s">
        <v>1437</v>
      </c>
      <c r="D27" s="1097"/>
      <c r="E27" s="1119">
        <v>0.9</v>
      </c>
      <c r="F27" s="1098" t="s">
        <v>1438</v>
      </c>
      <c r="G27" s="1099"/>
      <c r="H27" s="1070"/>
      <c r="I27" s="1070"/>
    </row>
    <row r="28" spans="1:9" s="1504" customFormat="1" ht="19.5" customHeight="1">
      <c r="A28" s="3774"/>
      <c r="B28" s="3774"/>
      <c r="C28" s="1096" t="s">
        <v>1439</v>
      </c>
      <c r="D28" s="1097"/>
      <c r="E28" s="1119">
        <v>0.9</v>
      </c>
      <c r="F28" s="1098" t="s">
        <v>1440</v>
      </c>
      <c r="G28" s="1099"/>
      <c r="H28" s="1070"/>
      <c r="I28" s="1070"/>
    </row>
    <row r="29" spans="1:9" s="1504" customFormat="1" ht="19.5" customHeight="1">
      <c r="A29" s="3774"/>
      <c r="B29" s="3774"/>
      <c r="C29" s="1096" t="s">
        <v>1441</v>
      </c>
      <c r="D29" s="1097"/>
      <c r="E29" s="1119">
        <v>0.9</v>
      </c>
      <c r="F29" s="1098" t="s">
        <v>1442</v>
      </c>
      <c r="G29" s="1099"/>
      <c r="H29" s="1070"/>
      <c r="I29" s="1070"/>
    </row>
    <row r="30" spans="1:9" s="1504" customFormat="1" ht="19.5" customHeight="1">
      <c r="A30" s="3774"/>
      <c r="B30" s="3774"/>
      <c r="C30" s="1096" t="s">
        <v>1443</v>
      </c>
      <c r="D30" s="1097"/>
      <c r="E30" s="1119">
        <v>0.9</v>
      </c>
      <c r="F30" s="1098" t="s">
        <v>1444</v>
      </c>
      <c r="G30" s="1099"/>
      <c r="H30" s="1070"/>
      <c r="I30" s="1070"/>
    </row>
    <row r="31" spans="1:9" s="1504" customFormat="1" ht="19.5" customHeight="1">
      <c r="A31" s="3774"/>
      <c r="B31" s="3774"/>
      <c r="C31" s="1096" t="s">
        <v>1445</v>
      </c>
      <c r="D31" s="1097"/>
      <c r="E31" s="1119">
        <v>0.8</v>
      </c>
      <c r="F31" s="1098" t="s">
        <v>1446</v>
      </c>
      <c r="G31" s="1099"/>
      <c r="H31" s="1070"/>
      <c r="I31" s="1070"/>
    </row>
    <row r="32" spans="1:9" s="1504" customFormat="1" ht="19.5" customHeight="1">
      <c r="A32" s="3774"/>
      <c r="B32" s="3774"/>
      <c r="C32" s="1096" t="s">
        <v>1447</v>
      </c>
      <c r="D32" s="1097"/>
      <c r="E32" s="1119">
        <v>0.8</v>
      </c>
      <c r="F32" s="1098" t="s">
        <v>1448</v>
      </c>
      <c r="G32" s="1099"/>
      <c r="H32" s="1070"/>
      <c r="I32" s="1070"/>
    </row>
    <row r="33" spans="1:9" s="1504" customFormat="1" ht="19.5" customHeight="1">
      <c r="A33" s="3774" t="s">
        <v>1449</v>
      </c>
      <c r="B33" s="1119" t="s">
        <v>1421</v>
      </c>
      <c r="C33" s="1096" t="s">
        <v>1450</v>
      </c>
      <c r="D33" s="1097"/>
      <c r="E33" s="1119">
        <v>1</v>
      </c>
      <c r="F33" s="1098" t="s">
        <v>1451</v>
      </c>
      <c r="G33" s="1099"/>
      <c r="H33" s="1070"/>
      <c r="I33" s="1070"/>
    </row>
    <row r="34" spans="1:9" s="1504" customFormat="1" ht="19.5" customHeight="1">
      <c r="A34" s="3774"/>
      <c r="B34" s="1119" t="s">
        <v>1424</v>
      </c>
      <c r="C34" s="1096" t="s">
        <v>1452</v>
      </c>
      <c r="D34" s="1097"/>
      <c r="E34" s="1119">
        <v>1.5</v>
      </c>
      <c r="F34" s="1098" t="s">
        <v>1453</v>
      </c>
      <c r="G34" s="1099"/>
      <c r="H34" s="1070"/>
      <c r="I34" s="1070"/>
    </row>
    <row r="35" spans="1:9" s="1504" customFormat="1" ht="19.5" customHeight="1">
      <c r="A35" s="3774" t="s">
        <v>1407</v>
      </c>
      <c r="B35" s="1119" t="s">
        <v>1421</v>
      </c>
      <c r="C35" s="1096" t="s">
        <v>1454</v>
      </c>
      <c r="D35" s="1097"/>
      <c r="E35" s="1119">
        <v>1</v>
      </c>
      <c r="F35" s="1098" t="s">
        <v>1455</v>
      </c>
      <c r="G35" s="1099"/>
      <c r="H35" s="1070"/>
      <c r="I35" s="1070"/>
    </row>
    <row r="36" spans="1:9" s="1504" customFormat="1" ht="19.5" customHeight="1">
      <c r="A36" s="3774"/>
      <c r="B36" s="3774" t="s">
        <v>1424</v>
      </c>
      <c r="C36" s="1096" t="s">
        <v>1456</v>
      </c>
      <c r="D36" s="1097"/>
      <c r="E36" s="1119">
        <v>1</v>
      </c>
      <c r="F36" s="1098" t="s">
        <v>1457</v>
      </c>
      <c r="G36" s="1099"/>
      <c r="H36" s="1070"/>
      <c r="I36" s="1070"/>
    </row>
    <row r="37" spans="1:9" s="1504" customFormat="1" ht="19.5" customHeight="1">
      <c r="A37" s="3774"/>
      <c r="B37" s="3774"/>
      <c r="C37" s="1096" t="s">
        <v>1458</v>
      </c>
      <c r="D37" s="1097"/>
      <c r="E37" s="1119">
        <v>1.5</v>
      </c>
      <c r="F37" s="1098" t="s">
        <v>1459</v>
      </c>
      <c r="G37" s="1099"/>
      <c r="H37" s="1070"/>
      <c r="I37" s="1070"/>
    </row>
    <row r="38" spans="1:9" s="1504" customFormat="1" ht="19.5" customHeight="1">
      <c r="A38" s="3774"/>
      <c r="B38" s="3774"/>
      <c r="C38" s="1096" t="s">
        <v>1460</v>
      </c>
      <c r="D38" s="1097"/>
      <c r="E38" s="1119">
        <v>1</v>
      </c>
      <c r="F38" s="1098" t="s">
        <v>1461</v>
      </c>
      <c r="G38" s="1099"/>
      <c r="H38" s="1070"/>
      <c r="I38" s="1070"/>
    </row>
    <row r="39" spans="1:9" s="1504" customFormat="1" ht="19.5" customHeight="1">
      <c r="A39" s="3774"/>
      <c r="B39" s="3774"/>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74" t="s">
        <v>1476</v>
      </c>
      <c r="C61" s="1033" t="s">
        <v>1477</v>
      </c>
      <c r="D61" s="1033" t="s">
        <v>1478</v>
      </c>
      <c r="E61" s="1104">
        <v>0.5</v>
      </c>
      <c r="F61" s="1119">
        <v>80</v>
      </c>
      <c r="H61" s="1070">
        <f>SUMIF(C59:C119,基准地价!C8,E59:E119)</f>
        <v>0</v>
      </c>
    </row>
    <row r="62" spans="1:8" s="1070" customFormat="1" ht="24">
      <c r="A62" s="1119">
        <v>2</v>
      </c>
      <c r="B62" s="3774"/>
      <c r="C62" s="1033" t="s">
        <v>1479</v>
      </c>
      <c r="D62" s="1033" t="s">
        <v>1480</v>
      </c>
      <c r="E62" s="1104">
        <v>0.5</v>
      </c>
      <c r="F62" s="1119">
        <v>80</v>
      </c>
    </row>
    <row r="63" spans="1:8" s="1070" customFormat="1" ht="36">
      <c r="A63" s="1119">
        <v>3</v>
      </c>
      <c r="B63" s="3774"/>
      <c r="C63" s="1033" t="s">
        <v>1481</v>
      </c>
      <c r="D63" s="1033" t="s">
        <v>1482</v>
      </c>
      <c r="E63" s="1104">
        <v>0.5</v>
      </c>
      <c r="F63" s="1119">
        <v>80</v>
      </c>
    </row>
    <row r="64" spans="1:8" s="1070" customFormat="1" ht="36">
      <c r="A64" s="1119">
        <v>4</v>
      </c>
      <c r="B64" s="3774"/>
      <c r="C64" s="1033" t="s">
        <v>1483</v>
      </c>
      <c r="D64" s="1033" t="s">
        <v>1484</v>
      </c>
      <c r="E64" s="1104">
        <v>0.4</v>
      </c>
      <c r="F64" s="1119">
        <v>60</v>
      </c>
    </row>
    <row r="65" spans="1:6" s="1070" customFormat="1" ht="36">
      <c r="A65" s="1119">
        <v>5</v>
      </c>
      <c r="B65" s="3774"/>
      <c r="C65" s="1033" t="s">
        <v>1485</v>
      </c>
      <c r="D65" s="1033" t="s">
        <v>1486</v>
      </c>
      <c r="E65" s="1104">
        <v>0.2</v>
      </c>
      <c r="F65" s="1119">
        <v>30</v>
      </c>
    </row>
    <row r="66" spans="1:6" s="1070" customFormat="1" ht="36">
      <c r="A66" s="1119">
        <v>6</v>
      </c>
      <c r="B66" s="3774"/>
      <c r="C66" s="1033" t="s">
        <v>1487</v>
      </c>
      <c r="D66" s="1033" t="s">
        <v>1488</v>
      </c>
      <c r="E66" s="1104">
        <v>0.3</v>
      </c>
      <c r="F66" s="1119">
        <v>50</v>
      </c>
    </row>
    <row r="67" spans="1:6" s="1070" customFormat="1" ht="36">
      <c r="A67" s="1119">
        <v>7</v>
      </c>
      <c r="B67" s="3774"/>
      <c r="C67" s="1033" t="s">
        <v>1489</v>
      </c>
      <c r="D67" s="1033" t="s">
        <v>1490</v>
      </c>
      <c r="E67" s="1104">
        <v>0.2</v>
      </c>
      <c r="F67" s="1119">
        <v>30</v>
      </c>
    </row>
    <row r="68" spans="1:6" s="1070" customFormat="1" ht="36">
      <c r="A68" s="1119">
        <v>8</v>
      </c>
      <c r="B68" s="3774"/>
      <c r="C68" s="1033" t="s">
        <v>1491</v>
      </c>
      <c r="D68" s="1033" t="s">
        <v>1492</v>
      </c>
      <c r="E68" s="1104">
        <v>0.2</v>
      </c>
      <c r="F68" s="1119">
        <v>30</v>
      </c>
    </row>
    <row r="69" spans="1:6" s="1070" customFormat="1" ht="36">
      <c r="A69" s="1119">
        <v>9</v>
      </c>
      <c r="B69" s="3774"/>
      <c r="C69" s="1033" t="s">
        <v>1493</v>
      </c>
      <c r="D69" s="1033" t="s">
        <v>1494</v>
      </c>
      <c r="E69" s="1104">
        <v>0.2</v>
      </c>
      <c r="F69" s="1119">
        <v>30</v>
      </c>
    </row>
    <row r="70" spans="1:6" s="1070" customFormat="1" ht="48">
      <c r="A70" s="1119">
        <v>10</v>
      </c>
      <c r="B70" s="3774"/>
      <c r="C70" s="1033" t="s">
        <v>1495</v>
      </c>
      <c r="D70" s="1033" t="s">
        <v>1496</v>
      </c>
      <c r="E70" s="1104">
        <v>0.2</v>
      </c>
      <c r="F70" s="1119">
        <v>30</v>
      </c>
    </row>
    <row r="71" spans="1:6" s="1070" customFormat="1" ht="48">
      <c r="A71" s="1119">
        <v>11</v>
      </c>
      <c r="B71" s="3774"/>
      <c r="C71" s="1033" t="s">
        <v>1497</v>
      </c>
      <c r="D71" s="1033" t="s">
        <v>1498</v>
      </c>
      <c r="E71" s="1104">
        <v>0.2</v>
      </c>
      <c r="F71" s="1119">
        <v>30</v>
      </c>
    </row>
    <row r="72" spans="1:6" s="1070" customFormat="1" ht="36">
      <c r="A72" s="1119">
        <v>12</v>
      </c>
      <c r="B72" s="3774"/>
      <c r="C72" s="1033" t="s">
        <v>1499</v>
      </c>
      <c r="D72" s="1033" t="s">
        <v>1500</v>
      </c>
      <c r="E72" s="1104">
        <v>0.5</v>
      </c>
      <c r="F72" s="1119">
        <v>80</v>
      </c>
    </row>
    <row r="73" spans="1:6" s="1070" customFormat="1" ht="24">
      <c r="A73" s="1119">
        <v>13</v>
      </c>
      <c r="B73" s="3774"/>
      <c r="C73" s="1033" t="s">
        <v>1501</v>
      </c>
      <c r="D73" s="1033" t="s">
        <v>1502</v>
      </c>
      <c r="E73" s="1104">
        <v>0.4</v>
      </c>
      <c r="F73" s="1119">
        <v>60</v>
      </c>
    </row>
    <row r="74" spans="1:6" s="1070" customFormat="1" ht="24">
      <c r="A74" s="1119">
        <v>14</v>
      </c>
      <c r="B74" s="3774"/>
      <c r="C74" s="1033" t="s">
        <v>1503</v>
      </c>
      <c r="D74" s="1033" t="s">
        <v>1504</v>
      </c>
      <c r="E74" s="1104">
        <v>0.2</v>
      </c>
      <c r="F74" s="1119">
        <v>30</v>
      </c>
    </row>
    <row r="75" spans="1:6" s="1070" customFormat="1" ht="24">
      <c r="A75" s="1119">
        <v>15</v>
      </c>
      <c r="B75" s="3774"/>
      <c r="C75" s="1033" t="s">
        <v>1505</v>
      </c>
      <c r="D75" s="1033" t="s">
        <v>1506</v>
      </c>
      <c r="E75" s="1104">
        <v>0.2</v>
      </c>
      <c r="F75" s="1119">
        <v>30</v>
      </c>
    </row>
    <row r="76" spans="1:6" s="1070" customFormat="1" ht="24">
      <c r="A76" s="1119">
        <v>16</v>
      </c>
      <c r="B76" s="3774" t="s">
        <v>1507</v>
      </c>
      <c r="C76" s="1033" t="s">
        <v>1508</v>
      </c>
      <c r="D76" s="1033" t="s">
        <v>1509</v>
      </c>
      <c r="E76" s="1104">
        <v>0.5</v>
      </c>
      <c r="F76" s="1119">
        <v>80</v>
      </c>
    </row>
    <row r="77" spans="1:6" s="1070" customFormat="1" ht="24">
      <c r="A77" s="1119">
        <v>17</v>
      </c>
      <c r="B77" s="3774"/>
      <c r="C77" s="1033" t="s">
        <v>1510</v>
      </c>
      <c r="D77" s="1033" t="s">
        <v>1511</v>
      </c>
      <c r="E77" s="1104">
        <v>0.5</v>
      </c>
      <c r="F77" s="1119">
        <v>80</v>
      </c>
    </row>
    <row r="78" spans="1:6" s="1070" customFormat="1" ht="24">
      <c r="A78" s="1119">
        <v>18</v>
      </c>
      <c r="B78" s="3774"/>
      <c r="C78" s="1033" t="s">
        <v>1512</v>
      </c>
      <c r="D78" s="1033" t="s">
        <v>1513</v>
      </c>
      <c r="E78" s="1104">
        <v>0.2</v>
      </c>
      <c r="F78" s="1119">
        <v>30</v>
      </c>
    </row>
    <row r="79" spans="1:6" s="1070" customFormat="1" ht="24">
      <c r="A79" s="1119">
        <v>19</v>
      </c>
      <c r="B79" s="3774"/>
      <c r="C79" s="1033" t="s">
        <v>1514</v>
      </c>
      <c r="D79" s="1033" t="s">
        <v>1515</v>
      </c>
      <c r="E79" s="1104">
        <v>0.5</v>
      </c>
      <c r="F79" s="1119">
        <v>80</v>
      </c>
    </row>
    <row r="80" spans="1:6" s="1070" customFormat="1" ht="36">
      <c r="A80" s="1119">
        <v>20</v>
      </c>
      <c r="B80" s="3774"/>
      <c r="C80" s="1033" t="s">
        <v>1516</v>
      </c>
      <c r="D80" s="1033" t="s">
        <v>1517</v>
      </c>
      <c r="E80" s="1104">
        <v>0.2</v>
      </c>
      <c r="F80" s="1119">
        <v>30</v>
      </c>
    </row>
    <row r="81" spans="1:6" s="1070" customFormat="1" ht="36">
      <c r="A81" s="1119">
        <v>21</v>
      </c>
      <c r="B81" s="3774"/>
      <c r="C81" s="1033" t="s">
        <v>1518</v>
      </c>
      <c r="D81" s="1033" t="s">
        <v>1519</v>
      </c>
      <c r="E81" s="1104">
        <v>0.2</v>
      </c>
      <c r="F81" s="1119">
        <v>30</v>
      </c>
    </row>
    <row r="82" spans="1:6" s="1070" customFormat="1" ht="48">
      <c r="A82" s="1119">
        <v>22</v>
      </c>
      <c r="B82" s="3774"/>
      <c r="C82" s="1033" t="s">
        <v>1520</v>
      </c>
      <c r="D82" s="1033" t="s">
        <v>1521</v>
      </c>
      <c r="E82" s="1104">
        <v>0.2</v>
      </c>
      <c r="F82" s="1119">
        <v>30</v>
      </c>
    </row>
    <row r="83" spans="1:6" s="1070" customFormat="1" ht="48">
      <c r="A83" s="1119">
        <v>23</v>
      </c>
      <c r="B83" s="3774"/>
      <c r="C83" s="1033" t="s">
        <v>1522</v>
      </c>
      <c r="D83" s="1033" t="s">
        <v>1523</v>
      </c>
      <c r="E83" s="1104">
        <v>0.2</v>
      </c>
      <c r="F83" s="1119">
        <v>30</v>
      </c>
    </row>
    <row r="84" spans="1:6" s="1070" customFormat="1" ht="36">
      <c r="A84" s="1119">
        <v>24</v>
      </c>
      <c r="B84" s="3774"/>
      <c r="C84" s="1033" t="s">
        <v>1524</v>
      </c>
      <c r="D84" s="1033" t="s">
        <v>1525</v>
      </c>
      <c r="E84" s="1104">
        <v>0.2</v>
      </c>
      <c r="F84" s="1119">
        <v>30</v>
      </c>
    </row>
    <row r="85" spans="1:6" s="1070" customFormat="1" ht="36">
      <c r="A85" s="1119">
        <v>25</v>
      </c>
      <c r="B85" s="3774"/>
      <c r="C85" s="1033" t="s">
        <v>1526</v>
      </c>
      <c r="D85" s="1033" t="s">
        <v>1527</v>
      </c>
      <c r="E85" s="1104">
        <v>0.5</v>
      </c>
      <c r="F85" s="1119">
        <v>80</v>
      </c>
    </row>
    <row r="86" spans="1:6" s="1070" customFormat="1" ht="36">
      <c r="A86" s="1119">
        <v>26</v>
      </c>
      <c r="B86" s="3774"/>
      <c r="C86" s="1033" t="s">
        <v>1528</v>
      </c>
      <c r="D86" s="1033" t="s">
        <v>1529</v>
      </c>
      <c r="E86" s="1104">
        <v>0.2</v>
      </c>
      <c r="F86" s="1119">
        <v>30</v>
      </c>
    </row>
    <row r="87" spans="1:6" s="1070" customFormat="1" ht="36">
      <c r="A87" s="1119">
        <v>27</v>
      </c>
      <c r="B87" s="3774"/>
      <c r="C87" s="1033" t="s">
        <v>1530</v>
      </c>
      <c r="D87" s="1033" t="s">
        <v>1531</v>
      </c>
      <c r="E87" s="1104">
        <v>0.2</v>
      </c>
      <c r="F87" s="1119">
        <v>30</v>
      </c>
    </row>
    <row r="88" spans="1:6" s="1070" customFormat="1" ht="36">
      <c r="A88" s="1119">
        <v>28</v>
      </c>
      <c r="B88" s="3774"/>
      <c r="C88" s="1033" t="s">
        <v>1532</v>
      </c>
      <c r="D88" s="1033" t="s">
        <v>1533</v>
      </c>
      <c r="E88" s="1104">
        <v>0.2</v>
      </c>
      <c r="F88" s="1119">
        <v>30</v>
      </c>
    </row>
    <row r="89" spans="1:6" s="1070" customFormat="1" ht="24">
      <c r="A89" s="1119">
        <v>29</v>
      </c>
      <c r="B89" s="3774"/>
      <c r="C89" s="1033" t="s">
        <v>1534</v>
      </c>
      <c r="D89" s="1033" t="s">
        <v>1535</v>
      </c>
      <c r="E89" s="1104">
        <v>0.2</v>
      </c>
      <c r="F89" s="1119">
        <v>30</v>
      </c>
    </row>
    <row r="90" spans="1:6" s="1070" customFormat="1" ht="24">
      <c r="A90" s="1119">
        <v>30</v>
      </c>
      <c r="B90" s="3774"/>
      <c r="C90" s="1033" t="s">
        <v>1536</v>
      </c>
      <c r="D90" s="1033" t="s">
        <v>1537</v>
      </c>
      <c r="E90" s="1104">
        <v>0.2</v>
      </c>
      <c r="F90" s="1119">
        <v>30</v>
      </c>
    </row>
    <row r="91" spans="1:6" s="1070" customFormat="1" ht="36">
      <c r="A91" s="1119">
        <v>31</v>
      </c>
      <c r="B91" s="3774"/>
      <c r="C91" s="1033" t="s">
        <v>1538</v>
      </c>
      <c r="D91" s="1033" t="s">
        <v>1539</v>
      </c>
      <c r="E91" s="1104">
        <v>0.2</v>
      </c>
      <c r="F91" s="1119">
        <v>30</v>
      </c>
    </row>
    <row r="92" spans="1:6" s="1070" customFormat="1" ht="24">
      <c r="A92" s="1119">
        <v>32</v>
      </c>
      <c r="B92" s="3774" t="s">
        <v>1540</v>
      </c>
      <c r="C92" s="1119" t="s">
        <v>1541</v>
      </c>
      <c r="D92" s="1033" t="s">
        <v>1542</v>
      </c>
      <c r="E92" s="1104">
        <v>0.2</v>
      </c>
      <c r="F92" s="1119">
        <v>30</v>
      </c>
    </row>
    <row r="93" spans="1:6" s="1070" customFormat="1" ht="36">
      <c r="A93" s="1119">
        <v>33</v>
      </c>
      <c r="B93" s="3774"/>
      <c r="C93" s="1119" t="s">
        <v>1543</v>
      </c>
      <c r="D93" s="1033" t="s">
        <v>1544</v>
      </c>
      <c r="E93" s="1104">
        <v>0.2</v>
      </c>
      <c r="F93" s="1119">
        <v>30</v>
      </c>
    </row>
    <row r="94" spans="1:6" s="1070" customFormat="1" ht="48">
      <c r="A94" s="1119">
        <v>34</v>
      </c>
      <c r="B94" s="3774"/>
      <c r="C94" s="1119" t="s">
        <v>1545</v>
      </c>
      <c r="D94" s="1033" t="s">
        <v>1546</v>
      </c>
      <c r="E94" s="1104">
        <v>0.2</v>
      </c>
      <c r="F94" s="1119">
        <v>30</v>
      </c>
    </row>
    <row r="95" spans="1:6" s="1070" customFormat="1" ht="36">
      <c r="A95" s="1119">
        <v>35</v>
      </c>
      <c r="B95" s="3774"/>
      <c r="C95" s="1119" t="s">
        <v>1547</v>
      </c>
      <c r="D95" s="1033" t="s">
        <v>1548</v>
      </c>
      <c r="E95" s="1104">
        <v>0.2</v>
      </c>
      <c r="F95" s="1119">
        <v>30</v>
      </c>
    </row>
    <row r="96" spans="1:6" s="1070" customFormat="1" ht="48">
      <c r="A96" s="1119">
        <v>36</v>
      </c>
      <c r="B96" s="3774"/>
      <c r="C96" s="1033" t="s">
        <v>1549</v>
      </c>
      <c r="D96" s="1033" t="s">
        <v>1550</v>
      </c>
      <c r="E96" s="1104">
        <v>0.2</v>
      </c>
      <c r="F96" s="1119">
        <v>30</v>
      </c>
    </row>
    <row r="97" spans="1:6" s="1070" customFormat="1" ht="36">
      <c r="A97" s="1119">
        <v>37</v>
      </c>
      <c r="B97" s="3774"/>
      <c r="C97" s="1119" t="s">
        <v>1551</v>
      </c>
      <c r="D97" s="1033" t="s">
        <v>1552</v>
      </c>
      <c r="E97" s="1104">
        <v>0.2</v>
      </c>
      <c r="F97" s="1119">
        <v>30</v>
      </c>
    </row>
    <row r="98" spans="1:6" s="1070" customFormat="1" ht="36">
      <c r="A98" s="1119">
        <v>38</v>
      </c>
      <c r="B98" s="3774"/>
      <c r="C98" s="1119" t="s">
        <v>1553</v>
      </c>
      <c r="D98" s="1033" t="s">
        <v>1554</v>
      </c>
      <c r="E98" s="1104">
        <v>0.2</v>
      </c>
      <c r="F98" s="1119">
        <v>30</v>
      </c>
    </row>
    <row r="99" spans="1:6" s="1070" customFormat="1" ht="36">
      <c r="A99" s="1119">
        <v>39</v>
      </c>
      <c r="B99" s="3774" t="s">
        <v>1555</v>
      </c>
      <c r="C99" s="1119" t="s">
        <v>1556</v>
      </c>
      <c r="D99" s="1033" t="s">
        <v>1557</v>
      </c>
      <c r="E99" s="1104">
        <v>0.3</v>
      </c>
      <c r="F99" s="1119">
        <v>50</v>
      </c>
    </row>
    <row r="100" spans="1:6" s="1070" customFormat="1" ht="24">
      <c r="A100" s="1119">
        <v>40</v>
      </c>
      <c r="B100" s="3774"/>
      <c r="C100" s="1119" t="s">
        <v>1558</v>
      </c>
      <c r="D100" s="1033" t="s">
        <v>1559</v>
      </c>
      <c r="E100" s="1104">
        <v>0.2</v>
      </c>
      <c r="F100" s="1119">
        <v>30</v>
      </c>
    </row>
    <row r="101" spans="1:6" s="1070" customFormat="1" ht="36">
      <c r="A101" s="1119">
        <v>41</v>
      </c>
      <c r="B101" s="3774"/>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74" t="s">
        <v>1570</v>
      </c>
      <c r="C105" s="1119" t="s">
        <v>1571</v>
      </c>
      <c r="D105" s="1033" t="s">
        <v>1572</v>
      </c>
      <c r="E105" s="1104">
        <v>0.2</v>
      </c>
      <c r="F105" s="1119">
        <v>30</v>
      </c>
    </row>
    <row r="106" spans="1:6" s="1070" customFormat="1" ht="36">
      <c r="A106" s="1119">
        <v>46</v>
      </c>
      <c r="B106" s="3774"/>
      <c r="C106" s="1119" t="s">
        <v>1573</v>
      </c>
      <c r="D106" s="1033" t="s">
        <v>1574</v>
      </c>
      <c r="E106" s="1104">
        <v>0.2</v>
      </c>
      <c r="F106" s="1119">
        <v>30</v>
      </c>
    </row>
    <row r="107" spans="1:6" s="1070" customFormat="1" ht="36">
      <c r="A107" s="1119">
        <v>47</v>
      </c>
      <c r="B107" s="3774" t="s">
        <v>1575</v>
      </c>
      <c r="C107" s="1119" t="s">
        <v>1576</v>
      </c>
      <c r="D107" s="1033" t="s">
        <v>1577</v>
      </c>
      <c r="E107" s="1104">
        <v>0.3</v>
      </c>
      <c r="F107" s="1119">
        <v>50</v>
      </c>
    </row>
    <row r="108" spans="1:6" s="1070" customFormat="1" ht="36">
      <c r="A108" s="1119">
        <v>48</v>
      </c>
      <c r="B108" s="3774"/>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74" t="s">
        <v>1586</v>
      </c>
      <c r="C111" s="1119" t="s">
        <v>1587</v>
      </c>
      <c r="D111" s="1033" t="s">
        <v>1588</v>
      </c>
      <c r="E111" s="1104">
        <v>0.2</v>
      </c>
      <c r="F111" s="1119">
        <v>30</v>
      </c>
    </row>
    <row r="112" spans="1:6" s="1070" customFormat="1" ht="24">
      <c r="A112" s="1119">
        <v>52</v>
      </c>
      <c r="B112" s="3774"/>
      <c r="C112" s="1119" t="s">
        <v>1589</v>
      </c>
      <c r="D112" s="1033" t="s">
        <v>1590</v>
      </c>
      <c r="E112" s="1104">
        <v>0.2</v>
      </c>
      <c r="F112" s="1119">
        <v>30</v>
      </c>
    </row>
    <row r="113" spans="1:14" s="1070" customFormat="1" ht="24">
      <c r="A113" s="1119">
        <v>53</v>
      </c>
      <c r="B113" s="3774"/>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74" t="s">
        <v>1599</v>
      </c>
      <c r="C116" s="1119" t="s">
        <v>1600</v>
      </c>
      <c r="D116" s="1033" t="s">
        <v>1601</v>
      </c>
      <c r="E116" s="1104">
        <v>0.2</v>
      </c>
      <c r="F116" s="1119">
        <v>30</v>
      </c>
    </row>
    <row r="117" spans="1:14" ht="36">
      <c r="A117" s="1119">
        <v>57</v>
      </c>
      <c r="B117" s="3774"/>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73" t="s">
        <v>1608</v>
      </c>
      <c r="B121" s="3773"/>
      <c r="C121" s="3773"/>
      <c r="D121" s="3773"/>
      <c r="E121" s="3773"/>
      <c r="F121" s="3773"/>
      <c r="G121" s="3773"/>
      <c r="H121" s="3773"/>
      <c r="I121" s="3773"/>
      <c r="J121" s="3773"/>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67" t="s">
        <v>1014</v>
      </c>
      <c r="B1" s="3867"/>
      <c r="C1" s="3867"/>
      <c r="D1" s="3867"/>
      <c r="E1" s="3867"/>
      <c r="F1" s="3867"/>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868" t="s">
        <v>1027</v>
      </c>
      <c r="B2" s="3868"/>
      <c r="C2" s="3868"/>
      <c r="D2" s="3868"/>
      <c r="E2" s="3868"/>
      <c r="F2" s="3868"/>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869"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870"/>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SUMPRODUCT((B5:B9=基准地价!I2)*(C3:F3=基准地价!E2)*(C5:F9))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SUMPRODUCT((B10:B28=基准地价!I2)*(C3:F3=基准地价!E2)*(C10:F28))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SUMPRODUCT((B29:B48=基准地价!I2)*(C3:F3=基准地价!E2)*(C29:F48))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SUMPRODUCT((B49:B75=基准地价!I2)*(C3:F3=基准地价!E2)*(C49:F75))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SUMPRODUCT((B76:B109=基准地价!I2)*(C3:F3=基准地价!E2)*(C76:F109))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SUMPRODUCT((B110:B157=基准地价!I2)*(C3:F3=基准地价!E2)*(C110:F157))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SUMPRODUCT((B158:B205=基准地价!I2)*(C3:F3=基准地价!E2)*(C158:F205))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SUMPRODUCT((B206:B244=基准地价!I2)*(C3:F3=基准地价!E2)*(C206:F244))</f>
        <v>1020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SUMPRODUCT((B245:B289=基准地价!I2)*(C3:F3=基准地价!E2)*(C245:F289))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SUMPRODUCT((B290:B316=基准地价!I2)*(C3:F3=基准地价!E2)*(C290:F316))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SUMPRODUCT((B317:B337=基准地价!I2)*(C3:F3=基准地价!E2)*(C317:F337))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SUMPRODUCT((B338:B344=基准地价!I2)*(C3:F3=基准地价!E2)*(C338:F344))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受贵公司委托，我公司对北京市划拨国有建设用地使用权市场价格进行了预评估。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683" t="s">
        <v>2700</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5" t="s">
        <v>1993</v>
      </c>
    </row>
    <row r="11" spans="1:4" ht="18.75">
      <c r="A11" s="1668" t="str">
        <f>TEXT(项目基本情况!D3,"yyyy年m月d日;;")&amp;IF(项目基本情况!B3=项目基本情况!D3,"（评估专业人员勘察现场之日）","")</f>
        <v>2022年2月22日（评估专业人员勘察现场之日）</v>
      </c>
    </row>
    <row r="12" spans="1:4" ht="18.75">
      <c r="A12" s="1685" t="s">
        <v>1992</v>
      </c>
    </row>
    <row r="13" spans="1:4" ht="18.75">
      <c r="A13" s="1679" t="s">
        <v>2870</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679" t="s">
        <v>2041</v>
      </c>
    </row>
    <row r="22" spans="1:1" ht="18.7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9" t="str">
        <f>IF(项目基本情况!B16="出让","本次评估设定估价对象剩余土地使用年限为"&amp;项目基本情况!D20&amp;"。","")</f>
        <v/>
      </c>
    </row>
    <row r="24" spans="1:1" ht="18.75">
      <c r="A24" s="1679" t="s">
        <v>2042</v>
      </c>
    </row>
    <row r="25" spans="1:1" ht="75">
      <c r="A25" s="1679" t="str">
        <f>定义!C53</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row>
    <row r="26" spans="1:1" ht="18.75">
      <c r="A26" s="1679" t="str">
        <f>IF(项目基本情况!B9="市场价格","——",IF(项目基本情况!E8="抵押价格",定义!C54,IF(项目基本情况!E8="已注销",定义!C55,定义!C56)))</f>
        <v>——</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9" t="str">
        <f>IF(项目基本情况!B9="市场价格","——",IF(项目基本情况!E9="——","",定义!C57))</f>
        <v>——</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SUMPRODUCT((A105:A204=ROUNDDOWN(基准地价!G3,1))*(B104:M104=基准地价!G2)*(B105:M204))</f>
        <v>1.2383999999999999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871" t="s">
        <v>2046</v>
      </c>
      <c r="B1" s="3871"/>
    </row>
    <row r="2" spans="1:6" ht="14.25" thickBot="1">
      <c r="A2" s="1738"/>
      <c r="B2" s="1738"/>
    </row>
    <row r="3" spans="1:6" ht="14.25" thickBot="1">
      <c r="A3" s="1738"/>
      <c r="B3" s="1738"/>
      <c r="C3" s="1739" t="s">
        <v>2047</v>
      </c>
      <c r="D3" s="1739" t="s">
        <v>2048</v>
      </c>
      <c r="E3" s="1739" t="s">
        <v>2049</v>
      </c>
      <c r="F3" s="1739" t="s">
        <v>2050</v>
      </c>
    </row>
    <row r="4" spans="1:6" ht="14.25" thickBot="1">
      <c r="A4" s="1740" t="s">
        <v>2051</v>
      </c>
      <c r="B4" s="1741" t="s">
        <v>2052</v>
      </c>
      <c r="C4" s="1739"/>
      <c r="D4" s="1739"/>
      <c r="E4" s="1739"/>
      <c r="F4" s="1739"/>
    </row>
    <row r="5" spans="1:6" ht="14.25" thickBot="1">
      <c r="A5" s="1742" t="s">
        <v>2053</v>
      </c>
      <c r="B5" s="1743" t="s">
        <v>2054</v>
      </c>
      <c r="C5" s="1744">
        <v>8.8999999999999996E-2</v>
      </c>
      <c r="D5" s="1744">
        <v>7.3999999999999996E-2</v>
      </c>
      <c r="E5" s="1744">
        <v>7.4999999999999997E-2</v>
      </c>
      <c r="F5" s="1745">
        <v>0.1</v>
      </c>
    </row>
    <row r="6" spans="1:6" ht="14.25" thickBot="1">
      <c r="A6" s="1742" t="s">
        <v>1071</v>
      </c>
      <c r="B6" s="1746" t="s">
        <v>2055</v>
      </c>
      <c r="C6" s="1747">
        <v>0.1</v>
      </c>
      <c r="D6" s="1747">
        <v>9.0999999999999998E-2</v>
      </c>
      <c r="E6" s="1747">
        <v>9.0999999999999998E-2</v>
      </c>
      <c r="F6" s="1748">
        <v>0.1</v>
      </c>
    </row>
    <row r="7" spans="1:6" ht="14.25" thickBot="1">
      <c r="A7" s="1742" t="s">
        <v>1071</v>
      </c>
      <c r="B7" s="1749" t="s">
        <v>1059</v>
      </c>
      <c r="C7" s="1747">
        <v>8.5999999999999993E-2</v>
      </c>
      <c r="D7" s="1747">
        <v>9.6000000000000002E-2</v>
      </c>
      <c r="E7" s="1747">
        <v>7.5999999999999998E-2</v>
      </c>
      <c r="F7" s="1748">
        <v>0.1</v>
      </c>
    </row>
    <row r="8" spans="1:6" ht="14.25" thickBot="1">
      <c r="A8" s="1742" t="s">
        <v>1071</v>
      </c>
      <c r="B8" s="1746" t="s">
        <v>1072</v>
      </c>
      <c r="C8" s="1747">
        <v>9.9000000000000005E-2</v>
      </c>
      <c r="D8" s="1747">
        <v>9.8000000000000004E-2</v>
      </c>
      <c r="E8" s="1747">
        <v>9.8000000000000004E-2</v>
      </c>
      <c r="F8" s="1748">
        <v>0.1</v>
      </c>
    </row>
    <row r="9" spans="1:6" ht="14.25" thickBot="1">
      <c r="A9" s="1750" t="s">
        <v>1071</v>
      </c>
      <c r="B9" s="1751" t="s">
        <v>1086</v>
      </c>
      <c r="C9" s="1752">
        <v>0.05</v>
      </c>
      <c r="D9" s="1753"/>
      <c r="E9" s="1753"/>
      <c r="F9" s="1754"/>
    </row>
    <row r="10" spans="1:6" ht="14.25" thickBot="1">
      <c r="A10" s="1742" t="s">
        <v>1130</v>
      </c>
      <c r="B10" s="1743" t="s">
        <v>2056</v>
      </c>
      <c r="C10" s="1744">
        <v>8.8999999999999996E-2</v>
      </c>
      <c r="D10" s="1744">
        <v>7.2999999999999995E-2</v>
      </c>
      <c r="E10" s="1744">
        <v>8.2000000000000003E-2</v>
      </c>
      <c r="F10" s="1745">
        <v>0.1</v>
      </c>
    </row>
    <row r="11" spans="1:6" ht="14.25" thickBot="1">
      <c r="A11" s="1742" t="s">
        <v>1130</v>
      </c>
      <c r="B11" s="1749" t="s">
        <v>1046</v>
      </c>
      <c r="C11" s="1747">
        <v>8.8999999999999996E-2</v>
      </c>
      <c r="D11" s="1747">
        <v>7.2999999999999995E-2</v>
      </c>
      <c r="E11" s="1747">
        <v>8.2000000000000003E-2</v>
      </c>
      <c r="F11" s="1748">
        <v>0.1</v>
      </c>
    </row>
    <row r="12" spans="1:6" ht="14.25" thickBot="1">
      <c r="A12" s="1742" t="s">
        <v>1130</v>
      </c>
      <c r="B12" s="1749" t="s">
        <v>1060</v>
      </c>
      <c r="C12" s="1747">
        <v>6.0999999999999999E-2</v>
      </c>
      <c r="D12" s="1747">
        <v>7.0999999999999994E-2</v>
      </c>
      <c r="E12" s="1747">
        <v>9.6000000000000002E-2</v>
      </c>
      <c r="F12" s="1748">
        <v>0.1</v>
      </c>
    </row>
    <row r="13" spans="1:6" ht="14.25" thickBot="1">
      <c r="A13" s="1742" t="s">
        <v>1130</v>
      </c>
      <c r="B13" s="1749" t="s">
        <v>1073</v>
      </c>
      <c r="C13" s="1747">
        <v>6.9000000000000006E-2</v>
      </c>
      <c r="D13" s="1747">
        <v>6.5000000000000002E-2</v>
      </c>
      <c r="E13" s="1747">
        <v>6.6000000000000003E-2</v>
      </c>
      <c r="F13" s="1748">
        <v>0.1</v>
      </c>
    </row>
    <row r="14" spans="1:6" ht="14.25" thickBot="1">
      <c r="A14" s="1742" t="s">
        <v>1130</v>
      </c>
      <c r="B14" s="1749" t="s">
        <v>1087</v>
      </c>
      <c r="C14" s="1747">
        <v>0.1</v>
      </c>
      <c r="D14" s="1747">
        <v>6.5000000000000002E-2</v>
      </c>
      <c r="E14" s="1747">
        <v>7.0000000000000007E-2</v>
      </c>
      <c r="F14" s="1748">
        <v>0.1</v>
      </c>
    </row>
    <row r="15" spans="1:6" ht="14.25" thickBot="1">
      <c r="A15" s="1742" t="s">
        <v>1130</v>
      </c>
      <c r="B15" s="1749" t="s">
        <v>1098</v>
      </c>
      <c r="C15" s="1747">
        <v>9.8000000000000004E-2</v>
      </c>
      <c r="D15" s="1747">
        <v>8.8999999999999996E-2</v>
      </c>
      <c r="E15" s="1747">
        <v>8.8999999999999996E-2</v>
      </c>
      <c r="F15" s="1748">
        <v>0.1</v>
      </c>
    </row>
    <row r="16" spans="1:6" ht="14.25" thickBot="1">
      <c r="A16" s="1742" t="s">
        <v>1130</v>
      </c>
      <c r="B16" s="1749" t="s">
        <v>1109</v>
      </c>
      <c r="C16" s="1747">
        <v>7.0000000000000007E-2</v>
      </c>
      <c r="D16" s="1747">
        <v>9.2999999999999999E-2</v>
      </c>
      <c r="E16" s="1747">
        <v>9.6000000000000002E-2</v>
      </c>
      <c r="F16" s="1748">
        <v>0.1</v>
      </c>
    </row>
    <row r="17" spans="1:6" ht="14.25" thickBot="1">
      <c r="A17" s="1742" t="s">
        <v>1130</v>
      </c>
      <c r="B17" s="1749" t="s">
        <v>1120</v>
      </c>
      <c r="C17" s="1747">
        <v>9.5000000000000001E-2</v>
      </c>
      <c r="D17" s="1747">
        <v>0.1</v>
      </c>
      <c r="E17" s="1747">
        <v>0.1</v>
      </c>
      <c r="F17" s="1755"/>
    </row>
    <row r="18" spans="1:6" ht="14.25" thickBot="1">
      <c r="A18" s="1742" t="s">
        <v>1130</v>
      </c>
      <c r="B18" s="1749" t="s">
        <v>1132</v>
      </c>
      <c r="C18" s="1747">
        <v>7.3999999999999996E-2</v>
      </c>
      <c r="D18" s="1747">
        <v>9.9000000000000005E-2</v>
      </c>
      <c r="E18" s="1747">
        <v>0.1</v>
      </c>
      <c r="F18" s="1755"/>
    </row>
    <row r="19" spans="1:6" ht="14.25" thickBot="1">
      <c r="A19" s="1742" t="s">
        <v>1130</v>
      </c>
      <c r="B19" s="1749" t="s">
        <v>1142</v>
      </c>
      <c r="C19" s="1747">
        <v>9.9000000000000005E-2</v>
      </c>
      <c r="D19" s="1747">
        <v>7.5999999999999998E-2</v>
      </c>
      <c r="E19" s="1747">
        <v>8.6999999999999994E-2</v>
      </c>
      <c r="F19" s="1755"/>
    </row>
    <row r="20" spans="1:6" ht="14.25" thickBot="1">
      <c r="A20" s="1742" t="s">
        <v>1130</v>
      </c>
      <c r="B20" s="1749" t="s">
        <v>1152</v>
      </c>
      <c r="C20" s="1747">
        <v>9.8000000000000004E-2</v>
      </c>
      <c r="D20" s="1747">
        <v>8.5000000000000006E-2</v>
      </c>
      <c r="E20" s="1747">
        <v>8.2000000000000003E-2</v>
      </c>
      <c r="F20" s="1755"/>
    </row>
    <row r="21" spans="1:6" ht="14.25" thickBot="1">
      <c r="A21" s="1742" t="s">
        <v>1130</v>
      </c>
      <c r="B21" s="1749" t="s">
        <v>1162</v>
      </c>
      <c r="C21" s="1747">
        <v>6.6000000000000003E-2</v>
      </c>
      <c r="D21" s="1747">
        <v>6.4000000000000001E-2</v>
      </c>
      <c r="E21" s="1747">
        <v>6.5000000000000002E-2</v>
      </c>
      <c r="F21" s="1755"/>
    </row>
    <row r="22" spans="1:6" ht="14.25" thickBot="1">
      <c r="A22" s="1742" t="s">
        <v>1130</v>
      </c>
      <c r="B22" s="1749" t="s">
        <v>2057</v>
      </c>
      <c r="C22" s="1747">
        <v>0.08</v>
      </c>
      <c r="D22" s="1747">
        <v>9.8000000000000004E-2</v>
      </c>
      <c r="E22" s="1747">
        <v>9.8000000000000004E-2</v>
      </c>
      <c r="F22" s="1755"/>
    </row>
    <row r="23" spans="1:6" ht="14.25" thickBot="1">
      <c r="A23" s="1742" t="s">
        <v>1130</v>
      </c>
      <c r="B23" s="1749" t="s">
        <v>1182</v>
      </c>
      <c r="C23" s="1747">
        <v>9.9000000000000005E-2</v>
      </c>
      <c r="D23" s="1747">
        <v>9.8000000000000004E-2</v>
      </c>
      <c r="E23" s="1747">
        <v>9.0999999999999998E-2</v>
      </c>
      <c r="F23" s="1755"/>
    </row>
    <row r="24" spans="1:6" ht="14.25" thickBot="1">
      <c r="A24" s="1742" t="s">
        <v>1130</v>
      </c>
      <c r="B24" s="1749" t="s">
        <v>1192</v>
      </c>
      <c r="C24" s="1747">
        <v>8.8999999999999996E-2</v>
      </c>
      <c r="D24" s="1747">
        <v>9.7000000000000003E-2</v>
      </c>
      <c r="E24" s="1747">
        <v>7.0000000000000007E-2</v>
      </c>
      <c r="F24" s="1755"/>
    </row>
    <row r="25" spans="1:6" ht="14.25" thickBot="1">
      <c r="A25" s="1742" t="s">
        <v>1130</v>
      </c>
      <c r="B25" s="1749" t="s">
        <v>1202</v>
      </c>
      <c r="C25" s="1747">
        <v>8.8999999999999996E-2</v>
      </c>
      <c r="D25" s="1747">
        <v>0.1</v>
      </c>
      <c r="E25" s="1747">
        <v>8.1000000000000003E-2</v>
      </c>
      <c r="F25" s="1755"/>
    </row>
    <row r="26" spans="1:6" ht="14.25" thickBot="1">
      <c r="A26" s="1742" t="s">
        <v>1130</v>
      </c>
      <c r="B26" s="1749" t="s">
        <v>1212</v>
      </c>
      <c r="C26" s="1756"/>
      <c r="D26" s="1747">
        <v>9.6000000000000002E-2</v>
      </c>
      <c r="E26" s="1747">
        <v>9.2999999999999999E-2</v>
      </c>
      <c r="F26" s="1755"/>
    </row>
    <row r="27" spans="1:6" ht="14.25" thickBot="1">
      <c r="A27" s="1742" t="s">
        <v>1130</v>
      </c>
      <c r="B27" s="1749" t="s">
        <v>1222</v>
      </c>
      <c r="C27" s="1756"/>
      <c r="D27" s="1747">
        <v>7.5999999999999998E-2</v>
      </c>
      <c r="E27" s="1747">
        <v>9.1999999999999998E-2</v>
      </c>
      <c r="F27" s="1755"/>
    </row>
    <row r="28" spans="1:6" ht="14.25" thickBot="1">
      <c r="A28" s="1750" t="s">
        <v>1130</v>
      </c>
      <c r="B28" s="1751" t="s">
        <v>1232</v>
      </c>
      <c r="C28" s="1753"/>
      <c r="D28" s="1752">
        <v>7.5999999999999998E-2</v>
      </c>
      <c r="E28" s="1752">
        <v>9.1999999999999998E-2</v>
      </c>
      <c r="F28" s="1754"/>
    </row>
    <row r="29" spans="1:6" ht="14.25" thickBot="1">
      <c r="A29" s="1742" t="s">
        <v>1301</v>
      </c>
      <c r="B29" s="1743" t="s">
        <v>2058</v>
      </c>
      <c r="C29" s="1744">
        <v>6.4000000000000001E-2</v>
      </c>
      <c r="D29" s="1744">
        <v>6.5000000000000002E-2</v>
      </c>
      <c r="E29" s="1744">
        <v>6.9000000000000006E-2</v>
      </c>
      <c r="F29" s="1745">
        <v>0.1</v>
      </c>
    </row>
    <row r="30" spans="1:6" ht="14.25" thickBot="1">
      <c r="A30" s="1742" t="s">
        <v>1301</v>
      </c>
      <c r="B30" s="1749" t="s">
        <v>1047</v>
      </c>
      <c r="C30" s="1747">
        <v>6.4000000000000001E-2</v>
      </c>
      <c r="D30" s="1747">
        <v>9.9000000000000005E-2</v>
      </c>
      <c r="E30" s="1747">
        <v>0.1</v>
      </c>
      <c r="F30" s="1748">
        <v>0.1</v>
      </c>
    </row>
    <row r="31" spans="1:6" ht="14.25" thickBot="1">
      <c r="A31" s="1742" t="s">
        <v>1301</v>
      </c>
      <c r="B31" s="1749" t="s">
        <v>1061</v>
      </c>
      <c r="C31" s="1747">
        <v>0.1</v>
      </c>
      <c r="D31" s="1747">
        <v>9.5000000000000001E-2</v>
      </c>
      <c r="E31" s="1747">
        <v>8.8999999999999996E-2</v>
      </c>
      <c r="F31" s="1748">
        <v>0.1</v>
      </c>
    </row>
    <row r="32" spans="1:6" ht="14.25" thickBot="1">
      <c r="A32" s="1742" t="s">
        <v>1301</v>
      </c>
      <c r="B32" s="1749" t="s">
        <v>1074</v>
      </c>
      <c r="C32" s="1747">
        <v>0.05</v>
      </c>
      <c r="D32" s="1747">
        <v>0.05</v>
      </c>
      <c r="E32" s="1747">
        <v>8.7999999999999995E-2</v>
      </c>
      <c r="F32" s="1748">
        <v>0.1</v>
      </c>
    </row>
    <row r="33" spans="1:6" ht="14.25" thickBot="1">
      <c r="A33" s="1742" t="s">
        <v>1301</v>
      </c>
      <c r="B33" s="1749" t="s">
        <v>1088</v>
      </c>
      <c r="C33" s="1747">
        <v>7.4999999999999997E-2</v>
      </c>
      <c r="D33" s="1747">
        <v>9.4E-2</v>
      </c>
      <c r="E33" s="1747">
        <v>9.7000000000000003E-2</v>
      </c>
      <c r="F33" s="1748">
        <v>0.1</v>
      </c>
    </row>
    <row r="34" spans="1:6" ht="14.25" thickBot="1">
      <c r="A34" s="1742" t="s">
        <v>1301</v>
      </c>
      <c r="B34" s="1749" t="s">
        <v>1099</v>
      </c>
      <c r="C34" s="1747">
        <v>9.8000000000000004E-2</v>
      </c>
      <c r="D34" s="1747">
        <v>8.5999999999999993E-2</v>
      </c>
      <c r="E34" s="1747">
        <v>9.7000000000000003E-2</v>
      </c>
      <c r="F34" s="1748">
        <v>0.1</v>
      </c>
    </row>
    <row r="35" spans="1:6" ht="14.25" thickBot="1">
      <c r="A35" s="1742" t="s">
        <v>1301</v>
      </c>
      <c r="B35" s="1749" t="s">
        <v>1110</v>
      </c>
      <c r="C35" s="1747">
        <v>5.8999999999999997E-2</v>
      </c>
      <c r="D35" s="1747">
        <v>6.5000000000000002E-2</v>
      </c>
      <c r="E35" s="1747">
        <v>7.0000000000000007E-2</v>
      </c>
      <c r="F35" s="1748">
        <v>0.1</v>
      </c>
    </row>
    <row r="36" spans="1:6" ht="14.25" thickBot="1">
      <c r="A36" s="1742" t="s">
        <v>1301</v>
      </c>
      <c r="B36" s="1749" t="s">
        <v>1121</v>
      </c>
      <c r="C36" s="1747">
        <v>6.3E-2</v>
      </c>
      <c r="D36" s="1747">
        <v>0.1</v>
      </c>
      <c r="E36" s="1747">
        <v>0.1</v>
      </c>
      <c r="F36" s="1748">
        <v>0.1</v>
      </c>
    </row>
    <row r="37" spans="1:6" ht="14.25" thickBot="1">
      <c r="A37" s="1742" t="s">
        <v>1301</v>
      </c>
      <c r="B37" s="1749" t="s">
        <v>1133</v>
      </c>
      <c r="C37" s="1747">
        <v>7.3999999999999996E-2</v>
      </c>
      <c r="D37" s="1747">
        <v>0.1</v>
      </c>
      <c r="E37" s="1747">
        <v>0.1</v>
      </c>
      <c r="F37" s="1748">
        <v>0.1</v>
      </c>
    </row>
    <row r="38" spans="1:6" ht="14.25" thickBot="1">
      <c r="A38" s="1742" t="s">
        <v>1301</v>
      </c>
      <c r="B38" s="1749" t="s">
        <v>1143</v>
      </c>
      <c r="C38" s="1747">
        <v>0.1</v>
      </c>
      <c r="D38" s="1747">
        <v>9.6000000000000002E-2</v>
      </c>
      <c r="E38" s="1747">
        <v>9.6000000000000002E-2</v>
      </c>
      <c r="F38" s="1755"/>
    </row>
    <row r="39" spans="1:6" ht="14.25" thickBot="1">
      <c r="A39" s="1742" t="s">
        <v>1301</v>
      </c>
      <c r="B39" s="1749" t="s">
        <v>1153</v>
      </c>
      <c r="C39" s="1747">
        <v>0.1</v>
      </c>
      <c r="D39" s="1747">
        <v>9.6000000000000002E-2</v>
      </c>
      <c r="E39" s="1747">
        <v>9.6000000000000002E-2</v>
      </c>
      <c r="F39" s="1755"/>
    </row>
    <row r="40" spans="1:6" ht="14.25" thickBot="1">
      <c r="A40" s="1742" t="s">
        <v>1301</v>
      </c>
      <c r="B40" s="1749" t="s">
        <v>1163</v>
      </c>
      <c r="C40" s="1747">
        <v>9.6000000000000002E-2</v>
      </c>
      <c r="D40" s="1747">
        <v>0.1</v>
      </c>
      <c r="E40" s="1747">
        <v>9.9000000000000005E-2</v>
      </c>
      <c r="F40" s="1755"/>
    </row>
    <row r="41" spans="1:6" ht="14.25" thickBot="1">
      <c r="A41" s="1742" t="s">
        <v>1301</v>
      </c>
      <c r="B41" s="1749" t="s">
        <v>1173</v>
      </c>
      <c r="C41" s="1747">
        <v>9.6000000000000002E-2</v>
      </c>
      <c r="D41" s="1747">
        <v>9.8000000000000004E-2</v>
      </c>
      <c r="E41" s="1747">
        <v>9.8000000000000004E-2</v>
      </c>
      <c r="F41" s="1755"/>
    </row>
    <row r="42" spans="1:6" ht="14.25" thickBot="1">
      <c r="A42" s="1742" t="s">
        <v>1301</v>
      </c>
      <c r="B42" s="1749" t="s">
        <v>1183</v>
      </c>
      <c r="C42" s="1747">
        <v>0.1</v>
      </c>
      <c r="D42" s="1747">
        <v>8.7999999999999995E-2</v>
      </c>
      <c r="E42" s="1747">
        <v>0.1</v>
      </c>
      <c r="F42" s="1755"/>
    </row>
    <row r="43" spans="1:6" ht="14.25" thickBot="1">
      <c r="A43" s="1742" t="s">
        <v>1301</v>
      </c>
      <c r="B43" s="1749" t="s">
        <v>1193</v>
      </c>
      <c r="C43" s="1747">
        <v>9.8000000000000004E-2</v>
      </c>
      <c r="D43" s="1747">
        <v>9.7000000000000003E-2</v>
      </c>
      <c r="E43" s="1747">
        <v>9.6000000000000002E-2</v>
      </c>
      <c r="F43" s="1755"/>
    </row>
    <row r="44" spans="1:6" ht="14.25" thickBot="1">
      <c r="A44" s="1742" t="s">
        <v>1301</v>
      </c>
      <c r="B44" s="1749" t="s">
        <v>1203</v>
      </c>
      <c r="C44" s="1747">
        <v>8.5999999999999993E-2</v>
      </c>
      <c r="D44" s="1747">
        <v>7.9000000000000001E-2</v>
      </c>
      <c r="E44" s="1747">
        <v>7.0999999999999994E-2</v>
      </c>
      <c r="F44" s="1755"/>
    </row>
    <row r="45" spans="1:6" ht="14.25" thickBot="1">
      <c r="A45" s="1742" t="s">
        <v>1301</v>
      </c>
      <c r="B45" s="1749" t="s">
        <v>1213</v>
      </c>
      <c r="C45" s="1747">
        <v>9.8000000000000004E-2</v>
      </c>
      <c r="D45" s="1747">
        <v>9.6000000000000002E-2</v>
      </c>
      <c r="E45" s="1747">
        <v>9.6000000000000002E-2</v>
      </c>
      <c r="F45" s="1755"/>
    </row>
    <row r="46" spans="1:6" ht="14.25" thickBot="1">
      <c r="A46" s="1742" t="s">
        <v>1301</v>
      </c>
      <c r="B46" s="1749" t="s">
        <v>1223</v>
      </c>
      <c r="C46" s="1747">
        <v>8.5999999999999993E-2</v>
      </c>
      <c r="D46" s="1747">
        <v>9.8000000000000004E-2</v>
      </c>
      <c r="E46" s="1747">
        <v>8.7999999999999995E-2</v>
      </c>
      <c r="F46" s="1755"/>
    </row>
    <row r="47" spans="1:6" ht="14.25" thickBot="1">
      <c r="A47" s="1742" t="s">
        <v>1301</v>
      </c>
      <c r="B47" s="1749" t="s">
        <v>1233</v>
      </c>
      <c r="C47" s="1747">
        <v>9.6000000000000002E-2</v>
      </c>
      <c r="D47" s="1756"/>
      <c r="E47" s="1747">
        <v>6.9000000000000006E-2</v>
      </c>
      <c r="F47" s="1755"/>
    </row>
    <row r="48" spans="1:6" ht="14.25" thickBot="1">
      <c r="A48" s="1750" t="s">
        <v>1301</v>
      </c>
      <c r="B48" s="1751" t="s">
        <v>1242</v>
      </c>
      <c r="C48" s="1752">
        <v>9.8000000000000004E-2</v>
      </c>
      <c r="D48" s="1753"/>
      <c r="E48" s="1752">
        <v>9.5000000000000001E-2</v>
      </c>
      <c r="F48" s="1754"/>
    </row>
    <row r="49" spans="1:6" ht="14.25" thickBot="1">
      <c r="A49" s="1742" t="s">
        <v>900</v>
      </c>
      <c r="B49" s="1743" t="s">
        <v>2059</v>
      </c>
      <c r="C49" s="1744">
        <v>9.7000000000000003E-2</v>
      </c>
      <c r="D49" s="1744">
        <v>9.5000000000000001E-2</v>
      </c>
      <c r="E49" s="1744">
        <v>9.7000000000000003E-2</v>
      </c>
      <c r="F49" s="1745">
        <v>0.1</v>
      </c>
    </row>
    <row r="50" spans="1:6" ht="14.25" thickBot="1">
      <c r="A50" s="1742" t="s">
        <v>900</v>
      </c>
      <c r="B50" s="1746" t="s">
        <v>1048</v>
      </c>
      <c r="C50" s="1747">
        <v>7.4999999999999997E-2</v>
      </c>
      <c r="D50" s="1747">
        <v>9.5000000000000001E-2</v>
      </c>
      <c r="E50" s="1747">
        <v>0.1</v>
      </c>
      <c r="F50" s="1748">
        <v>0.1</v>
      </c>
    </row>
    <row r="51" spans="1:6" ht="14.25" thickBot="1">
      <c r="A51" s="1742" t="s">
        <v>900</v>
      </c>
      <c r="B51" s="1746" t="s">
        <v>1062</v>
      </c>
      <c r="C51" s="1747">
        <v>9.8000000000000004E-2</v>
      </c>
      <c r="D51" s="1747">
        <v>8.8999999999999996E-2</v>
      </c>
      <c r="E51" s="1747">
        <v>0.1</v>
      </c>
      <c r="F51" s="1748">
        <v>0.1</v>
      </c>
    </row>
    <row r="52" spans="1:6" ht="14.25" thickBot="1">
      <c r="A52" s="1742" t="s">
        <v>900</v>
      </c>
      <c r="B52" s="1746" t="s">
        <v>1075</v>
      </c>
      <c r="C52" s="1747">
        <v>9.8000000000000004E-2</v>
      </c>
      <c r="D52" s="1747">
        <v>9.7000000000000003E-2</v>
      </c>
      <c r="E52" s="1747">
        <v>8.1000000000000003E-2</v>
      </c>
      <c r="F52" s="1748">
        <v>0.1</v>
      </c>
    </row>
    <row r="53" spans="1:6" ht="14.25" thickBot="1">
      <c r="A53" s="1742" t="s">
        <v>900</v>
      </c>
      <c r="B53" s="1746" t="s">
        <v>1089</v>
      </c>
      <c r="C53" s="1747">
        <v>9.7000000000000003E-2</v>
      </c>
      <c r="D53" s="1747">
        <v>7.5999999999999998E-2</v>
      </c>
      <c r="E53" s="1747">
        <v>7.0999999999999994E-2</v>
      </c>
      <c r="F53" s="1748">
        <v>0.1</v>
      </c>
    </row>
    <row r="54" spans="1:6" ht="14.25" thickBot="1">
      <c r="A54" s="1742" t="s">
        <v>900</v>
      </c>
      <c r="B54" s="1746" t="s">
        <v>1100</v>
      </c>
      <c r="C54" s="1747">
        <v>7.5999999999999998E-2</v>
      </c>
      <c r="D54" s="1747">
        <v>0.1</v>
      </c>
      <c r="E54" s="1747">
        <v>9.9000000000000005E-2</v>
      </c>
      <c r="F54" s="1748">
        <v>0.1</v>
      </c>
    </row>
    <row r="55" spans="1:6" ht="14.25" thickBot="1">
      <c r="A55" s="1742" t="s">
        <v>900</v>
      </c>
      <c r="B55" s="1746" t="s">
        <v>1111</v>
      </c>
      <c r="C55" s="1747">
        <v>0.1</v>
      </c>
      <c r="D55" s="1747">
        <v>0.1</v>
      </c>
      <c r="E55" s="1747">
        <v>9.6000000000000002E-2</v>
      </c>
      <c r="F55" s="1748">
        <v>0.1</v>
      </c>
    </row>
    <row r="56" spans="1:6" ht="14.25" thickBot="1">
      <c r="A56" s="1742" t="s">
        <v>900</v>
      </c>
      <c r="B56" s="1746" t="s">
        <v>1122</v>
      </c>
      <c r="C56" s="1747">
        <v>0.1</v>
      </c>
      <c r="D56" s="1747">
        <v>9.6000000000000002E-2</v>
      </c>
      <c r="E56" s="1747">
        <v>5.1999999999999998E-2</v>
      </c>
      <c r="F56" s="1748">
        <v>0.1</v>
      </c>
    </row>
    <row r="57" spans="1:6" ht="14.25" thickBot="1">
      <c r="A57" s="1742" t="s">
        <v>900</v>
      </c>
      <c r="B57" s="1746" t="s">
        <v>1134</v>
      </c>
      <c r="C57" s="1747">
        <v>9.7000000000000003E-2</v>
      </c>
      <c r="D57" s="1747">
        <v>9.6000000000000002E-2</v>
      </c>
      <c r="E57" s="1747">
        <v>9.6000000000000002E-2</v>
      </c>
      <c r="F57" s="1748">
        <v>0.1</v>
      </c>
    </row>
    <row r="58" spans="1:6" ht="14.25" thickBot="1">
      <c r="A58" s="1742" t="s">
        <v>900</v>
      </c>
      <c r="B58" s="1746" t="s">
        <v>1144</v>
      </c>
      <c r="C58" s="1747">
        <v>9.6000000000000002E-2</v>
      </c>
      <c r="D58" s="1747">
        <v>9.9000000000000005E-2</v>
      </c>
      <c r="E58" s="1747">
        <v>9.6000000000000002E-2</v>
      </c>
      <c r="F58" s="1748">
        <v>0.1</v>
      </c>
    </row>
    <row r="59" spans="1:6" ht="14.25" thickBot="1">
      <c r="A59" s="1742" t="s">
        <v>900</v>
      </c>
      <c r="B59" s="1746" t="s">
        <v>1154</v>
      </c>
      <c r="C59" s="1747">
        <v>7.1999999999999995E-2</v>
      </c>
      <c r="D59" s="1747">
        <v>9.6000000000000002E-2</v>
      </c>
      <c r="E59" s="1747">
        <v>7.0999999999999994E-2</v>
      </c>
      <c r="F59" s="1748">
        <v>0.1</v>
      </c>
    </row>
    <row r="60" spans="1:6" ht="14.25" thickBot="1">
      <c r="A60" s="1742" t="s">
        <v>900</v>
      </c>
      <c r="B60" s="1746" t="s">
        <v>1164</v>
      </c>
      <c r="C60" s="1747">
        <v>9.6000000000000002E-2</v>
      </c>
      <c r="D60" s="1747">
        <v>8.8999999999999996E-2</v>
      </c>
      <c r="E60" s="1747">
        <v>9.6000000000000002E-2</v>
      </c>
      <c r="F60" s="1748">
        <v>0.1</v>
      </c>
    </row>
    <row r="61" spans="1:6" ht="14.25" thickBot="1">
      <c r="A61" s="1742" t="s">
        <v>900</v>
      </c>
      <c r="B61" s="1746" t="s">
        <v>1174</v>
      </c>
      <c r="C61" s="1747">
        <v>8.8999999999999996E-2</v>
      </c>
      <c r="D61" s="1747">
        <v>9.8000000000000004E-2</v>
      </c>
      <c r="E61" s="1747">
        <v>8.7999999999999995E-2</v>
      </c>
      <c r="F61" s="1755"/>
    </row>
    <row r="62" spans="1:6" ht="14.25" thickBot="1">
      <c r="A62" s="1742" t="s">
        <v>900</v>
      </c>
      <c r="B62" s="1746" t="s">
        <v>1184</v>
      </c>
      <c r="C62" s="1747">
        <v>9.8000000000000004E-2</v>
      </c>
      <c r="D62" s="1747">
        <v>9.2999999999999999E-2</v>
      </c>
      <c r="E62" s="1747">
        <v>9.7000000000000003E-2</v>
      </c>
      <c r="F62" s="1755"/>
    </row>
    <row r="63" spans="1:6" ht="14.25" thickBot="1">
      <c r="A63" s="1742" t="s">
        <v>900</v>
      </c>
      <c r="B63" s="1746" t="s">
        <v>1194</v>
      </c>
      <c r="C63" s="1747">
        <v>9.6000000000000002E-2</v>
      </c>
      <c r="D63" s="1747">
        <v>9.8000000000000004E-2</v>
      </c>
      <c r="E63" s="1747">
        <v>0.09</v>
      </c>
      <c r="F63" s="1755"/>
    </row>
    <row r="64" spans="1:6" ht="14.25" thickBot="1">
      <c r="A64" s="1742" t="s">
        <v>900</v>
      </c>
      <c r="B64" s="1746" t="s">
        <v>1204</v>
      </c>
      <c r="C64" s="1747">
        <v>9.9000000000000005E-2</v>
      </c>
      <c r="D64" s="1747">
        <v>9.7000000000000003E-2</v>
      </c>
      <c r="E64" s="1747">
        <v>9.9000000000000005E-2</v>
      </c>
      <c r="F64" s="1755"/>
    </row>
    <row r="65" spans="1:6" ht="14.25" thickBot="1">
      <c r="A65" s="1742" t="s">
        <v>900</v>
      </c>
      <c r="B65" s="1746" t="s">
        <v>1214</v>
      </c>
      <c r="C65" s="1747">
        <v>9.8000000000000004E-2</v>
      </c>
      <c r="D65" s="1747">
        <v>9.6000000000000002E-2</v>
      </c>
      <c r="E65" s="1747">
        <v>9.6000000000000002E-2</v>
      </c>
      <c r="F65" s="1755"/>
    </row>
    <row r="66" spans="1:6" ht="14.25" thickBot="1">
      <c r="A66" s="1742" t="s">
        <v>900</v>
      </c>
      <c r="B66" s="1746" t="s">
        <v>1224</v>
      </c>
      <c r="C66" s="1747">
        <v>9.6000000000000002E-2</v>
      </c>
      <c r="D66" s="1747">
        <v>9.1999999999999998E-2</v>
      </c>
      <c r="E66" s="1747">
        <v>9.6000000000000002E-2</v>
      </c>
      <c r="F66" s="1755"/>
    </row>
    <row r="67" spans="1:6" ht="14.25" thickBot="1">
      <c r="A67" s="1742" t="s">
        <v>900</v>
      </c>
      <c r="B67" s="1746" t="s">
        <v>1234</v>
      </c>
      <c r="C67" s="1747">
        <v>9.4E-2</v>
      </c>
      <c r="D67" s="1747">
        <v>0.1</v>
      </c>
      <c r="E67" s="1747">
        <v>8.7999999999999995E-2</v>
      </c>
      <c r="F67" s="1755"/>
    </row>
    <row r="68" spans="1:6" ht="14.25" thickBot="1">
      <c r="A68" s="1742" t="s">
        <v>900</v>
      </c>
      <c r="B68" s="1746" t="s">
        <v>1243</v>
      </c>
      <c r="C68" s="1747">
        <v>0.1</v>
      </c>
      <c r="D68" s="1747">
        <v>8.7999999999999995E-2</v>
      </c>
      <c r="E68" s="1747">
        <v>9.7000000000000003E-2</v>
      </c>
      <c r="F68" s="1755"/>
    </row>
    <row r="69" spans="1:6" ht="14.25" thickBot="1">
      <c r="A69" s="1742" t="s">
        <v>900</v>
      </c>
      <c r="B69" s="1746" t="s">
        <v>1252</v>
      </c>
      <c r="C69" s="1747">
        <v>6.4000000000000001E-2</v>
      </c>
      <c r="D69" s="1747">
        <v>0.1</v>
      </c>
      <c r="E69" s="1747">
        <v>0.1</v>
      </c>
      <c r="F69" s="1755"/>
    </row>
    <row r="70" spans="1:6" ht="14.25" thickBot="1">
      <c r="A70" s="1742" t="s">
        <v>900</v>
      </c>
      <c r="B70" s="1746" t="s">
        <v>1260</v>
      </c>
      <c r="C70" s="1747">
        <v>9.0999999999999998E-2</v>
      </c>
      <c r="D70" s="1756"/>
      <c r="E70" s="1756"/>
      <c r="F70" s="1755"/>
    </row>
    <row r="71" spans="1:6" ht="14.25" thickBot="1">
      <c r="A71" s="1742" t="s">
        <v>900</v>
      </c>
      <c r="B71" s="1746" t="s">
        <v>1267</v>
      </c>
      <c r="C71" s="1747">
        <v>0.1</v>
      </c>
      <c r="D71" s="1756"/>
      <c r="E71" s="1756"/>
      <c r="F71" s="1755"/>
    </row>
    <row r="72" spans="1:6" ht="14.25" thickBot="1">
      <c r="A72" s="1742" t="s">
        <v>900</v>
      </c>
      <c r="B72" s="1746" t="s">
        <v>2060</v>
      </c>
      <c r="C72" s="1756"/>
      <c r="D72" s="1756"/>
      <c r="E72" s="1756"/>
      <c r="F72" s="1748">
        <v>0.05</v>
      </c>
    </row>
    <row r="73" spans="1:6" ht="14.25" thickBot="1">
      <c r="A73" s="1742" t="s">
        <v>900</v>
      </c>
      <c r="B73" s="1746" t="s">
        <v>2061</v>
      </c>
      <c r="C73" s="1756"/>
      <c r="D73" s="1756"/>
      <c r="E73" s="1756"/>
      <c r="F73" s="1748">
        <v>0.05</v>
      </c>
    </row>
    <row r="74" spans="1:6" ht="14.25" thickBot="1">
      <c r="A74" s="1742" t="s">
        <v>900</v>
      </c>
      <c r="B74" s="1746" t="s">
        <v>2062</v>
      </c>
      <c r="C74" s="1756"/>
      <c r="D74" s="1756"/>
      <c r="E74" s="1756"/>
      <c r="F74" s="1748">
        <v>0.05</v>
      </c>
    </row>
    <row r="75" spans="1:6" ht="14.25" thickBot="1">
      <c r="A75" s="1750" t="s">
        <v>900</v>
      </c>
      <c r="B75" s="1757" t="s">
        <v>2063</v>
      </c>
      <c r="C75" s="1753"/>
      <c r="D75" s="1753"/>
      <c r="E75" s="1753"/>
      <c r="F75" s="1758">
        <v>0.05</v>
      </c>
    </row>
    <row r="76" spans="1:6" ht="14.25" thickBot="1">
      <c r="A76" s="1742" t="s">
        <v>1382</v>
      </c>
      <c r="B76" s="1743" t="s">
        <v>2064</v>
      </c>
      <c r="C76" s="1744">
        <v>0.1</v>
      </c>
      <c r="D76" s="1744">
        <v>0.1</v>
      </c>
      <c r="E76" s="1744">
        <v>0.1</v>
      </c>
      <c r="F76" s="1745">
        <v>0.1</v>
      </c>
    </row>
    <row r="77" spans="1:6" ht="14.25" thickBot="1">
      <c r="A77" s="1742" t="s">
        <v>1382</v>
      </c>
      <c r="B77" s="1746" t="s">
        <v>1049</v>
      </c>
      <c r="C77" s="1747">
        <v>8.7999999999999995E-2</v>
      </c>
      <c r="D77" s="1747">
        <v>8.6999999999999994E-2</v>
      </c>
      <c r="E77" s="1747">
        <v>7.9000000000000001E-2</v>
      </c>
      <c r="F77" s="1748">
        <v>0.1</v>
      </c>
    </row>
    <row r="78" spans="1:6" ht="14.25" thickBot="1">
      <c r="A78" s="1742" t="s">
        <v>1382</v>
      </c>
      <c r="B78" s="1746" t="s">
        <v>1063</v>
      </c>
      <c r="C78" s="1747">
        <v>8.6999999999999994E-2</v>
      </c>
      <c r="D78" s="1747">
        <v>8.4000000000000005E-2</v>
      </c>
      <c r="E78" s="1747">
        <v>9.6000000000000002E-2</v>
      </c>
      <c r="F78" s="1748">
        <v>0.1</v>
      </c>
    </row>
    <row r="79" spans="1:6" ht="14.25" thickBot="1">
      <c r="A79" s="1742" t="s">
        <v>1382</v>
      </c>
      <c r="B79" s="1746" t="s">
        <v>1076</v>
      </c>
      <c r="C79" s="1747">
        <v>9.8000000000000004E-2</v>
      </c>
      <c r="D79" s="1747">
        <v>9.8000000000000004E-2</v>
      </c>
      <c r="E79" s="1747">
        <v>9.0999999999999998E-2</v>
      </c>
      <c r="F79" s="1748">
        <v>0.1</v>
      </c>
    </row>
    <row r="80" spans="1:6" ht="14.25" thickBot="1">
      <c r="A80" s="1742" t="s">
        <v>1382</v>
      </c>
      <c r="B80" s="1746" t="s">
        <v>1090</v>
      </c>
      <c r="C80" s="1747">
        <v>9.6000000000000002E-2</v>
      </c>
      <c r="D80" s="1747">
        <v>9.6000000000000002E-2</v>
      </c>
      <c r="E80" s="1747">
        <v>0.1</v>
      </c>
      <c r="F80" s="1748">
        <v>0.1</v>
      </c>
    </row>
    <row r="81" spans="1:6" ht="14.25" thickBot="1">
      <c r="A81" s="1742" t="s">
        <v>1382</v>
      </c>
      <c r="B81" s="1746" t="s">
        <v>1101</v>
      </c>
      <c r="C81" s="1747">
        <v>9.9000000000000005E-2</v>
      </c>
      <c r="D81" s="1747">
        <v>9.9000000000000005E-2</v>
      </c>
      <c r="E81" s="1747">
        <v>9.8000000000000004E-2</v>
      </c>
      <c r="F81" s="1748">
        <v>0.1</v>
      </c>
    </row>
    <row r="82" spans="1:6" ht="14.25" thickBot="1">
      <c r="A82" s="1742" t="s">
        <v>1382</v>
      </c>
      <c r="B82" s="1746" t="s">
        <v>1112</v>
      </c>
      <c r="C82" s="1747">
        <v>9.9000000000000005E-2</v>
      </c>
      <c r="D82" s="1747">
        <v>9.9000000000000005E-2</v>
      </c>
      <c r="E82" s="1747">
        <v>9.7000000000000003E-2</v>
      </c>
      <c r="F82" s="1748">
        <v>0.1</v>
      </c>
    </row>
    <row r="83" spans="1:6" ht="14.25" thickBot="1">
      <c r="A83" s="1742" t="s">
        <v>1382</v>
      </c>
      <c r="B83" s="1746" t="s">
        <v>1123</v>
      </c>
      <c r="C83" s="1747">
        <v>9.8000000000000004E-2</v>
      </c>
      <c r="D83" s="1747">
        <v>9.8000000000000004E-2</v>
      </c>
      <c r="E83" s="1747">
        <v>9.8000000000000004E-2</v>
      </c>
      <c r="F83" s="1748">
        <v>0.1</v>
      </c>
    </row>
    <row r="84" spans="1:6" ht="14.25" thickBot="1">
      <c r="A84" s="1742" t="s">
        <v>1382</v>
      </c>
      <c r="B84" s="1746" t="s">
        <v>1135</v>
      </c>
      <c r="C84" s="1747">
        <v>9.9000000000000005E-2</v>
      </c>
      <c r="D84" s="1747">
        <v>9.9000000000000005E-2</v>
      </c>
      <c r="E84" s="1747">
        <v>9.9000000000000005E-2</v>
      </c>
      <c r="F84" s="1748">
        <v>0.1</v>
      </c>
    </row>
    <row r="85" spans="1:6" ht="14.25" thickBot="1">
      <c r="A85" s="1742" t="s">
        <v>1382</v>
      </c>
      <c r="B85" s="1746" t="s">
        <v>1145</v>
      </c>
      <c r="C85" s="1747">
        <v>9.9000000000000005E-2</v>
      </c>
      <c r="D85" s="1747">
        <v>9.9000000000000005E-2</v>
      </c>
      <c r="E85" s="1747">
        <v>9.9000000000000005E-2</v>
      </c>
      <c r="F85" s="1748">
        <v>0.1</v>
      </c>
    </row>
    <row r="86" spans="1:6" ht="14.25" thickBot="1">
      <c r="A86" s="1742" t="s">
        <v>1382</v>
      </c>
      <c r="B86" s="1746" t="s">
        <v>1155</v>
      </c>
      <c r="C86" s="1747">
        <v>0.1</v>
      </c>
      <c r="D86" s="1747">
        <v>0.1</v>
      </c>
      <c r="E86" s="1747">
        <v>7.6999999999999999E-2</v>
      </c>
      <c r="F86" s="1748">
        <v>0.1</v>
      </c>
    </row>
    <row r="87" spans="1:6" ht="14.25" thickBot="1">
      <c r="A87" s="1742" t="s">
        <v>1382</v>
      </c>
      <c r="B87" s="1746" t="s">
        <v>1165</v>
      </c>
      <c r="C87" s="1747">
        <v>0.1</v>
      </c>
      <c r="D87" s="1747">
        <v>0.1</v>
      </c>
      <c r="E87" s="1747">
        <v>9.8000000000000004E-2</v>
      </c>
      <c r="F87" s="1755"/>
    </row>
    <row r="88" spans="1:6" ht="14.25" thickBot="1">
      <c r="A88" s="1742" t="s">
        <v>1382</v>
      </c>
      <c r="B88" s="1746" t="s">
        <v>1175</v>
      </c>
      <c r="C88" s="1747">
        <v>9.1999999999999998E-2</v>
      </c>
      <c r="D88" s="1747">
        <v>8.5000000000000006E-2</v>
      </c>
      <c r="E88" s="1747">
        <v>9.6000000000000002E-2</v>
      </c>
      <c r="F88" s="1755"/>
    </row>
    <row r="89" spans="1:6" ht="14.25" thickBot="1">
      <c r="A89" s="1742" t="s">
        <v>1382</v>
      </c>
      <c r="B89" s="1746" t="s">
        <v>1185</v>
      </c>
      <c r="C89" s="1747">
        <v>0.1</v>
      </c>
      <c r="D89" s="1747">
        <v>0.1</v>
      </c>
      <c r="E89" s="1747">
        <v>9.7000000000000003E-2</v>
      </c>
      <c r="F89" s="1755"/>
    </row>
    <row r="90" spans="1:6" ht="14.25" thickBot="1">
      <c r="A90" s="1742" t="s">
        <v>1382</v>
      </c>
      <c r="B90" s="1746" t="s">
        <v>1195</v>
      </c>
      <c r="C90" s="1747">
        <v>9.8000000000000004E-2</v>
      </c>
      <c r="D90" s="1747">
        <v>9.8000000000000004E-2</v>
      </c>
      <c r="E90" s="1747">
        <v>8.7999999999999995E-2</v>
      </c>
      <c r="F90" s="1755"/>
    </row>
    <row r="91" spans="1:6" ht="14.25" thickBot="1">
      <c r="A91" s="1742" t="s">
        <v>1382</v>
      </c>
      <c r="B91" s="1746" t="s">
        <v>1205</v>
      </c>
      <c r="C91" s="1747">
        <v>9.9000000000000005E-2</v>
      </c>
      <c r="D91" s="1747">
        <v>9.9000000000000005E-2</v>
      </c>
      <c r="E91" s="1747">
        <v>9.0999999999999998E-2</v>
      </c>
      <c r="F91" s="1755"/>
    </row>
    <row r="92" spans="1:6" ht="14.25" thickBot="1">
      <c r="A92" s="1742" t="s">
        <v>1382</v>
      </c>
      <c r="B92" s="1746" t="s">
        <v>1215</v>
      </c>
      <c r="C92" s="1747">
        <v>9.6000000000000002E-2</v>
      </c>
      <c r="D92" s="1747">
        <v>9.6000000000000002E-2</v>
      </c>
      <c r="E92" s="1747">
        <v>7.2999999999999995E-2</v>
      </c>
      <c r="F92" s="1755"/>
    </row>
    <row r="93" spans="1:6" ht="14.25" thickBot="1">
      <c r="A93" s="1742" t="s">
        <v>1382</v>
      </c>
      <c r="B93" s="1746" t="s">
        <v>1225</v>
      </c>
      <c r="C93" s="1747">
        <v>9.6000000000000002E-2</v>
      </c>
      <c r="D93" s="1747">
        <v>9.6000000000000002E-2</v>
      </c>
      <c r="E93" s="1747">
        <v>9.9000000000000005E-2</v>
      </c>
      <c r="F93" s="1755"/>
    </row>
    <row r="94" spans="1:6" ht="14.25" thickBot="1">
      <c r="A94" s="1742" t="s">
        <v>1382</v>
      </c>
      <c r="B94" s="1746" t="s">
        <v>1235</v>
      </c>
      <c r="C94" s="1747">
        <v>7.5999999999999998E-2</v>
      </c>
      <c r="D94" s="1747">
        <v>7.3999999999999996E-2</v>
      </c>
      <c r="E94" s="1747">
        <v>9.7000000000000003E-2</v>
      </c>
      <c r="F94" s="1755"/>
    </row>
    <row r="95" spans="1:6" ht="14.25" thickBot="1">
      <c r="A95" s="1742" t="s">
        <v>1382</v>
      </c>
      <c r="B95" s="1746" t="s">
        <v>1244</v>
      </c>
      <c r="C95" s="1747">
        <v>9.9000000000000005E-2</v>
      </c>
      <c r="D95" s="1747">
        <v>9.4E-2</v>
      </c>
      <c r="E95" s="1747">
        <v>9.6000000000000002E-2</v>
      </c>
      <c r="F95" s="1755"/>
    </row>
    <row r="96" spans="1:6" ht="14.25" thickBot="1">
      <c r="A96" s="1742" t="s">
        <v>1382</v>
      </c>
      <c r="B96" s="1746" t="s">
        <v>1253</v>
      </c>
      <c r="C96" s="1747">
        <v>9.9000000000000005E-2</v>
      </c>
      <c r="D96" s="1747">
        <v>9.9000000000000005E-2</v>
      </c>
      <c r="E96" s="1747">
        <v>9.9000000000000005E-2</v>
      </c>
      <c r="F96" s="1755"/>
    </row>
    <row r="97" spans="1:6" ht="14.25" thickBot="1">
      <c r="A97" s="1742" t="s">
        <v>1382</v>
      </c>
      <c r="B97" s="1746" t="s">
        <v>1261</v>
      </c>
      <c r="C97" s="1747">
        <v>9.8000000000000004E-2</v>
      </c>
      <c r="D97" s="1747">
        <v>9.8000000000000004E-2</v>
      </c>
      <c r="E97" s="1747">
        <v>9.7000000000000003E-2</v>
      </c>
      <c r="F97" s="1755"/>
    </row>
    <row r="98" spans="1:6" ht="14.25" thickBot="1">
      <c r="A98" s="1742" t="s">
        <v>1382</v>
      </c>
      <c r="B98" s="1746" t="s">
        <v>1268</v>
      </c>
      <c r="C98" s="1747">
        <v>0.1</v>
      </c>
      <c r="D98" s="1747">
        <v>0.1</v>
      </c>
      <c r="E98" s="1747">
        <v>9.7000000000000003E-2</v>
      </c>
      <c r="F98" s="1755"/>
    </row>
    <row r="99" spans="1:6" ht="14.25" thickBot="1">
      <c r="A99" s="1742" t="s">
        <v>1382</v>
      </c>
      <c r="B99" s="1746" t="s">
        <v>1275</v>
      </c>
      <c r="C99" s="1747">
        <v>0.1</v>
      </c>
      <c r="D99" s="1747">
        <v>0.1</v>
      </c>
      <c r="E99" s="1756"/>
      <c r="F99" s="1755"/>
    </row>
    <row r="100" spans="1:6" ht="14.25" thickBot="1">
      <c r="A100" s="1742" t="s">
        <v>1382</v>
      </c>
      <c r="B100" s="1746" t="s">
        <v>1282</v>
      </c>
      <c r="C100" s="1747">
        <v>0.09</v>
      </c>
      <c r="D100" s="1747">
        <v>8.8999999999999996E-2</v>
      </c>
      <c r="E100" s="1756"/>
      <c r="F100" s="1755"/>
    </row>
    <row r="101" spans="1:6" ht="14.25" thickBot="1">
      <c r="A101" s="1742" t="s">
        <v>1382</v>
      </c>
      <c r="B101" s="1746" t="s">
        <v>1289</v>
      </c>
      <c r="C101" s="1747">
        <v>9.8000000000000004E-2</v>
      </c>
      <c r="D101" s="1747">
        <v>9.7000000000000003E-2</v>
      </c>
      <c r="E101" s="1756"/>
      <c r="F101" s="1755"/>
    </row>
    <row r="102" spans="1:6" ht="14.25" thickBot="1">
      <c r="A102" s="1742" t="s">
        <v>1382</v>
      </c>
      <c r="B102" s="1746" t="s">
        <v>2065</v>
      </c>
      <c r="C102" s="1756"/>
      <c r="D102" s="1756"/>
      <c r="E102" s="1756"/>
      <c r="F102" s="1748">
        <v>0.05</v>
      </c>
    </row>
    <row r="103" spans="1:6" ht="24.75" thickBot="1">
      <c r="A103" s="1742" t="s">
        <v>1382</v>
      </c>
      <c r="B103" s="1746" t="s">
        <v>2066</v>
      </c>
      <c r="C103" s="1756"/>
      <c r="D103" s="1756"/>
      <c r="E103" s="1756"/>
      <c r="F103" s="1748">
        <v>0.05</v>
      </c>
    </row>
    <row r="104" spans="1:6" ht="14.25" thickBot="1">
      <c r="A104" s="1742" t="s">
        <v>1382</v>
      </c>
      <c r="B104" s="1746" t="s">
        <v>2067</v>
      </c>
      <c r="C104" s="1756"/>
      <c r="D104" s="1756"/>
      <c r="E104" s="1756"/>
      <c r="F104" s="1748">
        <v>0.05</v>
      </c>
    </row>
    <row r="105" spans="1:6" ht="14.25" thickBot="1">
      <c r="A105" s="1742" t="s">
        <v>1382</v>
      </c>
      <c r="B105" s="1746" t="s">
        <v>2068</v>
      </c>
      <c r="C105" s="1756"/>
      <c r="D105" s="1756"/>
      <c r="E105" s="1756"/>
      <c r="F105" s="1748">
        <v>0.05</v>
      </c>
    </row>
    <row r="106" spans="1:6" ht="14.25" thickBot="1">
      <c r="A106" s="1742" t="s">
        <v>1382</v>
      </c>
      <c r="B106" s="1746" t="s">
        <v>2069</v>
      </c>
      <c r="C106" s="1756"/>
      <c r="D106" s="1756"/>
      <c r="E106" s="1756"/>
      <c r="F106" s="1748">
        <v>0.05</v>
      </c>
    </row>
    <row r="107" spans="1:6" ht="24.75" thickBot="1">
      <c r="A107" s="1742" t="s">
        <v>1382</v>
      </c>
      <c r="B107" s="1746" t="s">
        <v>2070</v>
      </c>
      <c r="C107" s="1756"/>
      <c r="D107" s="1756"/>
      <c r="E107" s="1756"/>
      <c r="F107" s="1748">
        <v>0.05</v>
      </c>
    </row>
    <row r="108" spans="1:6" ht="24.75" thickBot="1">
      <c r="A108" s="1742" t="s">
        <v>1382</v>
      </c>
      <c r="B108" s="1746" t="s">
        <v>2071</v>
      </c>
      <c r="C108" s="1756"/>
      <c r="D108" s="1756"/>
      <c r="E108" s="1756"/>
      <c r="F108" s="1748">
        <v>0.05</v>
      </c>
    </row>
    <row r="109" spans="1:6" ht="24.75" thickBot="1">
      <c r="A109" s="1750" t="s">
        <v>1382</v>
      </c>
      <c r="B109" s="1757" t="s">
        <v>2072</v>
      </c>
      <c r="C109" s="1753"/>
      <c r="D109" s="1753"/>
      <c r="E109" s="1753"/>
      <c r="F109" s="1758">
        <v>0.05</v>
      </c>
    </row>
    <row r="110" spans="1:6" ht="14.25" thickBot="1">
      <c r="A110" s="1742" t="s">
        <v>1384</v>
      </c>
      <c r="B110" s="1743" t="s">
        <v>2073</v>
      </c>
      <c r="C110" s="1744">
        <v>0.129</v>
      </c>
      <c r="D110" s="1744">
        <v>0.129</v>
      </c>
      <c r="E110" s="1744">
        <v>0.126</v>
      </c>
      <c r="F110" s="1745">
        <v>0.13</v>
      </c>
    </row>
    <row r="111" spans="1:6" ht="14.25" thickBot="1">
      <c r="A111" s="1742" t="s">
        <v>1384</v>
      </c>
      <c r="B111" s="1746" t="s">
        <v>1050</v>
      </c>
      <c r="C111" s="1747">
        <v>0.11</v>
      </c>
      <c r="D111" s="1747">
        <v>0.11</v>
      </c>
      <c r="E111" s="1747">
        <v>9.9000000000000005E-2</v>
      </c>
      <c r="F111" s="1748">
        <v>0.128</v>
      </c>
    </row>
    <row r="112" spans="1:6" ht="14.25" thickBot="1">
      <c r="A112" s="1742" t="s">
        <v>1384</v>
      </c>
      <c r="B112" s="1746" t="s">
        <v>1064</v>
      </c>
      <c r="C112" s="1747">
        <v>0.125</v>
      </c>
      <c r="D112" s="1747">
        <v>0.125</v>
      </c>
      <c r="E112" s="1747">
        <v>0.12</v>
      </c>
      <c r="F112" s="1748">
        <v>0.125</v>
      </c>
    </row>
    <row r="113" spans="1:6" ht="14.25" thickBot="1">
      <c r="A113" s="1742" t="s">
        <v>1384</v>
      </c>
      <c r="B113" s="1746" t="s">
        <v>1077</v>
      </c>
      <c r="C113" s="1747">
        <v>0.13</v>
      </c>
      <c r="D113" s="1747">
        <v>0.13</v>
      </c>
      <c r="E113" s="1747">
        <v>0.13</v>
      </c>
      <c r="F113" s="1748">
        <v>0.13</v>
      </c>
    </row>
    <row r="114" spans="1:6" ht="14.25" thickBot="1">
      <c r="A114" s="1742" t="s">
        <v>1384</v>
      </c>
      <c r="B114" s="1746" t="s">
        <v>1091</v>
      </c>
      <c r="C114" s="1747">
        <v>0.123</v>
      </c>
      <c r="D114" s="1747">
        <v>0.123</v>
      </c>
      <c r="E114" s="1747">
        <v>0.12</v>
      </c>
      <c r="F114" s="1748">
        <v>0.13</v>
      </c>
    </row>
    <row r="115" spans="1:6" ht="14.25" thickBot="1">
      <c r="A115" s="1742" t="s">
        <v>1384</v>
      </c>
      <c r="B115" s="1746" t="s">
        <v>1102</v>
      </c>
      <c r="C115" s="1747">
        <v>0.125</v>
      </c>
      <c r="D115" s="1747">
        <v>0.125</v>
      </c>
      <c r="E115" s="1747">
        <v>0.11700000000000001</v>
      </c>
      <c r="F115" s="1748">
        <v>0.13</v>
      </c>
    </row>
    <row r="116" spans="1:6" ht="14.25" thickBot="1">
      <c r="A116" s="1742" t="s">
        <v>1384</v>
      </c>
      <c r="B116" s="1746" t="s">
        <v>1113</v>
      </c>
      <c r="C116" s="1747">
        <v>0.11700000000000001</v>
      </c>
      <c r="D116" s="1747">
        <v>0.11700000000000001</v>
      </c>
      <c r="E116" s="1747">
        <v>8.7999999999999995E-2</v>
      </c>
      <c r="F116" s="1748">
        <v>0.13</v>
      </c>
    </row>
    <row r="117" spans="1:6" ht="14.25" thickBot="1">
      <c r="A117" s="1742" t="s">
        <v>1384</v>
      </c>
      <c r="B117" s="1746" t="s">
        <v>1124</v>
      </c>
      <c r="C117" s="1747">
        <v>0.13</v>
      </c>
      <c r="D117" s="1747">
        <v>0.13</v>
      </c>
      <c r="E117" s="1747">
        <v>0.129</v>
      </c>
      <c r="F117" s="1748">
        <v>0.13</v>
      </c>
    </row>
    <row r="118" spans="1:6" ht="14.25" thickBot="1">
      <c r="A118" s="1742" t="s">
        <v>1384</v>
      </c>
      <c r="B118" s="1746" t="s">
        <v>1136</v>
      </c>
      <c r="C118" s="1747">
        <v>0.123</v>
      </c>
      <c r="D118" s="1747">
        <v>0.123</v>
      </c>
      <c r="E118" s="1747">
        <v>0.11600000000000001</v>
      </c>
      <c r="F118" s="1748">
        <v>0.13</v>
      </c>
    </row>
    <row r="119" spans="1:6" ht="14.25" thickBot="1">
      <c r="A119" s="1742" t="s">
        <v>1384</v>
      </c>
      <c r="B119" s="1746" t="s">
        <v>1146</v>
      </c>
      <c r="C119" s="1747">
        <v>0.127</v>
      </c>
      <c r="D119" s="1747">
        <v>0.127</v>
      </c>
      <c r="E119" s="1747">
        <v>0.124</v>
      </c>
      <c r="F119" s="1748">
        <v>0.13</v>
      </c>
    </row>
    <row r="120" spans="1:6" ht="14.25" thickBot="1">
      <c r="A120" s="1742" t="s">
        <v>1384</v>
      </c>
      <c r="B120" s="1746" t="s">
        <v>1156</v>
      </c>
      <c r="C120" s="1747">
        <v>0.125</v>
      </c>
      <c r="D120" s="1747">
        <v>0.125</v>
      </c>
      <c r="E120" s="1747">
        <v>0.122</v>
      </c>
      <c r="F120" s="1748">
        <v>0.13</v>
      </c>
    </row>
    <row r="121" spans="1:6" ht="14.25" thickBot="1">
      <c r="A121" s="1742" t="s">
        <v>1384</v>
      </c>
      <c r="B121" s="1746" t="s">
        <v>1166</v>
      </c>
      <c r="C121" s="1747">
        <v>0.13</v>
      </c>
      <c r="D121" s="1747">
        <v>0.13</v>
      </c>
      <c r="E121" s="1747">
        <v>0.13</v>
      </c>
      <c r="F121" s="1748">
        <v>0.13</v>
      </c>
    </row>
    <row r="122" spans="1:6" ht="14.25" thickBot="1">
      <c r="A122" s="1742" t="s">
        <v>1384</v>
      </c>
      <c r="B122" s="1746" t="s">
        <v>1176</v>
      </c>
      <c r="C122" s="1747">
        <v>0.13</v>
      </c>
      <c r="D122" s="1747">
        <v>0.13</v>
      </c>
      <c r="E122" s="1747">
        <v>0.125</v>
      </c>
      <c r="F122" s="1748">
        <v>0.13</v>
      </c>
    </row>
    <row r="123" spans="1:6" ht="14.25" thickBot="1">
      <c r="A123" s="1742" t="s">
        <v>1384</v>
      </c>
      <c r="B123" s="1746" t="s">
        <v>1186</v>
      </c>
      <c r="C123" s="1747">
        <v>0.129</v>
      </c>
      <c r="D123" s="1747">
        <v>0.129</v>
      </c>
      <c r="E123" s="1747">
        <v>0.123</v>
      </c>
      <c r="F123" s="1748">
        <v>0.13</v>
      </c>
    </row>
    <row r="124" spans="1:6" ht="14.25" thickBot="1">
      <c r="A124" s="1742" t="s">
        <v>1384</v>
      </c>
      <c r="B124" s="1746" t="s">
        <v>1196</v>
      </c>
      <c r="C124" s="1747">
        <v>0.10199999999999999</v>
      </c>
      <c r="D124" s="1747">
        <v>0.10100000000000001</v>
      </c>
      <c r="E124" s="1747">
        <v>0.08</v>
      </c>
      <c r="F124" s="1755"/>
    </row>
    <row r="125" spans="1:6" ht="14.25" thickBot="1">
      <c r="A125" s="1742" t="s">
        <v>1384</v>
      </c>
      <c r="B125" s="1746" t="s">
        <v>1206</v>
      </c>
      <c r="C125" s="1747">
        <v>0.13</v>
      </c>
      <c r="D125" s="1747">
        <v>0.13</v>
      </c>
      <c r="E125" s="1747">
        <v>0.129</v>
      </c>
      <c r="F125" s="1755"/>
    </row>
    <row r="126" spans="1:6" ht="14.25" thickBot="1">
      <c r="A126" s="1742" t="s">
        <v>1384</v>
      </c>
      <c r="B126" s="1746" t="s">
        <v>1216</v>
      </c>
      <c r="C126" s="1747">
        <v>0.13</v>
      </c>
      <c r="D126" s="1747">
        <v>0.13</v>
      </c>
      <c r="E126" s="1747">
        <v>0.126</v>
      </c>
      <c r="F126" s="1755"/>
    </row>
    <row r="127" spans="1:6" ht="14.25" thickBot="1">
      <c r="A127" s="1742" t="s">
        <v>1384</v>
      </c>
      <c r="B127" s="1746" t="s">
        <v>1226</v>
      </c>
      <c r="C127" s="1747">
        <v>0.125</v>
      </c>
      <c r="D127" s="1747">
        <v>0.125</v>
      </c>
      <c r="E127" s="1747">
        <v>0.121</v>
      </c>
      <c r="F127" s="1755"/>
    </row>
    <row r="128" spans="1:6" ht="14.25" thickBot="1">
      <c r="A128" s="1742" t="s">
        <v>1384</v>
      </c>
      <c r="B128" s="1746" t="s">
        <v>1236</v>
      </c>
      <c r="C128" s="1747">
        <v>0.12</v>
      </c>
      <c r="D128" s="1747">
        <v>0.12</v>
      </c>
      <c r="E128" s="1747">
        <v>0.105</v>
      </c>
      <c r="F128" s="1755"/>
    </row>
    <row r="129" spans="1:6" ht="14.25" thickBot="1">
      <c r="A129" s="1742" t="s">
        <v>1384</v>
      </c>
      <c r="B129" s="1746" t="s">
        <v>1245</v>
      </c>
      <c r="C129" s="1747">
        <v>0.13</v>
      </c>
      <c r="D129" s="1747">
        <v>0.13</v>
      </c>
      <c r="E129" s="1747">
        <v>0.126</v>
      </c>
      <c r="F129" s="1755"/>
    </row>
    <row r="130" spans="1:6" ht="14.25" thickBot="1">
      <c r="A130" s="1742" t="s">
        <v>1384</v>
      </c>
      <c r="B130" s="1746" t="s">
        <v>1254</v>
      </c>
      <c r="C130" s="1747">
        <v>0.125</v>
      </c>
      <c r="D130" s="1747">
        <v>0.125</v>
      </c>
      <c r="E130" s="1747">
        <v>0.122</v>
      </c>
      <c r="F130" s="1755"/>
    </row>
    <row r="131" spans="1:6" ht="14.25" thickBot="1">
      <c r="A131" s="1742" t="s">
        <v>1384</v>
      </c>
      <c r="B131" s="1746" t="s">
        <v>1262</v>
      </c>
      <c r="C131" s="1747">
        <v>0.127</v>
      </c>
      <c r="D131" s="1747">
        <v>0.126</v>
      </c>
      <c r="E131" s="1747">
        <v>0.123</v>
      </c>
      <c r="F131" s="1755"/>
    </row>
    <row r="132" spans="1:6" ht="14.25" thickBot="1">
      <c r="A132" s="1742" t="s">
        <v>1384</v>
      </c>
      <c r="B132" s="1746" t="s">
        <v>1269</v>
      </c>
      <c r="C132" s="1747">
        <v>9.0999999999999998E-2</v>
      </c>
      <c r="D132" s="1747">
        <v>0.121</v>
      </c>
      <c r="E132" s="1747">
        <v>9.9000000000000005E-2</v>
      </c>
      <c r="F132" s="1755"/>
    </row>
    <row r="133" spans="1:6" ht="14.25" thickBot="1">
      <c r="A133" s="1742" t="s">
        <v>1384</v>
      </c>
      <c r="B133" s="1746" t="s">
        <v>1276</v>
      </c>
      <c r="C133" s="1747">
        <v>0.13</v>
      </c>
      <c r="D133" s="1747">
        <v>0.13</v>
      </c>
      <c r="E133" s="1747">
        <v>0.129</v>
      </c>
      <c r="F133" s="1755"/>
    </row>
    <row r="134" spans="1:6" ht="14.25" thickBot="1">
      <c r="A134" s="1742" t="s">
        <v>1384</v>
      </c>
      <c r="B134" s="1746" t="s">
        <v>2074</v>
      </c>
      <c r="C134" s="1747">
        <v>6.8000000000000005E-2</v>
      </c>
      <c r="D134" s="1747">
        <v>6.5000000000000002E-2</v>
      </c>
      <c r="E134" s="1747">
        <v>6.5000000000000002E-2</v>
      </c>
      <c r="F134" s="1748">
        <v>0.13</v>
      </c>
    </row>
    <row r="135" spans="1:6" ht="14.25" thickBot="1">
      <c r="A135" s="1742" t="s">
        <v>1384</v>
      </c>
      <c r="B135" s="1746" t="s">
        <v>1290</v>
      </c>
      <c r="C135" s="1747">
        <v>0.123</v>
      </c>
      <c r="D135" s="1747">
        <v>0.123</v>
      </c>
      <c r="E135" s="1747">
        <v>0.11</v>
      </c>
      <c r="F135" s="1755"/>
    </row>
    <row r="136" spans="1:6" ht="14.25" thickBot="1">
      <c r="A136" s="1742" t="s">
        <v>1384</v>
      </c>
      <c r="B136" s="1746" t="s">
        <v>1297</v>
      </c>
      <c r="C136" s="1747">
        <v>0.13</v>
      </c>
      <c r="D136" s="1747">
        <v>0.13</v>
      </c>
      <c r="E136" s="1747">
        <v>0.125</v>
      </c>
      <c r="F136" s="1755"/>
    </row>
    <row r="137" spans="1:6" ht="14.25" thickBot="1">
      <c r="A137" s="1742" t="s">
        <v>1384</v>
      </c>
      <c r="B137" s="1746" t="s">
        <v>1304</v>
      </c>
      <c r="C137" s="1747">
        <v>0.121</v>
      </c>
      <c r="D137" s="1747">
        <v>0.122</v>
      </c>
      <c r="E137" s="1747">
        <v>0.115</v>
      </c>
      <c r="F137" s="1755"/>
    </row>
    <row r="138" spans="1:6" ht="14.25" thickBot="1">
      <c r="A138" s="1742" t="s">
        <v>1384</v>
      </c>
      <c r="B138" s="1746" t="s">
        <v>2075</v>
      </c>
      <c r="C138" s="1747">
        <v>0.105</v>
      </c>
      <c r="D138" s="1747">
        <v>0.125</v>
      </c>
      <c r="E138" s="1747">
        <v>0.112</v>
      </c>
      <c r="F138" s="1755"/>
    </row>
    <row r="139" spans="1:6" ht="14.25" thickBot="1">
      <c r="A139" s="1742" t="s">
        <v>1384</v>
      </c>
      <c r="B139" s="1746" t="s">
        <v>2076</v>
      </c>
      <c r="C139" s="1747">
        <v>0.127</v>
      </c>
      <c r="D139" s="1747">
        <v>0.127</v>
      </c>
      <c r="E139" s="1747">
        <v>0.122</v>
      </c>
      <c r="F139" s="1748">
        <v>0.13</v>
      </c>
    </row>
    <row r="140" spans="1:6" ht="14.25" thickBot="1">
      <c r="A140" s="1742" t="s">
        <v>1384</v>
      </c>
      <c r="B140" s="1746" t="s">
        <v>2077</v>
      </c>
      <c r="C140" s="1747">
        <v>0.125</v>
      </c>
      <c r="D140" s="1747">
        <v>0.125</v>
      </c>
      <c r="E140" s="1747">
        <v>0.11899999999999999</v>
      </c>
      <c r="F140" s="1748">
        <v>0.13</v>
      </c>
    </row>
    <row r="141" spans="1:6" ht="14.25" thickBot="1">
      <c r="A141" s="1742" t="s">
        <v>1384</v>
      </c>
      <c r="B141" s="1746" t="s">
        <v>1323</v>
      </c>
      <c r="C141" s="1747">
        <v>0.125</v>
      </c>
      <c r="D141" s="1747">
        <v>0.125</v>
      </c>
      <c r="E141" s="1747">
        <v>0.11700000000000001</v>
      </c>
      <c r="F141" s="1755"/>
    </row>
    <row r="142" spans="1:6" ht="14.25" thickBot="1">
      <c r="A142" s="1742" t="s">
        <v>1384</v>
      </c>
      <c r="B142" s="1746" t="s">
        <v>1328</v>
      </c>
      <c r="C142" s="1747">
        <v>0.125</v>
      </c>
      <c r="D142" s="1747">
        <v>0.125</v>
      </c>
      <c r="E142" s="1747">
        <v>0.115</v>
      </c>
      <c r="F142" s="1755"/>
    </row>
    <row r="143" spans="1:6" ht="14.25" thickBot="1">
      <c r="A143" s="1742" t="s">
        <v>1384</v>
      </c>
      <c r="B143" s="1746" t="s">
        <v>1333</v>
      </c>
      <c r="C143" s="1747">
        <v>0.121</v>
      </c>
      <c r="D143" s="1747">
        <v>0.121</v>
      </c>
      <c r="E143" s="1747">
        <v>0.108</v>
      </c>
      <c r="F143" s="1755"/>
    </row>
    <row r="144" spans="1:6" ht="14.25" thickBot="1">
      <c r="A144" s="1742" t="s">
        <v>1384</v>
      </c>
      <c r="B144" s="1759" t="s">
        <v>2078</v>
      </c>
      <c r="C144" s="1760">
        <v>0.126</v>
      </c>
      <c r="D144" s="1760">
        <v>0.126</v>
      </c>
      <c r="E144" s="1760">
        <v>0.121</v>
      </c>
      <c r="F144" s="1755"/>
    </row>
    <row r="145" spans="1:6" ht="14.25" thickBot="1">
      <c r="A145" s="1750" t="s">
        <v>1384</v>
      </c>
      <c r="B145" s="1761" t="s">
        <v>2079</v>
      </c>
      <c r="C145" s="1762"/>
      <c r="D145" s="1762"/>
      <c r="E145" s="1762"/>
      <c r="F145" s="1763">
        <v>0.05</v>
      </c>
    </row>
    <row r="146" spans="1:6" ht="24.75" thickBot="1">
      <c r="A146" s="1764" t="s">
        <v>1384</v>
      </c>
      <c r="B146" s="1749" t="s">
        <v>2080</v>
      </c>
      <c r="C146" s="1756"/>
      <c r="D146" s="1756"/>
      <c r="E146" s="1756"/>
      <c r="F146" s="1765">
        <v>0.05</v>
      </c>
    </row>
    <row r="147" spans="1:6" ht="24.75" thickBot="1">
      <c r="A147" s="1742" t="s">
        <v>1384</v>
      </c>
      <c r="B147" s="1746" t="s">
        <v>2081</v>
      </c>
      <c r="C147" s="1756"/>
      <c r="D147" s="1756"/>
      <c r="E147" s="1756"/>
      <c r="F147" s="1748">
        <v>0.05</v>
      </c>
    </row>
    <row r="148" spans="1:6" ht="24.75" thickBot="1">
      <c r="A148" s="1742" t="s">
        <v>1384</v>
      </c>
      <c r="B148" s="1746" t="s">
        <v>2082</v>
      </c>
      <c r="C148" s="1756"/>
      <c r="D148" s="1756"/>
      <c r="E148" s="1756"/>
      <c r="F148" s="1748">
        <v>0.05</v>
      </c>
    </row>
    <row r="149" spans="1:6" ht="24.75" thickBot="1">
      <c r="A149" s="1742" t="s">
        <v>1384</v>
      </c>
      <c r="B149" s="1746" t="s">
        <v>2083</v>
      </c>
      <c r="C149" s="1756"/>
      <c r="D149" s="1756"/>
      <c r="E149" s="1756"/>
      <c r="F149" s="1748">
        <v>0.05</v>
      </c>
    </row>
    <row r="150" spans="1:6" ht="24.75" thickBot="1">
      <c r="A150" s="1742" t="s">
        <v>1384</v>
      </c>
      <c r="B150" s="1746" t="s">
        <v>2084</v>
      </c>
      <c r="C150" s="1756"/>
      <c r="D150" s="1756"/>
      <c r="E150" s="1756"/>
      <c r="F150" s="1748">
        <v>0.05</v>
      </c>
    </row>
    <row r="151" spans="1:6" ht="24.75" thickBot="1">
      <c r="A151" s="1742" t="s">
        <v>1384</v>
      </c>
      <c r="B151" s="1746" t="s">
        <v>2085</v>
      </c>
      <c r="C151" s="1756"/>
      <c r="D151" s="1756"/>
      <c r="E151" s="1756"/>
      <c r="F151" s="1748">
        <v>0.05</v>
      </c>
    </row>
    <row r="152" spans="1:6" ht="24.75" thickBot="1">
      <c r="A152" s="1742" t="s">
        <v>1384</v>
      </c>
      <c r="B152" s="1746" t="s">
        <v>1366</v>
      </c>
      <c r="C152" s="1756"/>
      <c r="D152" s="1756"/>
      <c r="E152" s="1756"/>
      <c r="F152" s="1748">
        <v>0.05</v>
      </c>
    </row>
    <row r="153" spans="1:6" ht="14.25" thickBot="1">
      <c r="A153" s="1742" t="s">
        <v>1384</v>
      </c>
      <c r="B153" s="1746" t="s">
        <v>2086</v>
      </c>
      <c r="C153" s="1756"/>
      <c r="D153" s="1756"/>
      <c r="E153" s="1756"/>
      <c r="F153" s="1748">
        <v>0.05</v>
      </c>
    </row>
    <row r="154" spans="1:6" ht="14.25" thickBot="1">
      <c r="A154" s="1742" t="s">
        <v>1384</v>
      </c>
      <c r="B154" s="1746" t="s">
        <v>2087</v>
      </c>
      <c r="C154" s="1756"/>
      <c r="D154" s="1756"/>
      <c r="E154" s="1756"/>
      <c r="F154" s="1748">
        <v>0.05</v>
      </c>
    </row>
    <row r="155" spans="1:6" ht="24.75" thickBot="1">
      <c r="A155" s="1742" t="s">
        <v>1384</v>
      </c>
      <c r="B155" s="1746" t="s">
        <v>2088</v>
      </c>
      <c r="C155" s="1756"/>
      <c r="D155" s="1756"/>
      <c r="E155" s="1756"/>
      <c r="F155" s="1748">
        <v>0.05</v>
      </c>
    </row>
    <row r="156" spans="1:6" ht="24.75" thickBot="1">
      <c r="A156" s="1742" t="s">
        <v>1384</v>
      </c>
      <c r="B156" s="1746" t="s">
        <v>2089</v>
      </c>
      <c r="C156" s="1756"/>
      <c r="D156" s="1756"/>
      <c r="E156" s="1756"/>
      <c r="F156" s="1748">
        <v>0.05</v>
      </c>
    </row>
    <row r="157" spans="1:6" ht="14.25" thickBot="1">
      <c r="A157" s="1750" t="s">
        <v>1384</v>
      </c>
      <c r="B157" s="1757" t="s">
        <v>2090</v>
      </c>
      <c r="C157" s="1753"/>
      <c r="D157" s="1753"/>
      <c r="E157" s="1753"/>
      <c r="F157" s="1758">
        <v>0.05</v>
      </c>
    </row>
    <row r="158" spans="1:6" ht="14.25" thickBot="1">
      <c r="A158" s="1742" t="s">
        <v>1386</v>
      </c>
      <c r="B158" s="1743" t="s">
        <v>2091</v>
      </c>
      <c r="C158" s="1744">
        <v>0.13</v>
      </c>
      <c r="D158" s="1744">
        <v>0.13</v>
      </c>
      <c r="E158" s="1744">
        <v>0.13</v>
      </c>
      <c r="F158" s="1745">
        <v>0.13</v>
      </c>
    </row>
    <row r="159" spans="1:6" ht="14.25" thickBot="1">
      <c r="A159" s="1742" t="s">
        <v>1386</v>
      </c>
      <c r="B159" s="1746" t="s">
        <v>1051</v>
      </c>
      <c r="C159" s="1747">
        <v>0.13</v>
      </c>
      <c r="D159" s="1747">
        <v>0.13</v>
      </c>
      <c r="E159" s="1747">
        <v>0.13</v>
      </c>
      <c r="F159" s="1748">
        <v>0.13</v>
      </c>
    </row>
    <row r="160" spans="1:6" ht="14.25" thickBot="1">
      <c r="A160" s="1742" t="s">
        <v>1386</v>
      </c>
      <c r="B160" s="1746" t="s">
        <v>1065</v>
      </c>
      <c r="C160" s="1747">
        <v>0.13</v>
      </c>
      <c r="D160" s="1747">
        <v>0.13</v>
      </c>
      <c r="E160" s="1747">
        <v>0.129</v>
      </c>
      <c r="F160" s="1748">
        <v>0.13</v>
      </c>
    </row>
    <row r="161" spans="1:6" ht="14.25" thickBot="1">
      <c r="A161" s="1742" t="s">
        <v>1386</v>
      </c>
      <c r="B161" s="1746" t="s">
        <v>1078</v>
      </c>
      <c r="C161" s="1747">
        <v>0.128</v>
      </c>
      <c r="D161" s="1747">
        <v>0.128</v>
      </c>
      <c r="E161" s="1747">
        <v>0.125</v>
      </c>
      <c r="F161" s="1748">
        <v>0.13</v>
      </c>
    </row>
    <row r="162" spans="1:6" ht="14.25" thickBot="1">
      <c r="A162" s="1742" t="s">
        <v>1386</v>
      </c>
      <c r="B162" s="1746" t="s">
        <v>1092</v>
      </c>
      <c r="C162" s="1747">
        <v>0.122</v>
      </c>
      <c r="D162" s="1747">
        <v>0.122</v>
      </c>
      <c r="E162" s="1747">
        <v>0.126</v>
      </c>
      <c r="F162" s="1748">
        <v>0.122</v>
      </c>
    </row>
    <row r="163" spans="1:6" ht="14.25" thickBot="1">
      <c r="A163" s="1742" t="s">
        <v>1386</v>
      </c>
      <c r="B163" s="1746" t="s">
        <v>1103</v>
      </c>
      <c r="C163" s="1747">
        <v>0.13</v>
      </c>
      <c r="D163" s="1747">
        <v>0.13</v>
      </c>
      <c r="E163" s="1747">
        <v>0.125</v>
      </c>
      <c r="F163" s="1748">
        <v>0.13</v>
      </c>
    </row>
    <row r="164" spans="1:6" ht="14.25" thickBot="1">
      <c r="A164" s="1742" t="s">
        <v>1386</v>
      </c>
      <c r="B164" s="1746" t="s">
        <v>1114</v>
      </c>
      <c r="C164" s="1747">
        <v>0.13</v>
      </c>
      <c r="D164" s="1747">
        <v>0.13</v>
      </c>
      <c r="E164" s="1747">
        <v>0.13</v>
      </c>
      <c r="F164" s="1748">
        <v>0.13</v>
      </c>
    </row>
    <row r="165" spans="1:6" ht="14.25" thickBot="1">
      <c r="A165" s="1742" t="s">
        <v>1386</v>
      </c>
      <c r="B165" s="1746" t="s">
        <v>1125</v>
      </c>
      <c r="C165" s="1747">
        <v>0.13</v>
      </c>
      <c r="D165" s="1747">
        <v>0.13</v>
      </c>
      <c r="E165" s="1747">
        <v>0.124</v>
      </c>
      <c r="F165" s="1748">
        <v>0.13</v>
      </c>
    </row>
    <row r="166" spans="1:6" ht="14.25" thickBot="1">
      <c r="A166" s="1742" t="s">
        <v>1386</v>
      </c>
      <c r="B166" s="1746" t="s">
        <v>1137</v>
      </c>
      <c r="C166" s="1747">
        <v>0.13</v>
      </c>
      <c r="D166" s="1747">
        <v>0.13</v>
      </c>
      <c r="E166" s="1747">
        <v>0.13</v>
      </c>
      <c r="F166" s="1748">
        <v>0.13</v>
      </c>
    </row>
    <row r="167" spans="1:6" ht="14.25" thickBot="1">
      <c r="A167" s="1742" t="s">
        <v>1386</v>
      </c>
      <c r="B167" s="1746" t="s">
        <v>1147</v>
      </c>
      <c r="C167" s="1747">
        <v>0.125</v>
      </c>
      <c r="D167" s="1747">
        <v>0.125</v>
      </c>
      <c r="E167" s="1747">
        <v>0.121</v>
      </c>
      <c r="F167" s="1755"/>
    </row>
    <row r="168" spans="1:6" ht="14.25" thickBot="1">
      <c r="A168" s="1742" t="s">
        <v>1386</v>
      </c>
      <c r="B168" s="1746" t="s">
        <v>1157</v>
      </c>
      <c r="C168" s="1747">
        <v>0.13</v>
      </c>
      <c r="D168" s="1747">
        <v>0.13</v>
      </c>
      <c r="E168" s="1747">
        <v>0.126</v>
      </c>
      <c r="F168" s="1755"/>
    </row>
    <row r="169" spans="1:6" ht="14.25" thickBot="1">
      <c r="A169" s="1742" t="s">
        <v>1386</v>
      </c>
      <c r="B169" s="1746" t="s">
        <v>1167</v>
      </c>
      <c r="C169" s="1747">
        <v>0.128</v>
      </c>
      <c r="D169" s="1747">
        <v>0.129</v>
      </c>
      <c r="E169" s="1747">
        <v>0.13</v>
      </c>
      <c r="F169" s="1755"/>
    </row>
    <row r="170" spans="1:6" ht="14.25" thickBot="1">
      <c r="A170" s="1742" t="s">
        <v>1386</v>
      </c>
      <c r="B170" s="1746" t="s">
        <v>1177</v>
      </c>
      <c r="C170" s="1747">
        <v>0.14099999999999999</v>
      </c>
      <c r="D170" s="1747">
        <v>0.13</v>
      </c>
      <c r="E170" s="1747">
        <v>0.125</v>
      </c>
      <c r="F170" s="1755"/>
    </row>
    <row r="171" spans="1:6" ht="14.25" thickBot="1">
      <c r="A171" s="1742" t="s">
        <v>1386</v>
      </c>
      <c r="B171" s="1746" t="s">
        <v>2092</v>
      </c>
      <c r="C171" s="1747">
        <v>0.127</v>
      </c>
      <c r="D171" s="1747">
        <v>0.126</v>
      </c>
      <c r="E171" s="1747">
        <v>0.126</v>
      </c>
      <c r="F171" s="1748">
        <v>0.11799999999999999</v>
      </c>
    </row>
    <row r="172" spans="1:6" ht="14.25" thickBot="1">
      <c r="A172" s="1742" t="s">
        <v>1386</v>
      </c>
      <c r="B172" s="1746" t="s">
        <v>2093</v>
      </c>
      <c r="C172" s="1747">
        <v>0.13</v>
      </c>
      <c r="D172" s="1747">
        <v>0.13</v>
      </c>
      <c r="E172" s="1747">
        <v>0.13</v>
      </c>
      <c r="F172" s="1755"/>
    </row>
    <row r="173" spans="1:6" ht="14.25" thickBot="1">
      <c r="A173" s="1742" t="s">
        <v>1386</v>
      </c>
      <c r="B173" s="1746" t="s">
        <v>1207</v>
      </c>
      <c r="C173" s="1747">
        <v>0.13</v>
      </c>
      <c r="D173" s="1747">
        <v>0.13</v>
      </c>
      <c r="E173" s="1747">
        <v>0.13</v>
      </c>
      <c r="F173" s="1755"/>
    </row>
    <row r="174" spans="1:6" ht="14.25" thickBot="1">
      <c r="A174" s="1742" t="s">
        <v>1386</v>
      </c>
      <c r="B174" s="1746" t="s">
        <v>2094</v>
      </c>
      <c r="C174" s="1747">
        <v>0.13</v>
      </c>
      <c r="D174" s="1747">
        <v>0.13</v>
      </c>
      <c r="E174" s="1747">
        <v>0.13</v>
      </c>
      <c r="F174" s="1748">
        <v>0.13</v>
      </c>
    </row>
    <row r="175" spans="1:6" ht="14.25" thickBot="1">
      <c r="A175" s="1742" t="s">
        <v>1386</v>
      </c>
      <c r="B175" s="1746" t="s">
        <v>2095</v>
      </c>
      <c r="C175" s="1747">
        <v>0.13</v>
      </c>
      <c r="D175" s="1747">
        <v>0.13</v>
      </c>
      <c r="E175" s="1747">
        <v>0.13</v>
      </c>
      <c r="F175" s="1748">
        <v>0.13</v>
      </c>
    </row>
    <row r="176" spans="1:6" ht="14.25" thickBot="1">
      <c r="A176" s="1742" t="s">
        <v>1386</v>
      </c>
      <c r="B176" s="1746" t="s">
        <v>1237</v>
      </c>
      <c r="C176" s="1747">
        <v>0.13</v>
      </c>
      <c r="D176" s="1747">
        <v>0.13</v>
      </c>
      <c r="E176" s="1747">
        <v>0.13</v>
      </c>
      <c r="F176" s="1748">
        <v>0.13</v>
      </c>
    </row>
    <row r="177" spans="1:6" ht="14.25" thickBot="1">
      <c r="A177" s="1742" t="s">
        <v>1386</v>
      </c>
      <c r="B177" s="1746" t="s">
        <v>2096</v>
      </c>
      <c r="C177" s="1747">
        <v>0.13</v>
      </c>
      <c r="D177" s="1747">
        <v>0.13</v>
      </c>
      <c r="E177" s="1747">
        <v>0.13</v>
      </c>
      <c r="F177" s="1748">
        <v>0.13</v>
      </c>
    </row>
    <row r="178" spans="1:6" ht="14.25" thickBot="1">
      <c r="A178" s="1742" t="s">
        <v>1386</v>
      </c>
      <c r="B178" s="1746" t="s">
        <v>1255</v>
      </c>
      <c r="C178" s="1747">
        <v>0.13</v>
      </c>
      <c r="D178" s="1747">
        <v>0.13</v>
      </c>
      <c r="E178" s="1747">
        <v>0.13</v>
      </c>
      <c r="F178" s="1748">
        <v>0.127</v>
      </c>
    </row>
    <row r="179" spans="1:6" ht="14.25" thickBot="1">
      <c r="A179" s="1742" t="s">
        <v>1386</v>
      </c>
      <c r="B179" s="1746" t="s">
        <v>1263</v>
      </c>
      <c r="C179" s="1747">
        <v>0.13</v>
      </c>
      <c r="D179" s="1747">
        <v>0.13</v>
      </c>
      <c r="E179" s="1747">
        <v>0.13</v>
      </c>
      <c r="F179" s="1755"/>
    </row>
    <row r="180" spans="1:6" ht="14.25" thickBot="1">
      <c r="A180" s="1742" t="s">
        <v>1386</v>
      </c>
      <c r="B180" s="1746" t="s">
        <v>2097</v>
      </c>
      <c r="C180" s="1747">
        <v>0.13</v>
      </c>
      <c r="D180" s="1747">
        <v>0.13</v>
      </c>
      <c r="E180" s="1747">
        <v>0.125</v>
      </c>
      <c r="F180" s="1748">
        <v>0.13</v>
      </c>
    </row>
    <row r="181" spans="1:6" ht="14.25" thickBot="1">
      <c r="A181" s="1742" t="s">
        <v>1386</v>
      </c>
      <c r="B181" s="1746" t="s">
        <v>1277</v>
      </c>
      <c r="C181" s="1747">
        <v>0.122</v>
      </c>
      <c r="D181" s="1747">
        <v>0.123</v>
      </c>
      <c r="E181" s="1747">
        <v>0.126</v>
      </c>
      <c r="F181" s="1748">
        <v>0.121</v>
      </c>
    </row>
    <row r="182" spans="1:6" ht="14.25" thickBot="1">
      <c r="A182" s="1742" t="s">
        <v>1386</v>
      </c>
      <c r="B182" s="1746" t="s">
        <v>1284</v>
      </c>
      <c r="C182" s="1747">
        <v>0.125</v>
      </c>
      <c r="D182" s="1747">
        <v>0.125</v>
      </c>
      <c r="E182" s="1747">
        <v>0.11700000000000001</v>
      </c>
      <c r="F182" s="1748">
        <v>0.13</v>
      </c>
    </row>
    <row r="183" spans="1:6" ht="14.25" thickBot="1">
      <c r="A183" s="1742" t="s">
        <v>1386</v>
      </c>
      <c r="B183" s="1746" t="s">
        <v>1291</v>
      </c>
      <c r="C183" s="1747">
        <v>0.127</v>
      </c>
      <c r="D183" s="1747">
        <v>0.127</v>
      </c>
      <c r="E183" s="1747">
        <v>0.128</v>
      </c>
      <c r="F183" s="1755"/>
    </row>
    <row r="184" spans="1:6" ht="14.25" thickBot="1">
      <c r="A184" s="1742" t="s">
        <v>1386</v>
      </c>
      <c r="B184" s="1746" t="s">
        <v>1298</v>
      </c>
      <c r="C184" s="1747">
        <v>0.125</v>
      </c>
      <c r="D184" s="1747">
        <v>0.125</v>
      </c>
      <c r="E184" s="1747">
        <v>0.127</v>
      </c>
      <c r="F184" s="1755"/>
    </row>
    <row r="185" spans="1:6" ht="14.25" thickBot="1">
      <c r="A185" s="1742" t="s">
        <v>1386</v>
      </c>
      <c r="B185" s="1746" t="s">
        <v>2098</v>
      </c>
      <c r="C185" s="1747">
        <v>0.127</v>
      </c>
      <c r="D185" s="1747">
        <v>0.127</v>
      </c>
      <c r="E185" s="1747">
        <v>0.128</v>
      </c>
      <c r="F185" s="1748">
        <v>0.13</v>
      </c>
    </row>
    <row r="186" spans="1:6" ht="24.75" thickBot="1">
      <c r="A186" s="1742" t="s">
        <v>1386</v>
      </c>
      <c r="B186" s="1746" t="s">
        <v>2099</v>
      </c>
      <c r="C186" s="1756"/>
      <c r="D186" s="1756"/>
      <c r="E186" s="1756"/>
      <c r="F186" s="1748">
        <v>0.05</v>
      </c>
    </row>
    <row r="187" spans="1:6" ht="14.25" thickBot="1">
      <c r="A187" s="1742" t="s">
        <v>1386</v>
      </c>
      <c r="B187" s="1746" t="s">
        <v>2100</v>
      </c>
      <c r="C187" s="1756"/>
      <c r="D187" s="1756"/>
      <c r="E187" s="1756"/>
      <c r="F187" s="1748">
        <v>0.05</v>
      </c>
    </row>
    <row r="188" spans="1:6" ht="14.25" thickBot="1">
      <c r="A188" s="1742" t="s">
        <v>1386</v>
      </c>
      <c r="B188" s="1746" t="s">
        <v>2101</v>
      </c>
      <c r="C188" s="1756"/>
      <c r="D188" s="1756"/>
      <c r="E188" s="1756"/>
      <c r="F188" s="1748">
        <v>0.05</v>
      </c>
    </row>
    <row r="189" spans="1:6" ht="24.75" thickBot="1">
      <c r="A189" s="1742" t="s">
        <v>1386</v>
      </c>
      <c r="B189" s="1746" t="s">
        <v>2102</v>
      </c>
      <c r="C189" s="1756"/>
      <c r="D189" s="1756"/>
      <c r="E189" s="1756"/>
      <c r="F189" s="1748">
        <v>0.05</v>
      </c>
    </row>
    <row r="190" spans="1:6" ht="24.75" thickBot="1">
      <c r="A190" s="1742" t="s">
        <v>1386</v>
      </c>
      <c r="B190" s="1746" t="s">
        <v>2103</v>
      </c>
      <c r="C190" s="1756"/>
      <c r="D190" s="1756"/>
      <c r="E190" s="1756"/>
      <c r="F190" s="1748">
        <v>0.05</v>
      </c>
    </row>
    <row r="191" spans="1:6" ht="24.75" thickBot="1">
      <c r="A191" s="1742" t="s">
        <v>1386</v>
      </c>
      <c r="B191" s="1746" t="s">
        <v>2104</v>
      </c>
      <c r="C191" s="1756"/>
      <c r="D191" s="1756"/>
      <c r="E191" s="1756"/>
      <c r="F191" s="1748">
        <v>0.05</v>
      </c>
    </row>
    <row r="192" spans="1:6" ht="24.75" thickBot="1">
      <c r="A192" s="1742" t="s">
        <v>1386</v>
      </c>
      <c r="B192" s="1746" t="s">
        <v>2105</v>
      </c>
      <c r="C192" s="1756"/>
      <c r="D192" s="1756"/>
      <c r="E192" s="1756"/>
      <c r="F192" s="1748">
        <v>0.05</v>
      </c>
    </row>
    <row r="193" spans="1:6" ht="24.75" thickBot="1">
      <c r="A193" s="1742" t="s">
        <v>1386</v>
      </c>
      <c r="B193" s="1746" t="s">
        <v>2106</v>
      </c>
      <c r="C193" s="1756"/>
      <c r="D193" s="1756"/>
      <c r="E193" s="1756"/>
      <c r="F193" s="1748">
        <v>0.05</v>
      </c>
    </row>
    <row r="194" spans="1:6" ht="24.75" thickBot="1">
      <c r="A194" s="1742" t="s">
        <v>1386</v>
      </c>
      <c r="B194" s="1746" t="s">
        <v>2107</v>
      </c>
      <c r="C194" s="1756"/>
      <c r="D194" s="1756"/>
      <c r="E194" s="1756"/>
      <c r="F194" s="1748">
        <v>0.05</v>
      </c>
    </row>
    <row r="195" spans="1:6" ht="14.25" thickBot="1">
      <c r="A195" s="1742" t="s">
        <v>1386</v>
      </c>
      <c r="B195" s="1746" t="s">
        <v>2108</v>
      </c>
      <c r="C195" s="1756"/>
      <c r="D195" s="1756"/>
      <c r="E195" s="1756"/>
      <c r="F195" s="1748">
        <v>0.05</v>
      </c>
    </row>
    <row r="196" spans="1:6" ht="24.75" thickBot="1">
      <c r="A196" s="1742" t="s">
        <v>1386</v>
      </c>
      <c r="B196" s="1746" t="s">
        <v>2109</v>
      </c>
      <c r="C196" s="1756"/>
      <c r="D196" s="1756"/>
      <c r="E196" s="1756"/>
      <c r="F196" s="1748">
        <v>0.05</v>
      </c>
    </row>
    <row r="197" spans="1:6" ht="24.75" thickBot="1">
      <c r="A197" s="1742" t="s">
        <v>1386</v>
      </c>
      <c r="B197" s="1746" t="s">
        <v>2110</v>
      </c>
      <c r="C197" s="1756"/>
      <c r="D197" s="1756"/>
      <c r="E197" s="1756"/>
      <c r="F197" s="1748">
        <v>0.05</v>
      </c>
    </row>
    <row r="198" spans="1:6" ht="24.75" thickBot="1">
      <c r="A198" s="1742" t="s">
        <v>1386</v>
      </c>
      <c r="B198" s="1746" t="s">
        <v>2111</v>
      </c>
      <c r="C198" s="1756"/>
      <c r="D198" s="1756"/>
      <c r="E198" s="1756"/>
      <c r="F198" s="1748">
        <v>0.05</v>
      </c>
    </row>
    <row r="199" spans="1:6" ht="24.75" thickBot="1">
      <c r="A199" s="1742" t="s">
        <v>1386</v>
      </c>
      <c r="B199" s="1746" t="s">
        <v>2112</v>
      </c>
      <c r="C199" s="1756"/>
      <c r="D199" s="1756"/>
      <c r="E199" s="1756"/>
      <c r="F199" s="1748">
        <v>0.05</v>
      </c>
    </row>
    <row r="200" spans="1:6" ht="24.75" thickBot="1">
      <c r="A200" s="1742" t="s">
        <v>1386</v>
      </c>
      <c r="B200" s="1746" t="s">
        <v>2113</v>
      </c>
      <c r="C200" s="1756"/>
      <c r="D200" s="1756"/>
      <c r="E200" s="1756"/>
      <c r="F200" s="1748">
        <v>0.05</v>
      </c>
    </row>
    <row r="201" spans="1:6" ht="24.75" thickBot="1">
      <c r="A201" s="1742" t="s">
        <v>1386</v>
      </c>
      <c r="B201" s="1746" t="s">
        <v>2114</v>
      </c>
      <c r="C201" s="1756"/>
      <c r="D201" s="1756"/>
      <c r="E201" s="1756"/>
      <c r="F201" s="1748">
        <v>0.05</v>
      </c>
    </row>
    <row r="202" spans="1:6" ht="24.75" thickBot="1">
      <c r="A202" s="1742" t="s">
        <v>1386</v>
      </c>
      <c r="B202" s="1746" t="s">
        <v>2115</v>
      </c>
      <c r="C202" s="1756"/>
      <c r="D202" s="1756"/>
      <c r="E202" s="1756"/>
      <c r="F202" s="1748">
        <v>0.05</v>
      </c>
    </row>
    <row r="203" spans="1:6" ht="24.75" thickBot="1">
      <c r="A203" s="1742" t="s">
        <v>1386</v>
      </c>
      <c r="B203" s="1746" t="s">
        <v>2116</v>
      </c>
      <c r="C203" s="1756"/>
      <c r="D203" s="1756"/>
      <c r="E203" s="1756"/>
      <c r="F203" s="1748">
        <v>0.05</v>
      </c>
    </row>
    <row r="204" spans="1:6" ht="14.25" thickBot="1">
      <c r="A204" s="1742" t="s">
        <v>1386</v>
      </c>
      <c r="B204" s="1746" t="s">
        <v>2117</v>
      </c>
      <c r="C204" s="1756"/>
      <c r="D204" s="1756"/>
      <c r="E204" s="1756"/>
      <c r="F204" s="1748">
        <v>0.05</v>
      </c>
    </row>
    <row r="205" spans="1:6" ht="14.25" thickBot="1">
      <c r="A205" s="1750" t="s">
        <v>1386</v>
      </c>
      <c r="B205" s="1757" t="s">
        <v>2118</v>
      </c>
      <c r="C205" s="1753"/>
      <c r="D205" s="1753"/>
      <c r="E205" s="1753"/>
      <c r="F205" s="1758">
        <v>0.05</v>
      </c>
    </row>
    <row r="206" spans="1:6" ht="14.25" thickBot="1">
      <c r="A206" s="1742" t="s">
        <v>1388</v>
      </c>
      <c r="B206" s="1743" t="s">
        <v>2119</v>
      </c>
      <c r="C206" s="1744">
        <v>0.15</v>
      </c>
      <c r="D206" s="1744">
        <v>0.15</v>
      </c>
      <c r="E206" s="1744">
        <v>0.15</v>
      </c>
      <c r="F206" s="1745">
        <v>0.15</v>
      </c>
    </row>
    <row r="207" spans="1:6" ht="14.25" thickBot="1">
      <c r="A207" s="1742" t="s">
        <v>1388</v>
      </c>
      <c r="B207" s="1746" t="s">
        <v>1052</v>
      </c>
      <c r="C207" s="1747">
        <v>0.15</v>
      </c>
      <c r="D207" s="1747">
        <v>0.15</v>
      </c>
      <c r="E207" s="1747">
        <v>0.15</v>
      </c>
      <c r="F207" s="1748">
        <v>0.14399999999999999</v>
      </c>
    </row>
    <row r="208" spans="1:6" ht="14.25" thickBot="1">
      <c r="A208" s="1742" t="s">
        <v>1388</v>
      </c>
      <c r="B208" s="1746" t="s">
        <v>1066</v>
      </c>
      <c r="C208" s="1747">
        <v>0.15</v>
      </c>
      <c r="D208" s="1747">
        <v>0.15</v>
      </c>
      <c r="E208" s="1747">
        <v>0.15</v>
      </c>
      <c r="F208" s="1748">
        <v>0.15</v>
      </c>
    </row>
    <row r="209" spans="1:6" ht="14.25" thickBot="1">
      <c r="A209" s="1742" t="s">
        <v>1388</v>
      </c>
      <c r="B209" s="1746" t="s">
        <v>1079</v>
      </c>
      <c r="C209" s="1747">
        <v>0.13700000000000001</v>
      </c>
      <c r="D209" s="1747">
        <v>0.13700000000000001</v>
      </c>
      <c r="E209" s="1747">
        <v>0.14000000000000001</v>
      </c>
      <c r="F209" s="1748">
        <v>0.11700000000000001</v>
      </c>
    </row>
    <row r="210" spans="1:6" ht="14.25" thickBot="1">
      <c r="A210" s="1742" t="s">
        <v>1388</v>
      </c>
      <c r="B210" s="1746" t="s">
        <v>2120</v>
      </c>
      <c r="C210" s="1747">
        <v>0.15</v>
      </c>
      <c r="D210" s="1747">
        <v>0.15</v>
      </c>
      <c r="E210" s="1747">
        <v>0.15</v>
      </c>
      <c r="F210" s="1748">
        <v>0.13800000000000001</v>
      </c>
    </row>
    <row r="211" spans="1:6" ht="14.25" thickBot="1">
      <c r="A211" s="1742" t="s">
        <v>1388</v>
      </c>
      <c r="B211" s="1746" t="s">
        <v>2121</v>
      </c>
      <c r="C211" s="1747">
        <v>0.13700000000000001</v>
      </c>
      <c r="D211" s="1747">
        <v>0.13500000000000001</v>
      </c>
      <c r="E211" s="1747">
        <v>0.13600000000000001</v>
      </c>
      <c r="F211" s="1748">
        <v>0.1</v>
      </c>
    </row>
    <row r="212" spans="1:6" ht="14.25" thickBot="1">
      <c r="A212" s="1742" t="s">
        <v>1388</v>
      </c>
      <c r="B212" s="1746" t="s">
        <v>2122</v>
      </c>
      <c r="C212" s="1747">
        <v>0.15</v>
      </c>
      <c r="D212" s="1747">
        <v>0.15</v>
      </c>
      <c r="E212" s="1747">
        <v>0.14799999999999999</v>
      </c>
      <c r="F212" s="1748">
        <v>0.13600000000000001</v>
      </c>
    </row>
    <row r="213" spans="1:6" ht="14.25" thickBot="1">
      <c r="A213" s="1742" t="s">
        <v>1388</v>
      </c>
      <c r="B213" s="1746" t="s">
        <v>1126</v>
      </c>
      <c r="C213" s="1747">
        <v>0.15</v>
      </c>
      <c r="D213" s="1747">
        <v>0.15</v>
      </c>
      <c r="E213" s="1747">
        <v>0.15</v>
      </c>
      <c r="F213" s="1748">
        <v>0.13800000000000001</v>
      </c>
    </row>
    <row r="214" spans="1:6" ht="14.25" thickBot="1">
      <c r="A214" s="1742" t="s">
        <v>1388</v>
      </c>
      <c r="B214" s="1746" t="s">
        <v>1138</v>
      </c>
      <c r="C214" s="1747">
        <v>9.0999999999999998E-2</v>
      </c>
      <c r="D214" s="1747">
        <v>0.09</v>
      </c>
      <c r="E214" s="1747">
        <v>9.1999999999999998E-2</v>
      </c>
      <c r="F214" s="1755"/>
    </row>
    <row r="215" spans="1:6" ht="14.25" thickBot="1">
      <c r="A215" s="1742" t="s">
        <v>1388</v>
      </c>
      <c r="B215" s="1746" t="s">
        <v>2123</v>
      </c>
      <c r="C215" s="1747">
        <v>0.15</v>
      </c>
      <c r="D215" s="1747">
        <v>0.15</v>
      </c>
      <c r="E215" s="1747">
        <v>0.15</v>
      </c>
      <c r="F215" s="1748">
        <v>0.15</v>
      </c>
    </row>
    <row r="216" spans="1:6" ht="14.25" thickBot="1">
      <c r="A216" s="1742" t="s">
        <v>1388</v>
      </c>
      <c r="B216" s="1746" t="s">
        <v>1158</v>
      </c>
      <c r="C216" s="1747">
        <v>0.14699999999999999</v>
      </c>
      <c r="D216" s="1747">
        <v>0.14699999999999999</v>
      </c>
      <c r="E216" s="1747">
        <v>0.15</v>
      </c>
      <c r="F216" s="1748">
        <v>0.14000000000000001</v>
      </c>
    </row>
    <row r="217" spans="1:6" ht="14.25" thickBot="1">
      <c r="A217" s="1742" t="s">
        <v>1388</v>
      </c>
      <c r="B217" s="1746" t="s">
        <v>1168</v>
      </c>
      <c r="C217" s="1747">
        <v>0.15</v>
      </c>
      <c r="D217" s="1747">
        <v>0.15</v>
      </c>
      <c r="E217" s="1747">
        <v>0.15</v>
      </c>
      <c r="F217" s="1748">
        <v>0.15</v>
      </c>
    </row>
    <row r="218" spans="1:6" ht="14.25" thickBot="1">
      <c r="A218" s="1742" t="s">
        <v>1388</v>
      </c>
      <c r="B218" s="1746" t="s">
        <v>2124</v>
      </c>
      <c r="C218" s="1747">
        <v>0.15</v>
      </c>
      <c r="D218" s="1747">
        <v>0.15</v>
      </c>
      <c r="E218" s="1747">
        <v>0.15</v>
      </c>
      <c r="F218" s="1748">
        <v>0.15</v>
      </c>
    </row>
    <row r="219" spans="1:6" ht="14.25" thickBot="1">
      <c r="A219" s="1742" t="s">
        <v>1388</v>
      </c>
      <c r="B219" s="1746" t="s">
        <v>1188</v>
      </c>
      <c r="C219" s="1747">
        <v>0.15</v>
      </c>
      <c r="D219" s="1747">
        <v>0.15</v>
      </c>
      <c r="E219" s="1747">
        <v>0.15</v>
      </c>
      <c r="F219" s="1748">
        <v>0.14799999999999999</v>
      </c>
    </row>
    <row r="220" spans="1:6" ht="14.25" thickBot="1">
      <c r="A220" s="1742" t="s">
        <v>1388</v>
      </c>
      <c r="B220" s="1746" t="s">
        <v>2125</v>
      </c>
      <c r="C220" s="1747">
        <v>0.15</v>
      </c>
      <c r="D220" s="1747">
        <v>0.15</v>
      </c>
      <c r="E220" s="1747">
        <v>0.15</v>
      </c>
      <c r="F220" s="1748">
        <v>0.15</v>
      </c>
    </row>
    <row r="221" spans="1:6" ht="14.25" thickBot="1">
      <c r="A221" s="1742" t="s">
        <v>1388</v>
      </c>
      <c r="B221" s="1746" t="s">
        <v>1208</v>
      </c>
      <c r="C221" s="1747"/>
      <c r="D221" s="1756"/>
      <c r="E221" s="1756"/>
      <c r="F221" s="1748">
        <v>0.14799999999999999</v>
      </c>
    </row>
    <row r="222" spans="1:6" ht="14.25" thickBot="1">
      <c r="A222" s="1742" t="s">
        <v>1388</v>
      </c>
      <c r="B222" s="1746" t="s">
        <v>1218</v>
      </c>
      <c r="C222" s="1747"/>
      <c r="D222" s="1756"/>
      <c r="E222" s="1756"/>
      <c r="F222" s="1748">
        <v>0.1</v>
      </c>
    </row>
    <row r="223" spans="1:6" ht="14.25" thickBot="1">
      <c r="A223" s="1742" t="s">
        <v>1388</v>
      </c>
      <c r="B223" s="1746" t="s">
        <v>1228</v>
      </c>
      <c r="C223" s="1747"/>
      <c r="D223" s="1756"/>
      <c r="E223" s="1756"/>
      <c r="F223" s="1748">
        <v>0.15</v>
      </c>
    </row>
    <row r="224" spans="1:6" ht="14.25" thickBot="1">
      <c r="A224" s="1742" t="s">
        <v>1388</v>
      </c>
      <c r="B224" s="1746" t="s">
        <v>1238</v>
      </c>
      <c r="C224" s="1747"/>
      <c r="D224" s="1756"/>
      <c r="E224" s="1756"/>
      <c r="F224" s="1748">
        <v>0.15</v>
      </c>
    </row>
    <row r="225" spans="1:6" ht="14.25" thickBot="1">
      <c r="A225" s="1742" t="s">
        <v>1388</v>
      </c>
      <c r="B225" s="1746" t="s">
        <v>2126</v>
      </c>
      <c r="C225" s="1747">
        <v>0.15</v>
      </c>
      <c r="D225" s="1747">
        <v>0.15</v>
      </c>
      <c r="E225" s="1747">
        <v>0.15</v>
      </c>
      <c r="F225" s="1748">
        <v>0.15</v>
      </c>
    </row>
    <row r="226" spans="1:6" ht="14.25" thickBot="1">
      <c r="A226" s="1742" t="s">
        <v>1388</v>
      </c>
      <c r="B226" s="1746" t="s">
        <v>1256</v>
      </c>
      <c r="C226" s="1747">
        <v>0.15</v>
      </c>
      <c r="D226" s="1747">
        <v>0.15</v>
      </c>
      <c r="E226" s="1747">
        <v>0.15</v>
      </c>
      <c r="F226" s="1748">
        <v>0.14799999999999999</v>
      </c>
    </row>
    <row r="227" spans="1:6" ht="14.25" thickBot="1">
      <c r="A227" s="1742" t="s">
        <v>1388</v>
      </c>
      <c r="B227" s="1746" t="s">
        <v>2127</v>
      </c>
      <c r="C227" s="1747">
        <v>0.15</v>
      </c>
      <c r="D227" s="1747">
        <v>0.15</v>
      </c>
      <c r="E227" s="1747">
        <v>0.15</v>
      </c>
      <c r="F227" s="1748">
        <v>0.15</v>
      </c>
    </row>
    <row r="228" spans="1:6" ht="14.25" thickBot="1">
      <c r="A228" s="1742" t="s">
        <v>1388</v>
      </c>
      <c r="B228" s="1746" t="s">
        <v>1271</v>
      </c>
      <c r="C228" s="1747">
        <v>0.15</v>
      </c>
      <c r="D228" s="1747">
        <v>0.15</v>
      </c>
      <c r="E228" s="1747">
        <v>0.15</v>
      </c>
      <c r="F228" s="1748">
        <v>0.15</v>
      </c>
    </row>
    <row r="229" spans="1:6" ht="14.25" thickBot="1">
      <c r="A229" s="1742" t="s">
        <v>1388</v>
      </c>
      <c r="B229" s="1746" t="s">
        <v>1278</v>
      </c>
      <c r="C229" s="1747">
        <v>0.15</v>
      </c>
      <c r="D229" s="1747">
        <v>0.15</v>
      </c>
      <c r="E229" s="1747">
        <v>0.15</v>
      </c>
      <c r="F229" s="1755"/>
    </row>
    <row r="230" spans="1:6" ht="14.25" thickBot="1">
      <c r="A230" s="1742" t="s">
        <v>1388</v>
      </c>
      <c r="B230" s="1746" t="s">
        <v>1285</v>
      </c>
      <c r="C230" s="1747">
        <v>0.14499999999999999</v>
      </c>
      <c r="D230" s="1747">
        <v>0.14499999999999999</v>
      </c>
      <c r="E230" s="1747">
        <v>0.14399999999999999</v>
      </c>
      <c r="F230" s="1755"/>
    </row>
    <row r="231" spans="1:6" ht="14.25" thickBot="1">
      <c r="A231" s="1742" t="s">
        <v>1388</v>
      </c>
      <c r="B231" s="1746" t="s">
        <v>2128</v>
      </c>
      <c r="C231" s="1747">
        <v>0.128</v>
      </c>
      <c r="D231" s="1747">
        <v>0.125</v>
      </c>
      <c r="E231" s="1747">
        <v>0.13200000000000001</v>
      </c>
      <c r="F231" s="1755"/>
    </row>
    <row r="232" spans="1:6" ht="14.25" thickBot="1">
      <c r="A232" s="1742" t="s">
        <v>1388</v>
      </c>
      <c r="B232" s="1746" t="s">
        <v>2129</v>
      </c>
      <c r="C232" s="1747">
        <v>0.14499999999999999</v>
      </c>
      <c r="D232" s="1747">
        <v>0.14399999999999999</v>
      </c>
      <c r="E232" s="1747">
        <v>0.14599999999999999</v>
      </c>
      <c r="F232" s="1748">
        <v>0.13800000000000001</v>
      </c>
    </row>
    <row r="233" spans="1:6" ht="14.25" thickBot="1">
      <c r="A233" s="1742" t="s">
        <v>1388</v>
      </c>
      <c r="B233" s="1746" t="s">
        <v>2130</v>
      </c>
      <c r="C233" s="1747">
        <v>0.14499999999999999</v>
      </c>
      <c r="D233" s="1747">
        <v>0.14299999999999999</v>
      </c>
      <c r="E233" s="1747">
        <v>0.14199999999999999</v>
      </c>
      <c r="F233" s="1755"/>
    </row>
    <row r="234" spans="1:6" ht="14.25" thickBot="1">
      <c r="A234" s="1742" t="s">
        <v>1388</v>
      </c>
      <c r="B234" s="1746" t="s">
        <v>2131</v>
      </c>
      <c r="C234" s="1747">
        <v>0.14000000000000001</v>
      </c>
      <c r="D234" s="1747">
        <v>0.14000000000000001</v>
      </c>
      <c r="E234" s="1747">
        <v>0.14399999999999999</v>
      </c>
      <c r="F234" s="1755"/>
    </row>
    <row r="235" spans="1:6" ht="14.25" thickBot="1">
      <c r="A235" s="1742" t="s">
        <v>1388</v>
      </c>
      <c r="B235" s="1746" t="s">
        <v>2132</v>
      </c>
      <c r="C235" s="1747">
        <v>0.14099999999999999</v>
      </c>
      <c r="D235" s="1747">
        <v>0.14199999999999999</v>
      </c>
      <c r="E235" s="1747">
        <v>0.14499999999999999</v>
      </c>
      <c r="F235" s="1748">
        <v>0.15</v>
      </c>
    </row>
    <row r="236" spans="1:6" ht="14.25" thickBot="1">
      <c r="A236" s="1742" t="s">
        <v>1388</v>
      </c>
      <c r="B236" s="1746" t="s">
        <v>1320</v>
      </c>
      <c r="C236" s="1756"/>
      <c r="D236" s="1756"/>
      <c r="E236" s="1756"/>
      <c r="F236" s="1748">
        <v>0.14299999999999999</v>
      </c>
    </row>
    <row r="237" spans="1:6" ht="24.75" thickBot="1">
      <c r="A237" s="1742" t="s">
        <v>1388</v>
      </c>
      <c r="B237" s="1746" t="s">
        <v>2133</v>
      </c>
      <c r="C237" s="1756"/>
      <c r="D237" s="1756"/>
      <c r="E237" s="1756"/>
      <c r="F237" s="1748">
        <v>0.05</v>
      </c>
    </row>
    <row r="238" spans="1:6" ht="24.75" thickBot="1">
      <c r="A238" s="1742" t="s">
        <v>1388</v>
      </c>
      <c r="B238" s="1746" t="s">
        <v>2134</v>
      </c>
      <c r="C238" s="1756"/>
      <c r="D238" s="1756"/>
      <c r="E238" s="1756"/>
      <c r="F238" s="1748">
        <v>0.05</v>
      </c>
    </row>
    <row r="239" spans="1:6" ht="24.75" thickBot="1">
      <c r="A239" s="1742" t="s">
        <v>1388</v>
      </c>
      <c r="B239" s="1746" t="s">
        <v>2135</v>
      </c>
      <c r="C239" s="1756"/>
      <c r="D239" s="1756"/>
      <c r="E239" s="1756"/>
      <c r="F239" s="1748">
        <v>0.05</v>
      </c>
    </row>
    <row r="240" spans="1:6" ht="24.75" thickBot="1">
      <c r="A240" s="1742" t="s">
        <v>1388</v>
      </c>
      <c r="B240" s="1746" t="s">
        <v>2136</v>
      </c>
      <c r="C240" s="1756"/>
      <c r="D240" s="1756"/>
      <c r="E240" s="1756"/>
      <c r="F240" s="1748">
        <v>0.05</v>
      </c>
    </row>
    <row r="241" spans="1:6" ht="24.75" thickBot="1">
      <c r="A241" s="1742" t="s">
        <v>1388</v>
      </c>
      <c r="B241" s="1746" t="s">
        <v>2137</v>
      </c>
      <c r="C241" s="1756"/>
      <c r="D241" s="1756"/>
      <c r="E241" s="1756"/>
      <c r="F241" s="1748">
        <v>0.05</v>
      </c>
    </row>
    <row r="242" spans="1:6" ht="24.75" thickBot="1">
      <c r="A242" s="1742" t="s">
        <v>1388</v>
      </c>
      <c r="B242" s="1746" t="s">
        <v>2138</v>
      </c>
      <c r="C242" s="1756"/>
      <c r="D242" s="1756"/>
      <c r="E242" s="1756"/>
      <c r="F242" s="1748">
        <v>0.05</v>
      </c>
    </row>
    <row r="243" spans="1:6" ht="24.75" thickBot="1">
      <c r="A243" s="1742" t="s">
        <v>1388</v>
      </c>
      <c r="B243" s="1746" t="s">
        <v>2139</v>
      </c>
      <c r="C243" s="1756"/>
      <c r="D243" s="1756"/>
      <c r="E243" s="1756"/>
      <c r="F243" s="1748">
        <v>0.05</v>
      </c>
    </row>
    <row r="244" spans="1:6" ht="24.75" thickBot="1">
      <c r="A244" s="1750" t="s">
        <v>1388</v>
      </c>
      <c r="B244" s="1757" t="s">
        <v>2140</v>
      </c>
      <c r="C244" s="1753"/>
      <c r="D244" s="1753"/>
      <c r="E244" s="1753"/>
      <c r="F244" s="1758">
        <v>0.05</v>
      </c>
    </row>
    <row r="245" spans="1:6" ht="14.25" thickBot="1">
      <c r="A245" s="1742" t="s">
        <v>1390</v>
      </c>
      <c r="B245" s="1743" t="s">
        <v>2141</v>
      </c>
      <c r="C245" s="1744">
        <v>0.15</v>
      </c>
      <c r="D245" s="1744">
        <v>0.15</v>
      </c>
      <c r="E245" s="1744">
        <v>0.15</v>
      </c>
      <c r="F245" s="1745">
        <v>0.14299999999999999</v>
      </c>
    </row>
    <row r="246" spans="1:6" ht="14.25" thickBot="1">
      <c r="A246" s="1742" t="s">
        <v>1390</v>
      </c>
      <c r="B246" s="1746" t="s">
        <v>1053</v>
      </c>
      <c r="C246" s="1747">
        <v>0.15</v>
      </c>
      <c r="D246" s="1747">
        <v>0.15</v>
      </c>
      <c r="E246" s="1747">
        <v>0.15</v>
      </c>
      <c r="F246" s="1748">
        <v>0.114</v>
      </c>
    </row>
    <row r="247" spans="1:6" ht="14.25" thickBot="1">
      <c r="A247" s="1742" t="s">
        <v>1390</v>
      </c>
      <c r="B247" s="1746" t="s">
        <v>2142</v>
      </c>
      <c r="C247" s="1747">
        <v>0.15</v>
      </c>
      <c r="D247" s="1747">
        <v>0.15</v>
      </c>
      <c r="E247" s="1747">
        <v>0.15</v>
      </c>
      <c r="F247" s="1748">
        <v>0.15</v>
      </c>
    </row>
    <row r="248" spans="1:6" ht="14.25" thickBot="1">
      <c r="A248" s="1742" t="s">
        <v>1390</v>
      </c>
      <c r="B248" s="1746" t="s">
        <v>2143</v>
      </c>
      <c r="C248" s="1747">
        <v>0.15</v>
      </c>
      <c r="D248" s="1747">
        <v>0.15</v>
      </c>
      <c r="E248" s="1747">
        <v>0.15</v>
      </c>
      <c r="F248" s="1748">
        <v>0.14000000000000001</v>
      </c>
    </row>
    <row r="249" spans="1:6" ht="14.25" thickBot="1">
      <c r="A249" s="1742" t="s">
        <v>1390</v>
      </c>
      <c r="B249" s="1746" t="s">
        <v>2144</v>
      </c>
      <c r="C249" s="1747">
        <v>0.15</v>
      </c>
      <c r="D249" s="1747">
        <v>0.14899999999999999</v>
      </c>
      <c r="E249" s="1747">
        <v>0.15</v>
      </c>
      <c r="F249" s="1748">
        <v>0.1</v>
      </c>
    </row>
    <row r="250" spans="1:6" ht="14.25" thickBot="1">
      <c r="A250" s="1742" t="s">
        <v>1390</v>
      </c>
      <c r="B250" s="1746" t="s">
        <v>2145</v>
      </c>
      <c r="C250" s="1747">
        <v>0.15</v>
      </c>
      <c r="D250" s="1747">
        <v>0.15</v>
      </c>
      <c r="E250" s="1747">
        <v>0.15</v>
      </c>
      <c r="F250" s="1748">
        <v>0.14399999999999999</v>
      </c>
    </row>
    <row r="251" spans="1:6" ht="14.25" thickBot="1">
      <c r="A251" s="1742" t="s">
        <v>1390</v>
      </c>
      <c r="B251" s="1746" t="s">
        <v>1116</v>
      </c>
      <c r="C251" s="1747">
        <v>0.15</v>
      </c>
      <c r="D251" s="1747">
        <v>0.15</v>
      </c>
      <c r="E251" s="1747">
        <v>0.15</v>
      </c>
      <c r="F251" s="1748">
        <v>0.14299999999999999</v>
      </c>
    </row>
    <row r="252" spans="1:6" ht="14.25" thickBot="1">
      <c r="A252" s="1742" t="s">
        <v>1390</v>
      </c>
      <c r="B252" s="1746" t="s">
        <v>1127</v>
      </c>
      <c r="C252" s="1747">
        <v>0.15</v>
      </c>
      <c r="D252" s="1747">
        <v>0.15</v>
      </c>
      <c r="E252" s="1747">
        <v>0.15</v>
      </c>
      <c r="F252" s="1748">
        <v>0.1</v>
      </c>
    </row>
    <row r="253" spans="1:6" ht="14.25" thickBot="1">
      <c r="A253" s="1742" t="s">
        <v>1390</v>
      </c>
      <c r="B253" s="1746" t="s">
        <v>1139</v>
      </c>
      <c r="C253" s="1747">
        <v>0.15</v>
      </c>
      <c r="D253" s="1747">
        <v>0.15</v>
      </c>
      <c r="E253" s="1747">
        <v>0.15</v>
      </c>
      <c r="F253" s="1748">
        <v>0.1</v>
      </c>
    </row>
    <row r="254" spans="1:6" ht="14.25" thickBot="1">
      <c r="A254" s="1742" t="s">
        <v>1390</v>
      </c>
      <c r="B254" s="1746" t="s">
        <v>1149</v>
      </c>
      <c r="C254" s="1756"/>
      <c r="D254" s="1756"/>
      <c r="E254" s="1756"/>
      <c r="F254" s="1748">
        <v>0.15</v>
      </c>
    </row>
    <row r="255" spans="1:6" ht="14.25" thickBot="1">
      <c r="A255" s="1742" t="s">
        <v>1390</v>
      </c>
      <c r="B255" s="1746" t="s">
        <v>1159</v>
      </c>
      <c r="C255" s="1756"/>
      <c r="D255" s="1756"/>
      <c r="E255" s="1756"/>
      <c r="F255" s="1748">
        <v>0.14299999999999999</v>
      </c>
    </row>
    <row r="256" spans="1:6" ht="14.25" thickBot="1">
      <c r="A256" s="1742" t="s">
        <v>1390</v>
      </c>
      <c r="B256" s="1746" t="s">
        <v>2146</v>
      </c>
      <c r="C256" s="1747">
        <v>0.14599999999999999</v>
      </c>
      <c r="D256" s="1747">
        <v>0.14699999999999999</v>
      </c>
      <c r="E256" s="1747">
        <v>0.15</v>
      </c>
      <c r="F256" s="1748">
        <v>0.13200000000000001</v>
      </c>
    </row>
    <row r="257" spans="1:6" ht="14.25" thickBot="1">
      <c r="A257" s="1742" t="s">
        <v>1390</v>
      </c>
      <c r="B257" s="1746" t="s">
        <v>1179</v>
      </c>
      <c r="C257" s="1747">
        <v>0.15</v>
      </c>
      <c r="D257" s="1747">
        <v>0.15</v>
      </c>
      <c r="E257" s="1747">
        <v>0.15</v>
      </c>
      <c r="F257" s="1748">
        <v>0.13900000000000001</v>
      </c>
    </row>
    <row r="258" spans="1:6" ht="14.25" thickBot="1">
      <c r="A258" s="1742" t="s">
        <v>1390</v>
      </c>
      <c r="B258" s="1746" t="s">
        <v>1189</v>
      </c>
      <c r="C258" s="1747">
        <v>0.15</v>
      </c>
      <c r="D258" s="1747">
        <v>0.15</v>
      </c>
      <c r="E258" s="1747">
        <v>0.15</v>
      </c>
      <c r="F258" s="1748">
        <v>0.13</v>
      </c>
    </row>
    <row r="259" spans="1:6" ht="14.25" thickBot="1">
      <c r="A259" s="1742" t="s">
        <v>1390</v>
      </c>
      <c r="B259" s="1746" t="s">
        <v>2147</v>
      </c>
      <c r="C259" s="1747">
        <v>0.14799999999999999</v>
      </c>
      <c r="D259" s="1747">
        <v>0.14899999999999999</v>
      </c>
      <c r="E259" s="1747">
        <v>0.15</v>
      </c>
      <c r="F259" s="1748">
        <v>0.13700000000000001</v>
      </c>
    </row>
    <row r="260" spans="1:6" ht="14.25" thickBot="1">
      <c r="A260" s="1742" t="s">
        <v>1390</v>
      </c>
      <c r="B260" s="1746" t="s">
        <v>1209</v>
      </c>
      <c r="C260" s="1747">
        <v>0.15</v>
      </c>
      <c r="D260" s="1747">
        <v>0.15</v>
      </c>
      <c r="E260" s="1747">
        <v>0.15</v>
      </c>
      <c r="F260" s="1748">
        <v>0.14199999999999999</v>
      </c>
    </row>
    <row r="261" spans="1:6" ht="14.25" thickBot="1">
      <c r="A261" s="1742" t="s">
        <v>1390</v>
      </c>
      <c r="B261" s="1746" t="s">
        <v>1219</v>
      </c>
      <c r="C261" s="1747">
        <v>0.15</v>
      </c>
      <c r="D261" s="1747">
        <v>0.15</v>
      </c>
      <c r="E261" s="1747">
        <v>0.14899999999999999</v>
      </c>
      <c r="F261" s="1748">
        <v>0.14799999999999999</v>
      </c>
    </row>
    <row r="262" spans="1:6" ht="14.25" thickBot="1">
      <c r="A262" s="1742" t="s">
        <v>1390</v>
      </c>
      <c r="B262" s="1746" t="s">
        <v>1229</v>
      </c>
      <c r="C262" s="1747">
        <v>0.15</v>
      </c>
      <c r="D262" s="1747">
        <v>0.15</v>
      </c>
      <c r="E262" s="1747">
        <v>0.15</v>
      </c>
      <c r="F262" s="1755"/>
    </row>
    <row r="263" spans="1:6" ht="14.25" thickBot="1">
      <c r="A263" s="1742" t="s">
        <v>1390</v>
      </c>
      <c r="B263" s="1746" t="s">
        <v>2148</v>
      </c>
      <c r="C263" s="1747">
        <v>0.14899999999999999</v>
      </c>
      <c r="D263" s="1747">
        <v>0.14899999999999999</v>
      </c>
      <c r="E263" s="1747">
        <v>0.15</v>
      </c>
      <c r="F263" s="1748">
        <v>0.13</v>
      </c>
    </row>
    <row r="264" spans="1:6" ht="14.25" thickBot="1">
      <c r="A264" s="1742" t="s">
        <v>1390</v>
      </c>
      <c r="B264" s="1746" t="s">
        <v>1248</v>
      </c>
      <c r="C264" s="1747">
        <v>0.14799999999999999</v>
      </c>
      <c r="D264" s="1747">
        <v>0.14699999999999999</v>
      </c>
      <c r="E264" s="1747">
        <v>0.15</v>
      </c>
      <c r="F264" s="1748">
        <v>7.8E-2</v>
      </c>
    </row>
    <row r="265" spans="1:6" ht="14.25" thickBot="1">
      <c r="A265" s="1742" t="s">
        <v>1390</v>
      </c>
      <c r="B265" s="1746" t="s">
        <v>1257</v>
      </c>
      <c r="C265" s="1747">
        <v>0.15</v>
      </c>
      <c r="D265" s="1747">
        <v>0.15</v>
      </c>
      <c r="E265" s="1747">
        <v>0.15</v>
      </c>
      <c r="F265" s="1748">
        <v>7.3999999999999996E-2</v>
      </c>
    </row>
    <row r="266" spans="1:6" ht="14.25" thickBot="1">
      <c r="A266" s="1742" t="s">
        <v>1390</v>
      </c>
      <c r="B266" s="1746" t="s">
        <v>1265</v>
      </c>
      <c r="C266" s="1747">
        <v>0.14699999999999999</v>
      </c>
      <c r="D266" s="1747">
        <v>0.14699999999999999</v>
      </c>
      <c r="E266" s="1747">
        <v>0.15</v>
      </c>
      <c r="F266" s="1748">
        <v>0.14299999999999999</v>
      </c>
    </row>
    <row r="267" spans="1:6" ht="14.25" thickBot="1">
      <c r="A267" s="1742" t="s">
        <v>1390</v>
      </c>
      <c r="B267" s="1746" t="s">
        <v>1272</v>
      </c>
      <c r="C267" s="1747">
        <v>0.14199999999999999</v>
      </c>
      <c r="D267" s="1747">
        <v>0.14299999999999999</v>
      </c>
      <c r="E267" s="1747">
        <v>0.15</v>
      </c>
      <c r="F267" s="1755"/>
    </row>
    <row r="268" spans="1:6" ht="14.25" thickBot="1">
      <c r="A268" s="1742" t="s">
        <v>1390</v>
      </c>
      <c r="B268" s="1746" t="s">
        <v>2149</v>
      </c>
      <c r="C268" s="1747">
        <v>0.15</v>
      </c>
      <c r="D268" s="1747">
        <v>0.15</v>
      </c>
      <c r="E268" s="1747">
        <v>0.15</v>
      </c>
      <c r="F268" s="1748">
        <v>0.13</v>
      </c>
    </row>
    <row r="269" spans="1:6" ht="14.25" thickBot="1">
      <c r="A269" s="1742" t="s">
        <v>1390</v>
      </c>
      <c r="B269" s="1746" t="s">
        <v>1286</v>
      </c>
      <c r="C269" s="1747">
        <v>0.15</v>
      </c>
      <c r="D269" s="1747">
        <v>0.15</v>
      </c>
      <c r="E269" s="1747">
        <v>0.15</v>
      </c>
      <c r="F269" s="1748">
        <v>0.14299999999999999</v>
      </c>
    </row>
    <row r="270" spans="1:6" ht="14.25" thickBot="1">
      <c r="A270" s="1742" t="s">
        <v>1390</v>
      </c>
      <c r="B270" s="1746" t="s">
        <v>1293</v>
      </c>
      <c r="C270" s="1747">
        <v>0.14499999999999999</v>
      </c>
      <c r="D270" s="1747">
        <v>0.14499999999999999</v>
      </c>
      <c r="E270" s="1747">
        <v>0.15</v>
      </c>
      <c r="F270" s="1748">
        <v>0.14699999999999999</v>
      </c>
    </row>
    <row r="271" spans="1:6" ht="14.25" thickBot="1">
      <c r="A271" s="1742" t="s">
        <v>1390</v>
      </c>
      <c r="B271" s="1746" t="s">
        <v>1300</v>
      </c>
      <c r="C271" s="1747">
        <v>0.15</v>
      </c>
      <c r="D271" s="1747">
        <v>0.15</v>
      </c>
      <c r="E271" s="1747">
        <v>0.15</v>
      </c>
      <c r="F271" s="1748">
        <v>0.13800000000000001</v>
      </c>
    </row>
    <row r="272" spans="1:6" ht="14.25" thickBot="1">
      <c r="A272" s="1742" t="s">
        <v>1390</v>
      </c>
      <c r="B272" s="1746" t="s">
        <v>1307</v>
      </c>
      <c r="C272" s="1756"/>
      <c r="D272" s="1756"/>
      <c r="E272" s="1756"/>
      <c r="F272" s="1748">
        <v>0.14000000000000001</v>
      </c>
    </row>
    <row r="273" spans="1:6" ht="14.25" thickBot="1">
      <c r="A273" s="1742" t="s">
        <v>1390</v>
      </c>
      <c r="B273" s="1746" t="s">
        <v>2150</v>
      </c>
      <c r="C273" s="1747">
        <v>0.14199999999999999</v>
      </c>
      <c r="D273" s="1747">
        <v>0.14299999999999999</v>
      </c>
      <c r="E273" s="1747">
        <v>0.15</v>
      </c>
      <c r="F273" s="1748">
        <v>0.1</v>
      </c>
    </row>
    <row r="274" spans="1:6" ht="14.25" thickBot="1">
      <c r="A274" s="1742" t="s">
        <v>1390</v>
      </c>
      <c r="B274" s="1746" t="s">
        <v>2151</v>
      </c>
      <c r="C274" s="1747">
        <v>0.14799999999999999</v>
      </c>
      <c r="D274" s="1747">
        <v>0.14799999999999999</v>
      </c>
      <c r="E274" s="1747">
        <v>0.15</v>
      </c>
      <c r="F274" s="1748">
        <v>6.7000000000000004E-2</v>
      </c>
    </row>
    <row r="275" spans="1:6" ht="14.25" thickBot="1">
      <c r="A275" s="1742" t="s">
        <v>1390</v>
      </c>
      <c r="B275" s="1746" t="s">
        <v>2152</v>
      </c>
      <c r="C275" s="1747">
        <v>0.15</v>
      </c>
      <c r="D275" s="1747">
        <v>0.15</v>
      </c>
      <c r="E275" s="1747">
        <v>0.15</v>
      </c>
      <c r="F275" s="1748">
        <v>0.15</v>
      </c>
    </row>
    <row r="276" spans="1:6" ht="14.25" thickBot="1">
      <c r="A276" s="1742" t="s">
        <v>1390</v>
      </c>
      <c r="B276" s="1746" t="s">
        <v>2153</v>
      </c>
      <c r="C276" s="1747">
        <v>0.14499999999999999</v>
      </c>
      <c r="D276" s="1747">
        <v>0.14299999999999999</v>
      </c>
      <c r="E276" s="1747">
        <v>0.15</v>
      </c>
      <c r="F276" s="1748">
        <v>5.8999999999999997E-2</v>
      </c>
    </row>
    <row r="277" spans="1:6" ht="14.25" thickBot="1">
      <c r="A277" s="1742" t="s">
        <v>1390</v>
      </c>
      <c r="B277" s="1746" t="s">
        <v>2154</v>
      </c>
      <c r="C277" s="1747">
        <v>0.15</v>
      </c>
      <c r="D277" s="1747">
        <v>0.15</v>
      </c>
      <c r="E277" s="1747">
        <v>0.15</v>
      </c>
      <c r="F277" s="1748">
        <v>0.121</v>
      </c>
    </row>
    <row r="278" spans="1:6" ht="14.25" thickBot="1">
      <c r="A278" s="1742" t="s">
        <v>1390</v>
      </c>
      <c r="B278" s="1746" t="s">
        <v>2155</v>
      </c>
      <c r="C278" s="1747">
        <v>0.15</v>
      </c>
      <c r="D278" s="1747">
        <v>0.15</v>
      </c>
      <c r="E278" s="1747">
        <v>0.15</v>
      </c>
      <c r="F278" s="1748">
        <v>0.13800000000000001</v>
      </c>
    </row>
    <row r="279" spans="1:6" ht="24.75" thickBot="1">
      <c r="A279" s="1742" t="s">
        <v>1390</v>
      </c>
      <c r="B279" s="1746" t="s">
        <v>2156</v>
      </c>
      <c r="C279" s="1756"/>
      <c r="D279" s="1756"/>
      <c r="E279" s="1756"/>
      <c r="F279" s="1748">
        <v>0.05</v>
      </c>
    </row>
    <row r="280" spans="1:6" ht="24.75" thickBot="1">
      <c r="A280" s="1742" t="s">
        <v>1390</v>
      </c>
      <c r="B280" s="1746" t="s">
        <v>2157</v>
      </c>
      <c r="C280" s="1756"/>
      <c r="D280" s="1756"/>
      <c r="E280" s="1756"/>
      <c r="F280" s="1748">
        <v>0.05</v>
      </c>
    </row>
    <row r="281" spans="1:6" ht="24.75" thickBot="1">
      <c r="A281" s="1742" t="s">
        <v>1390</v>
      </c>
      <c r="B281" s="1746" t="s">
        <v>2158</v>
      </c>
      <c r="C281" s="1756"/>
      <c r="D281" s="1756"/>
      <c r="E281" s="1756"/>
      <c r="F281" s="1748">
        <v>0.05</v>
      </c>
    </row>
    <row r="282" spans="1:6" ht="24.75" thickBot="1">
      <c r="A282" s="1742" t="s">
        <v>1390</v>
      </c>
      <c r="B282" s="1746" t="s">
        <v>2159</v>
      </c>
      <c r="C282" s="1756"/>
      <c r="D282" s="1756"/>
      <c r="E282" s="1756"/>
      <c r="F282" s="1748">
        <v>0.05</v>
      </c>
    </row>
    <row r="283" spans="1:6" ht="24.75" thickBot="1">
      <c r="A283" s="1742" t="s">
        <v>1390</v>
      </c>
      <c r="B283" s="1746" t="s">
        <v>2160</v>
      </c>
      <c r="C283" s="1756"/>
      <c r="D283" s="1756"/>
      <c r="E283" s="1756"/>
      <c r="F283" s="1748">
        <v>0.05</v>
      </c>
    </row>
    <row r="284" spans="1:6" ht="24.75" thickBot="1">
      <c r="A284" s="1742" t="s">
        <v>1390</v>
      </c>
      <c r="B284" s="1746" t="s">
        <v>2161</v>
      </c>
      <c r="C284" s="1756"/>
      <c r="D284" s="1756"/>
      <c r="E284" s="1756"/>
      <c r="F284" s="1748">
        <v>0.05</v>
      </c>
    </row>
    <row r="285" spans="1:6" ht="24.75" thickBot="1">
      <c r="A285" s="1742" t="s">
        <v>1390</v>
      </c>
      <c r="B285" s="1746" t="s">
        <v>2162</v>
      </c>
      <c r="C285" s="1756"/>
      <c r="D285" s="1756"/>
      <c r="E285" s="1756"/>
      <c r="F285" s="1748">
        <v>0.05</v>
      </c>
    </row>
    <row r="286" spans="1:6" ht="24.75" thickBot="1">
      <c r="A286" s="1742" t="s">
        <v>1390</v>
      </c>
      <c r="B286" s="1746" t="s">
        <v>2163</v>
      </c>
      <c r="C286" s="1756"/>
      <c r="D286" s="1756"/>
      <c r="E286" s="1756"/>
      <c r="F286" s="1748">
        <v>0.05</v>
      </c>
    </row>
    <row r="287" spans="1:6" ht="24.75" thickBot="1">
      <c r="A287" s="1742" t="s">
        <v>1390</v>
      </c>
      <c r="B287" s="1746" t="s">
        <v>2164</v>
      </c>
      <c r="C287" s="1756"/>
      <c r="D287" s="1756"/>
      <c r="E287" s="1756"/>
      <c r="F287" s="1748">
        <v>0.05</v>
      </c>
    </row>
    <row r="288" spans="1:6" ht="24.75" thickBot="1">
      <c r="A288" s="1742" t="s">
        <v>1390</v>
      </c>
      <c r="B288" s="1746" t="s">
        <v>2165</v>
      </c>
      <c r="C288" s="1756"/>
      <c r="D288" s="1756"/>
      <c r="E288" s="1756"/>
      <c r="F288" s="1748">
        <v>0.05</v>
      </c>
    </row>
    <row r="289" spans="1:6" ht="24.75" thickBot="1">
      <c r="A289" s="1750" t="s">
        <v>1390</v>
      </c>
      <c r="B289" s="1757" t="s">
        <v>2166</v>
      </c>
      <c r="C289" s="1753"/>
      <c r="D289" s="1753"/>
      <c r="E289" s="1753"/>
      <c r="F289" s="1758">
        <v>0.05</v>
      </c>
    </row>
    <row r="290" spans="1:6" ht="14.25" thickBot="1">
      <c r="A290" s="1742" t="s">
        <v>1394</v>
      </c>
      <c r="B290" s="1743" t="s">
        <v>2167</v>
      </c>
      <c r="C290" s="1744">
        <v>0.15</v>
      </c>
      <c r="D290" s="1744">
        <v>0.15</v>
      </c>
      <c r="E290" s="1744">
        <v>0.15</v>
      </c>
      <c r="F290" s="1766"/>
    </row>
    <row r="291" spans="1:6" ht="14.25" thickBot="1">
      <c r="A291" s="1742" t="s">
        <v>1394</v>
      </c>
      <c r="B291" s="1746" t="s">
        <v>1054</v>
      </c>
      <c r="C291" s="1747">
        <v>0.15</v>
      </c>
      <c r="D291" s="1747">
        <v>0.15</v>
      </c>
      <c r="E291" s="1747">
        <v>0.15</v>
      </c>
      <c r="F291" s="1755"/>
    </row>
    <row r="292" spans="1:6" ht="14.25" thickBot="1">
      <c r="A292" s="1742" t="s">
        <v>1394</v>
      </c>
      <c r="B292" s="1746" t="s">
        <v>2168</v>
      </c>
      <c r="C292" s="1747">
        <v>0.15</v>
      </c>
      <c r="D292" s="1747">
        <v>0.15</v>
      </c>
      <c r="E292" s="1747">
        <v>0.15</v>
      </c>
      <c r="F292" s="1748">
        <v>0.14699999999999999</v>
      </c>
    </row>
    <row r="293" spans="1:6" ht="14.25" thickBot="1">
      <c r="A293" s="1742" t="s">
        <v>1394</v>
      </c>
      <c r="B293" s="1746" t="s">
        <v>2169</v>
      </c>
      <c r="C293" s="1756"/>
      <c r="D293" s="1756"/>
      <c r="E293" s="1756"/>
      <c r="F293" s="1748">
        <v>0.1</v>
      </c>
    </row>
    <row r="294" spans="1:6" ht="14.25" thickBot="1">
      <c r="A294" s="1742" t="s">
        <v>1394</v>
      </c>
      <c r="B294" s="1746" t="s">
        <v>2170</v>
      </c>
      <c r="C294" s="1747">
        <v>0.15</v>
      </c>
      <c r="D294" s="1747">
        <v>0.15</v>
      </c>
      <c r="E294" s="1747">
        <v>0.15</v>
      </c>
      <c r="F294" s="1748">
        <v>0.15</v>
      </c>
    </row>
    <row r="295" spans="1:6" ht="14.25" thickBot="1">
      <c r="A295" s="1742" t="s">
        <v>1394</v>
      </c>
      <c r="B295" s="1746" t="s">
        <v>1095</v>
      </c>
      <c r="C295" s="1747">
        <v>0.15</v>
      </c>
      <c r="D295" s="1747">
        <v>0.15</v>
      </c>
      <c r="E295" s="1747">
        <v>0.15</v>
      </c>
      <c r="F295" s="1748">
        <v>0.15</v>
      </c>
    </row>
    <row r="296" spans="1:6" ht="14.25" thickBot="1">
      <c r="A296" s="1742" t="s">
        <v>1394</v>
      </c>
      <c r="B296" s="1746" t="s">
        <v>2171</v>
      </c>
      <c r="C296" s="1747">
        <v>0.15</v>
      </c>
      <c r="D296" s="1747">
        <v>0.15</v>
      </c>
      <c r="E296" s="1747">
        <v>0.15</v>
      </c>
      <c r="F296" s="1748">
        <v>0.15</v>
      </c>
    </row>
    <row r="297" spans="1:6" ht="14.25" thickBot="1">
      <c r="A297" s="1742" t="s">
        <v>1394</v>
      </c>
      <c r="B297" s="1746" t="s">
        <v>2172</v>
      </c>
      <c r="C297" s="1747">
        <v>0.14799999999999999</v>
      </c>
      <c r="D297" s="1747">
        <v>0.14899999999999999</v>
      </c>
      <c r="E297" s="1747">
        <v>0.15</v>
      </c>
      <c r="F297" s="1748">
        <v>0.13700000000000001</v>
      </c>
    </row>
    <row r="298" spans="1:6" ht="14.25" thickBot="1">
      <c r="A298" s="1742" t="s">
        <v>1394</v>
      </c>
      <c r="B298" s="1746" t="s">
        <v>1128</v>
      </c>
      <c r="C298" s="1747">
        <v>0.13400000000000001</v>
      </c>
      <c r="D298" s="1747">
        <v>0.13400000000000001</v>
      </c>
      <c r="E298" s="1747">
        <v>0.14499999999999999</v>
      </c>
      <c r="F298" s="1748">
        <v>0.14799999999999999</v>
      </c>
    </row>
    <row r="299" spans="1:6" ht="14.25" thickBot="1">
      <c r="A299" s="1742" t="s">
        <v>1394</v>
      </c>
      <c r="B299" s="1746" t="s">
        <v>1140</v>
      </c>
      <c r="C299" s="1747">
        <v>0.15</v>
      </c>
      <c r="D299" s="1747">
        <v>0.15</v>
      </c>
      <c r="E299" s="1747">
        <v>0.15</v>
      </c>
      <c r="F299" s="1755"/>
    </row>
    <row r="300" spans="1:6" ht="14.25" thickBot="1">
      <c r="A300" s="1742" t="s">
        <v>1394</v>
      </c>
      <c r="B300" s="1746" t="s">
        <v>2173</v>
      </c>
      <c r="C300" s="1747">
        <v>0.15</v>
      </c>
      <c r="D300" s="1747">
        <v>0.15</v>
      </c>
      <c r="E300" s="1747">
        <v>0.15</v>
      </c>
      <c r="F300" s="1748">
        <v>0.15</v>
      </c>
    </row>
    <row r="301" spans="1:6" ht="14.25" thickBot="1">
      <c r="A301" s="1742" t="s">
        <v>1394</v>
      </c>
      <c r="B301" s="1746" t="s">
        <v>1160</v>
      </c>
      <c r="C301" s="1747">
        <v>0.15</v>
      </c>
      <c r="D301" s="1747">
        <v>0.15</v>
      </c>
      <c r="E301" s="1747">
        <v>0.15</v>
      </c>
      <c r="F301" s="1755"/>
    </row>
    <row r="302" spans="1:6" ht="14.25" thickBot="1">
      <c r="A302" s="1742" t="s">
        <v>1394</v>
      </c>
      <c r="B302" s="1746" t="s">
        <v>2174</v>
      </c>
      <c r="C302" s="1747">
        <v>0.15</v>
      </c>
      <c r="D302" s="1747">
        <v>0.15</v>
      </c>
      <c r="E302" s="1747">
        <v>0.15</v>
      </c>
      <c r="F302" s="1748">
        <v>0.15</v>
      </c>
    </row>
    <row r="303" spans="1:6" ht="14.25" thickBot="1">
      <c r="A303" s="1742" t="s">
        <v>1394</v>
      </c>
      <c r="B303" s="1746" t="s">
        <v>1180</v>
      </c>
      <c r="C303" s="1747">
        <v>0.15</v>
      </c>
      <c r="D303" s="1747">
        <v>0.15</v>
      </c>
      <c r="E303" s="1747">
        <v>0.15</v>
      </c>
      <c r="F303" s="1748">
        <v>0.15</v>
      </c>
    </row>
    <row r="304" spans="1:6" ht="14.25" thickBot="1">
      <c r="A304" s="1742" t="s">
        <v>1394</v>
      </c>
      <c r="B304" s="1746" t="s">
        <v>1190</v>
      </c>
      <c r="C304" s="1747">
        <v>0.15</v>
      </c>
      <c r="D304" s="1747">
        <v>0.15</v>
      </c>
      <c r="E304" s="1747">
        <v>0.15</v>
      </c>
      <c r="F304" s="1755"/>
    </row>
    <row r="305" spans="1:6" ht="14.25" thickBot="1">
      <c r="A305" s="1742" t="s">
        <v>1394</v>
      </c>
      <c r="B305" s="1746" t="s">
        <v>2175</v>
      </c>
      <c r="C305" s="1747">
        <v>0.15</v>
      </c>
      <c r="D305" s="1747">
        <v>0.15</v>
      </c>
      <c r="E305" s="1747">
        <v>0.15</v>
      </c>
      <c r="F305" s="1748">
        <v>0.14000000000000001</v>
      </c>
    </row>
    <row r="306" spans="1:6" ht="14.25" thickBot="1">
      <c r="A306" s="1742" t="s">
        <v>1394</v>
      </c>
      <c r="B306" s="1746" t="s">
        <v>1210</v>
      </c>
      <c r="C306" s="1747">
        <v>0.15</v>
      </c>
      <c r="D306" s="1747">
        <v>0.15</v>
      </c>
      <c r="E306" s="1747">
        <v>0.15</v>
      </c>
      <c r="F306" s="1755"/>
    </row>
    <row r="307" spans="1:6" ht="14.25" thickBot="1">
      <c r="A307" s="1742" t="s">
        <v>1394</v>
      </c>
      <c r="B307" s="1746" t="s">
        <v>2176</v>
      </c>
      <c r="C307" s="1747">
        <v>0.15</v>
      </c>
      <c r="D307" s="1747">
        <v>0.15</v>
      </c>
      <c r="E307" s="1747">
        <v>0.15</v>
      </c>
      <c r="F307" s="1748">
        <v>0.14299999999999999</v>
      </c>
    </row>
    <row r="308" spans="1:6" ht="14.25" thickBot="1">
      <c r="A308" s="1742" t="s">
        <v>1394</v>
      </c>
      <c r="B308" s="1746" t="s">
        <v>1230</v>
      </c>
      <c r="C308" s="1747">
        <v>0.15</v>
      </c>
      <c r="D308" s="1747">
        <v>0.15</v>
      </c>
      <c r="E308" s="1747">
        <v>0.15</v>
      </c>
      <c r="F308" s="1748">
        <v>0.15</v>
      </c>
    </row>
    <row r="309" spans="1:6" ht="14.25" thickBot="1">
      <c r="A309" s="1742" t="s">
        <v>1394</v>
      </c>
      <c r="B309" s="1746" t="s">
        <v>1240</v>
      </c>
      <c r="C309" s="1747">
        <v>0.15</v>
      </c>
      <c r="D309" s="1747">
        <v>0.15</v>
      </c>
      <c r="E309" s="1747">
        <v>0.15</v>
      </c>
      <c r="F309" s="1755"/>
    </row>
    <row r="310" spans="1:6" ht="14.25" thickBot="1">
      <c r="A310" s="1742" t="s">
        <v>1394</v>
      </c>
      <c r="B310" s="1746" t="s">
        <v>2177</v>
      </c>
      <c r="C310" s="1747">
        <v>0.15</v>
      </c>
      <c r="D310" s="1747">
        <v>0.15</v>
      </c>
      <c r="E310" s="1747">
        <v>0.15</v>
      </c>
      <c r="F310" s="1748">
        <v>0.13700000000000001</v>
      </c>
    </row>
    <row r="311" spans="1:6" ht="14.25" thickBot="1">
      <c r="A311" s="1742" t="s">
        <v>1394</v>
      </c>
      <c r="B311" s="1746" t="s">
        <v>2178</v>
      </c>
      <c r="C311" s="1747">
        <v>0.15</v>
      </c>
      <c r="D311" s="1747">
        <v>0.15</v>
      </c>
      <c r="E311" s="1747">
        <v>0.15</v>
      </c>
      <c r="F311" s="1748">
        <v>0.15</v>
      </c>
    </row>
    <row r="312" spans="1:6" ht="14.25" thickBot="1">
      <c r="A312" s="1742" t="s">
        <v>1394</v>
      </c>
      <c r="B312" s="1746" t="s">
        <v>1266</v>
      </c>
      <c r="C312" s="1747">
        <v>0.15</v>
      </c>
      <c r="D312" s="1747">
        <v>0.15</v>
      </c>
      <c r="E312" s="1747">
        <v>0.15</v>
      </c>
      <c r="F312" s="1748">
        <v>0.1</v>
      </c>
    </row>
    <row r="313" spans="1:6" ht="14.25" thickBot="1">
      <c r="A313" s="1742" t="s">
        <v>1394</v>
      </c>
      <c r="B313" s="1746" t="s">
        <v>2179</v>
      </c>
      <c r="C313" s="1747">
        <v>0.15</v>
      </c>
      <c r="D313" s="1747">
        <v>0.15</v>
      </c>
      <c r="E313" s="1747">
        <v>0.15</v>
      </c>
      <c r="F313" s="1748">
        <v>0.15</v>
      </c>
    </row>
    <row r="314" spans="1:6" ht="24.75" thickBot="1">
      <c r="A314" s="1742" t="s">
        <v>1394</v>
      </c>
      <c r="B314" s="1746" t="s">
        <v>2180</v>
      </c>
      <c r="C314" s="1756"/>
      <c r="D314" s="1756"/>
      <c r="E314" s="1756"/>
      <c r="F314" s="1748">
        <v>0.05</v>
      </c>
    </row>
    <row r="315" spans="1:6" ht="24.75" thickBot="1">
      <c r="A315" s="1742" t="s">
        <v>1394</v>
      </c>
      <c r="B315" s="1746" t="s">
        <v>2181</v>
      </c>
      <c r="C315" s="1756"/>
      <c r="D315" s="1756"/>
      <c r="E315" s="1756"/>
      <c r="F315" s="1748">
        <v>0.05</v>
      </c>
    </row>
    <row r="316" spans="1:6" ht="24.75" thickBot="1">
      <c r="A316" s="1750" t="s">
        <v>1394</v>
      </c>
      <c r="B316" s="1757" t="s">
        <v>2182</v>
      </c>
      <c r="C316" s="1753"/>
      <c r="D316" s="1753"/>
      <c r="E316" s="1753"/>
      <c r="F316" s="1758">
        <v>0.05</v>
      </c>
    </row>
    <row r="317" spans="1:6" ht="14.25" thickBot="1">
      <c r="A317" s="1742" t="s">
        <v>2183</v>
      </c>
      <c r="B317" s="1743" t="s">
        <v>2184</v>
      </c>
      <c r="C317" s="1744">
        <v>0.15</v>
      </c>
      <c r="D317" s="1744">
        <v>0.15</v>
      </c>
      <c r="E317" s="1744">
        <v>0.15</v>
      </c>
      <c r="F317" s="1745">
        <v>0.15</v>
      </c>
    </row>
    <row r="318" spans="1:6" ht="14.25" thickBot="1">
      <c r="A318" s="1742" t="s">
        <v>2183</v>
      </c>
      <c r="B318" s="1746" t="s">
        <v>2185</v>
      </c>
      <c r="C318" s="1747">
        <v>0.107</v>
      </c>
      <c r="D318" s="1747">
        <v>0.11</v>
      </c>
      <c r="E318" s="1747">
        <v>0.112</v>
      </c>
      <c r="F318" s="1755"/>
    </row>
    <row r="319" spans="1:6" ht="14.25" thickBot="1">
      <c r="A319" s="1742" t="s">
        <v>2183</v>
      </c>
      <c r="B319" s="1746" t="s">
        <v>2186</v>
      </c>
      <c r="C319" s="1747">
        <v>0.15</v>
      </c>
      <c r="D319" s="1747">
        <v>0.15</v>
      </c>
      <c r="E319" s="1747">
        <v>0.15</v>
      </c>
      <c r="F319" s="1748">
        <v>0.15</v>
      </c>
    </row>
    <row r="320" spans="1:6" ht="14.25" thickBot="1">
      <c r="A320" s="1742" t="s">
        <v>2183</v>
      </c>
      <c r="B320" s="1746" t="s">
        <v>1082</v>
      </c>
      <c r="C320" s="1747">
        <v>0.15</v>
      </c>
      <c r="D320" s="1747">
        <v>0.15</v>
      </c>
      <c r="E320" s="1747">
        <v>0.15</v>
      </c>
      <c r="F320" s="1755"/>
    </row>
    <row r="321" spans="1:6" ht="14.25" thickBot="1">
      <c r="A321" s="1742" t="s">
        <v>2183</v>
      </c>
      <c r="B321" s="1746" t="s">
        <v>2187</v>
      </c>
      <c r="C321" s="1747">
        <v>0.15</v>
      </c>
      <c r="D321" s="1747">
        <v>0.15</v>
      </c>
      <c r="E321" s="1747">
        <v>0.15</v>
      </c>
      <c r="F321" s="1755"/>
    </row>
    <row r="322" spans="1:6" ht="14.25" thickBot="1">
      <c r="A322" s="1742" t="s">
        <v>2183</v>
      </c>
      <c r="B322" s="1746" t="s">
        <v>2188</v>
      </c>
      <c r="C322" s="1747">
        <v>0.15</v>
      </c>
      <c r="D322" s="1747">
        <v>0.15</v>
      </c>
      <c r="E322" s="1747">
        <v>0.15</v>
      </c>
      <c r="F322" s="1748">
        <v>0.15</v>
      </c>
    </row>
    <row r="323" spans="1:6" ht="14.25" thickBot="1">
      <c r="A323" s="1742" t="s">
        <v>2183</v>
      </c>
      <c r="B323" s="1746" t="s">
        <v>2189</v>
      </c>
      <c r="C323" s="1747">
        <v>0.15</v>
      </c>
      <c r="D323" s="1747">
        <v>0.15</v>
      </c>
      <c r="E323" s="1747">
        <v>0.15</v>
      </c>
      <c r="F323" s="1755"/>
    </row>
    <row r="324" spans="1:6" ht="14.25" thickBot="1">
      <c r="A324" s="1742" t="s">
        <v>2183</v>
      </c>
      <c r="B324" s="1746" t="s">
        <v>2190</v>
      </c>
      <c r="C324" s="1747">
        <v>0.15</v>
      </c>
      <c r="D324" s="1747">
        <v>0.15</v>
      </c>
      <c r="E324" s="1747">
        <v>0.15</v>
      </c>
      <c r="F324" s="1755"/>
    </row>
    <row r="325" spans="1:6" ht="14.25" thickBot="1">
      <c r="A325" s="1742" t="s">
        <v>2183</v>
      </c>
      <c r="B325" s="1746" t="s">
        <v>2191</v>
      </c>
      <c r="C325" s="1747">
        <v>0.15</v>
      </c>
      <c r="D325" s="1747">
        <v>0.15</v>
      </c>
      <c r="E325" s="1747">
        <v>0.15</v>
      </c>
      <c r="F325" s="1748">
        <v>0.14699999999999999</v>
      </c>
    </row>
    <row r="326" spans="1:6" ht="14.25" thickBot="1">
      <c r="A326" s="1742" t="s">
        <v>2183</v>
      </c>
      <c r="B326" s="1746" t="s">
        <v>1151</v>
      </c>
      <c r="C326" s="1747">
        <v>0.15</v>
      </c>
      <c r="D326" s="1747">
        <v>0.15</v>
      </c>
      <c r="E326" s="1747">
        <v>0.15</v>
      </c>
      <c r="F326" s="1755"/>
    </row>
    <row r="327" spans="1:6" ht="14.25" thickBot="1">
      <c r="A327" s="1742" t="s">
        <v>2183</v>
      </c>
      <c r="B327" s="1746" t="s">
        <v>2192</v>
      </c>
      <c r="C327" s="1747">
        <v>0.15</v>
      </c>
      <c r="D327" s="1747">
        <v>0.15</v>
      </c>
      <c r="E327" s="1747">
        <v>0.15</v>
      </c>
      <c r="F327" s="1748">
        <v>0.15</v>
      </c>
    </row>
    <row r="328" spans="1:6" ht="14.25" thickBot="1">
      <c r="A328" s="1742" t="s">
        <v>2183</v>
      </c>
      <c r="B328" s="1746" t="s">
        <v>1171</v>
      </c>
      <c r="C328" s="1747">
        <v>0.15</v>
      </c>
      <c r="D328" s="1747">
        <v>0.15</v>
      </c>
      <c r="E328" s="1747">
        <v>0.15</v>
      </c>
      <c r="F328" s="1748">
        <v>0.14099999999999999</v>
      </c>
    </row>
    <row r="329" spans="1:6" ht="14.25" thickBot="1">
      <c r="A329" s="1742" t="s">
        <v>2183</v>
      </c>
      <c r="B329" s="1746" t="s">
        <v>1181</v>
      </c>
      <c r="C329" s="1747">
        <v>0.15</v>
      </c>
      <c r="D329" s="1747">
        <v>0.15</v>
      </c>
      <c r="E329" s="1747">
        <v>0.15</v>
      </c>
      <c r="F329" s="1748">
        <v>0.15</v>
      </c>
    </row>
    <row r="330" spans="1:6" ht="14.25" thickBot="1">
      <c r="A330" s="1742" t="s">
        <v>2183</v>
      </c>
      <c r="B330" s="1746" t="s">
        <v>1191</v>
      </c>
      <c r="C330" s="1747">
        <v>0.15</v>
      </c>
      <c r="D330" s="1747">
        <v>0.15</v>
      </c>
      <c r="E330" s="1747">
        <v>0.15</v>
      </c>
      <c r="F330" s="1755"/>
    </row>
    <row r="331" spans="1:6" ht="14.25" thickBot="1">
      <c r="A331" s="1742" t="s">
        <v>2183</v>
      </c>
      <c r="B331" s="1746" t="s">
        <v>2193</v>
      </c>
      <c r="C331" s="1747">
        <v>0.15</v>
      </c>
      <c r="D331" s="1747">
        <v>0.15</v>
      </c>
      <c r="E331" s="1747">
        <v>0.15</v>
      </c>
      <c r="F331" s="1748">
        <v>0.15</v>
      </c>
    </row>
    <row r="332" spans="1:6" ht="14.25" thickBot="1">
      <c r="A332" s="1742" t="s">
        <v>2183</v>
      </c>
      <c r="B332" s="1746" t="s">
        <v>1211</v>
      </c>
      <c r="C332" s="1747">
        <v>0.15</v>
      </c>
      <c r="D332" s="1747">
        <v>0.15</v>
      </c>
      <c r="E332" s="1747">
        <v>0.15</v>
      </c>
      <c r="F332" s="1748">
        <v>0.15</v>
      </c>
    </row>
    <row r="333" spans="1:6" ht="14.25" thickBot="1">
      <c r="A333" s="1742" t="s">
        <v>2183</v>
      </c>
      <c r="B333" s="1746" t="s">
        <v>2194</v>
      </c>
      <c r="C333" s="1747">
        <v>0.15</v>
      </c>
      <c r="D333" s="1747">
        <v>0.15</v>
      </c>
      <c r="E333" s="1747">
        <v>0.15</v>
      </c>
      <c r="F333" s="1748">
        <v>0.14099999999999999</v>
      </c>
    </row>
    <row r="334" spans="1:6" ht="14.25" thickBot="1">
      <c r="A334" s="1742" t="s">
        <v>2183</v>
      </c>
      <c r="B334" s="1746" t="s">
        <v>1231</v>
      </c>
      <c r="C334" s="1747">
        <v>0.15</v>
      </c>
      <c r="D334" s="1747">
        <v>0.15</v>
      </c>
      <c r="E334" s="1747">
        <v>0.15</v>
      </c>
      <c r="F334" s="1748">
        <v>0.15</v>
      </c>
    </row>
    <row r="335" spans="1:6" ht="14.25" thickBot="1">
      <c r="A335" s="1742" t="s">
        <v>2183</v>
      </c>
      <c r="B335" s="1746" t="s">
        <v>1241</v>
      </c>
      <c r="C335" s="1747">
        <v>0.15</v>
      </c>
      <c r="D335" s="1747">
        <v>0.15</v>
      </c>
      <c r="E335" s="1747">
        <v>0.15</v>
      </c>
      <c r="F335" s="1755"/>
    </row>
    <row r="336" spans="1:6" ht="14.25" thickBot="1">
      <c r="A336" s="1742" t="s">
        <v>2183</v>
      </c>
      <c r="B336" s="1746" t="s">
        <v>2195</v>
      </c>
      <c r="C336" s="1747">
        <v>0.15</v>
      </c>
      <c r="D336" s="1747">
        <v>0.15</v>
      </c>
      <c r="E336" s="1747">
        <v>0.15</v>
      </c>
      <c r="F336" s="1748">
        <v>0.11799999999999999</v>
      </c>
    </row>
    <row r="337" spans="1:6" ht="14.25" thickBot="1">
      <c r="A337" s="1750" t="s">
        <v>2183</v>
      </c>
      <c r="B337" s="1757" t="s">
        <v>1259</v>
      </c>
      <c r="C337" s="1753"/>
      <c r="D337" s="1753"/>
      <c r="E337" s="1753"/>
      <c r="F337" s="1758">
        <v>0.14299999999999999</v>
      </c>
    </row>
    <row r="338" spans="1:6" ht="14.25" thickBot="1">
      <c r="A338" s="1742" t="s">
        <v>2196</v>
      </c>
      <c r="B338" s="1743" t="s">
        <v>2197</v>
      </c>
      <c r="C338" s="1744">
        <v>0.15</v>
      </c>
      <c r="D338" s="1744">
        <v>0.15</v>
      </c>
      <c r="E338" s="1744">
        <v>0.15</v>
      </c>
      <c r="F338" s="1766"/>
    </row>
    <row r="339" spans="1:6" ht="14.25" thickBot="1">
      <c r="A339" s="1742" t="s">
        <v>2196</v>
      </c>
      <c r="B339" s="1746" t="s">
        <v>2198</v>
      </c>
      <c r="C339" s="1747">
        <v>0.15</v>
      </c>
      <c r="D339" s="1747">
        <v>0.15</v>
      </c>
      <c r="E339" s="1747">
        <v>0.15</v>
      </c>
      <c r="F339" s="1755"/>
    </row>
    <row r="340" spans="1:6" ht="14.25" thickBot="1">
      <c r="A340" s="1742" t="s">
        <v>2196</v>
      </c>
      <c r="B340" s="1746" t="s">
        <v>2199</v>
      </c>
      <c r="C340" s="1747">
        <v>0.15</v>
      </c>
      <c r="D340" s="1747">
        <v>0.15</v>
      </c>
      <c r="E340" s="1747">
        <v>0.15</v>
      </c>
      <c r="F340" s="1755"/>
    </row>
    <row r="341" spans="1:6" ht="14.25" thickBot="1">
      <c r="A341" s="1742" t="s">
        <v>2200</v>
      </c>
      <c r="B341" s="1746" t="s">
        <v>2201</v>
      </c>
      <c r="C341" s="1747">
        <v>0.15</v>
      </c>
      <c r="D341" s="1747">
        <v>0.15</v>
      </c>
      <c r="E341" s="1747">
        <v>0.15</v>
      </c>
      <c r="F341" s="1748">
        <v>0.15</v>
      </c>
    </row>
    <row r="342" spans="1:6" ht="14.25" thickBot="1">
      <c r="A342" s="1742" t="s">
        <v>2196</v>
      </c>
      <c r="B342" s="1746" t="s">
        <v>2202</v>
      </c>
      <c r="C342" s="1747">
        <v>0.15</v>
      </c>
      <c r="D342" s="1747">
        <v>0.15</v>
      </c>
      <c r="E342" s="1747">
        <v>0.15</v>
      </c>
      <c r="F342" s="1748">
        <v>0.15</v>
      </c>
    </row>
    <row r="343" spans="1:6" ht="14.25" thickBot="1">
      <c r="A343" s="1742" t="s">
        <v>2196</v>
      </c>
      <c r="B343" s="1746" t="s">
        <v>2203</v>
      </c>
      <c r="C343" s="1747">
        <v>0.15</v>
      </c>
      <c r="D343" s="1747">
        <v>0.15</v>
      </c>
      <c r="E343" s="1747">
        <v>0.15</v>
      </c>
      <c r="F343" s="1748">
        <v>0.15</v>
      </c>
    </row>
    <row r="344" spans="1:6" ht="14.2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0"/>
  <sheetViews>
    <sheetView zoomScale="80" zoomScaleNormal="80" workbookViewId="0">
      <selection activeCell="F5" sqref="F5"/>
    </sheetView>
  </sheetViews>
  <sheetFormatPr defaultColWidth="9" defaultRowHeight="12.75"/>
  <cols>
    <col min="1" max="1" width="9" style="2852"/>
    <col min="2" max="6" width="9" style="2852" customWidth="1"/>
    <col min="7" max="7" width="9" style="2890" customWidth="1"/>
    <col min="8" max="12" width="9" style="2852" customWidth="1"/>
    <col min="13" max="13" width="2.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 style="2852" customWidth="1"/>
    <col min="24" max="25" width="9" style="2852"/>
    <col min="26" max="27" width="11.625" style="2852" customWidth="1"/>
    <col min="28" max="28" width="9" style="2852"/>
    <col min="29" max="29" width="2" style="2852" customWidth="1"/>
    <col min="30" max="16384" width="9" style="2852"/>
  </cols>
  <sheetData>
    <row r="1" spans="1:34" s="2830" customFormat="1">
      <c r="B1" s="3879" t="s">
        <v>2529</v>
      </c>
      <c r="C1" s="3879"/>
      <c r="D1" s="3879"/>
      <c r="E1" s="3879"/>
      <c r="F1" s="3879"/>
      <c r="G1" s="3878" t="s">
        <v>2530</v>
      </c>
      <c r="H1" s="3878"/>
      <c r="I1" s="3878"/>
      <c r="J1" s="3878"/>
      <c r="K1" s="3878"/>
      <c r="L1" s="3878"/>
      <c r="N1" s="3878" t="s">
        <v>2531</v>
      </c>
      <c r="O1" s="3878"/>
      <c r="P1" s="3878"/>
      <c r="Q1" s="3878"/>
      <c r="S1" s="3878" t="s">
        <v>2532</v>
      </c>
      <c r="T1" s="3878"/>
      <c r="U1" s="3878"/>
      <c r="V1" s="3878"/>
      <c r="X1" s="3877" t="s">
        <v>2592</v>
      </c>
      <c r="Y1" s="3878"/>
      <c r="Z1" s="3878"/>
      <c r="AA1" s="3878"/>
      <c r="AB1" s="3878"/>
      <c r="AD1" s="3877" t="s">
        <v>2596</v>
      </c>
      <c r="AE1" s="3878"/>
      <c r="AF1" s="3878"/>
      <c r="AG1" s="3878"/>
      <c r="AH1" s="3878"/>
    </row>
    <row r="2" spans="1:34" s="2831" customFormat="1" ht="14.25" thickBot="1">
      <c r="B2" s="2832" t="s">
        <v>2533</v>
      </c>
      <c r="C2" s="2832" t="s">
        <v>2594</v>
      </c>
      <c r="D2" s="2833" t="s">
        <v>1619</v>
      </c>
      <c r="E2" s="2833" t="s">
        <v>1916</v>
      </c>
      <c r="F2" s="2832" t="s">
        <v>2595</v>
      </c>
      <c r="G2" s="2834"/>
      <c r="I2" s="2832" t="s">
        <v>2883</v>
      </c>
      <c r="J2" s="2833" t="s">
        <v>2885</v>
      </c>
      <c r="K2" s="2833" t="s">
        <v>2886</v>
      </c>
      <c r="L2" s="2832" t="s">
        <v>2887</v>
      </c>
      <c r="N2" s="2832" t="s">
        <v>2533</v>
      </c>
      <c r="O2" s="2833" t="s">
        <v>2884</v>
      </c>
      <c r="P2" s="2833" t="s">
        <v>1916</v>
      </c>
      <c r="Q2" s="2832" t="s">
        <v>2595</v>
      </c>
      <c r="S2" s="2832" t="s">
        <v>2533</v>
      </c>
      <c r="T2" s="2833" t="s">
        <v>2884</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25">
      <c r="A3" s="2835" t="s">
        <v>2894</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25">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c r="A5" s="2854" t="s">
        <v>3114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2895</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c r="A6" s="2864" t="s">
        <v>3113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c r="A7" s="2864" t="s">
        <v>2961</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c r="A8" s="2864" t="s">
        <v>2960</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c r="A9" s="2864" t="s">
        <v>2959</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c r="A10" s="2864" t="s">
        <v>2958</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c r="A11" s="2864" t="s">
        <v>2957</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c r="A12" s="2864" t="s">
        <v>2920</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c r="A13" s="2864" t="s">
        <v>2918</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c r="A14" s="2864" t="s">
        <v>2915</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2914</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c r="A16" s="2864" t="s">
        <v>2913</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2912</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c r="A18" s="2864" t="s">
        <v>2910</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873">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45" customHeight="1">
      <c r="A19" s="2864" t="s">
        <v>2903</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873"/>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45" customHeight="1">
      <c r="A20" s="2864" t="s">
        <v>2904</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873"/>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2900</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874"/>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c r="A22" s="2864" t="s">
        <v>2893</v>
      </c>
      <c r="B22" s="2881">
        <v>439</v>
      </c>
      <c r="C22" s="2881">
        <v>327</v>
      </c>
      <c r="D22" s="2881">
        <f t="shared" si="168"/>
        <v>327</v>
      </c>
      <c r="E22" s="2881">
        <v>627</v>
      </c>
      <c r="F22" s="2882">
        <v>283</v>
      </c>
      <c r="G22" s="3872">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45" customHeight="1">
      <c r="A23" s="2864" t="s">
        <v>2896</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873"/>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3873"/>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3874"/>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c r="A26" s="2864" t="s">
        <v>945</v>
      </c>
      <c r="B26" s="2886">
        <v>392</v>
      </c>
      <c r="C26" s="2886">
        <v>302</v>
      </c>
      <c r="D26" s="2886">
        <f t="shared" si="168"/>
        <v>302</v>
      </c>
      <c r="E26" s="2886">
        <v>553</v>
      </c>
      <c r="F26" s="2887">
        <v>266</v>
      </c>
      <c r="G26" s="3872">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873"/>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873"/>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5"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876"/>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875">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873"/>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873"/>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876"/>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875">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873"/>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5"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873"/>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876"/>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2536</v>
      </c>
      <c r="B38" s="2886">
        <v>299</v>
      </c>
      <c r="C38" s="2886">
        <v>252</v>
      </c>
      <c r="D38" s="2886">
        <f t="shared" si="189"/>
        <v>252</v>
      </c>
      <c r="E38" s="2886">
        <v>409</v>
      </c>
      <c r="F38" s="2887">
        <v>227</v>
      </c>
      <c r="G38" s="3880">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881"/>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3881"/>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3882"/>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189"/>
        <v>234</v>
      </c>
      <c r="E42" s="2914">
        <v>379</v>
      </c>
      <c r="F42" s="2915">
        <v>220</v>
      </c>
      <c r="G42" s="3875">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3873"/>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2542</v>
      </c>
      <c r="B44" s="2865">
        <f>B43/(1+N43)</f>
        <v>275.24529281292263</v>
      </c>
      <c r="C44" s="2865">
        <f>C43/(1+O43)</f>
        <v>231.74747938962707</v>
      </c>
      <c r="D44" s="2865">
        <f t="shared" si="189"/>
        <v>231.74747938962707</v>
      </c>
      <c r="E44" s="2865">
        <f t="shared" si="199"/>
        <v>375.35938184826603</v>
      </c>
      <c r="F44" s="2865">
        <f t="shared" si="199"/>
        <v>216.78033510692495</v>
      </c>
      <c r="G44" s="3873"/>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5" thickBot="1">
      <c r="A45" s="2864" t="s">
        <v>2543</v>
      </c>
      <c r="B45" s="2865">
        <f>B44/(1+N44)</f>
        <v>275.19025476197027</v>
      </c>
      <c r="C45" s="2916">
        <v>232</v>
      </c>
      <c r="D45" s="2916">
        <f t="shared" si="189"/>
        <v>232</v>
      </c>
      <c r="E45" s="2865">
        <f t="shared" si="199"/>
        <v>375.65990977608692</v>
      </c>
      <c r="F45" s="2865">
        <f t="shared" si="199"/>
        <v>214.12518283971252</v>
      </c>
      <c r="G45" s="3876"/>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189"/>
        <v>232</v>
      </c>
      <c r="E46" s="2886">
        <v>376</v>
      </c>
      <c r="F46" s="2887">
        <v>213</v>
      </c>
      <c r="G46" s="3875">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873">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3873">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5"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3876">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189"/>
        <v>221</v>
      </c>
      <c r="E50" s="2886">
        <v>373</v>
      </c>
      <c r="F50" s="2887">
        <v>196</v>
      </c>
      <c r="G50" s="3875">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873">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3873">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5"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3876">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189"/>
        <v>187</v>
      </c>
      <c r="E54" s="2886">
        <v>301</v>
      </c>
      <c r="F54" s="2887">
        <v>168</v>
      </c>
      <c r="G54" s="3875">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873">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3873">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3876">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189"/>
        <v>188</v>
      </c>
      <c r="E58" s="2914">
        <v>289</v>
      </c>
      <c r="F58" s="2915">
        <v>166</v>
      </c>
      <c r="G58" s="3875">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873">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3873">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5"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3876">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189"/>
        <v>165</v>
      </c>
      <c r="E62" s="2886">
        <v>254</v>
      </c>
      <c r="F62" s="2887">
        <v>148</v>
      </c>
      <c r="G62" s="3875">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873">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3873">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3876">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189"/>
        <v>141</v>
      </c>
      <c r="E66" s="2893">
        <v>195</v>
      </c>
      <c r="F66" s="2894">
        <v>122</v>
      </c>
      <c r="G66" s="3875">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873">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3873">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3876">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189"/>
        <v>131</v>
      </c>
      <c r="E70" s="2893">
        <v>155</v>
      </c>
      <c r="F70" s="2894">
        <v>114</v>
      </c>
      <c r="G70" s="3875">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873">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3873">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3876">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189"/>
        <v>122</v>
      </c>
      <c r="E74" s="2914">
        <v>124</v>
      </c>
      <c r="F74" s="2915">
        <v>107</v>
      </c>
      <c r="G74" s="3875">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873">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2574</v>
      </c>
      <c r="B76" s="2865">
        <f t="shared" si="222"/>
        <v>116.99099099099099</v>
      </c>
      <c r="C76" s="2865">
        <f t="shared" si="222"/>
        <v>118.84848484848486</v>
      </c>
      <c r="D76" s="2865">
        <f t="shared" si="189"/>
        <v>118.84848484848486</v>
      </c>
      <c r="E76" s="2865">
        <f t="shared" si="223"/>
        <v>117.60960960960961</v>
      </c>
      <c r="F76" s="2865">
        <f t="shared" si="223"/>
        <v>104</v>
      </c>
      <c r="G76" s="3873">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5"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3876">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189"/>
        <v>114</v>
      </c>
      <c r="E78" s="2934">
        <v>108</v>
      </c>
      <c r="F78" s="2935">
        <v>104</v>
      </c>
      <c r="G78" s="3875">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224">B80+(B$78-B$82)/4</f>
        <v>109.75</v>
      </c>
      <c r="C79" s="2938">
        <f t="shared" si="224"/>
        <v>112.25</v>
      </c>
      <c r="D79" s="2938">
        <f t="shared" si="189"/>
        <v>112.25</v>
      </c>
      <c r="E79" s="2938">
        <f t="shared" ref="E79:F81" si="225">E80+(E$78-E$82)/4</f>
        <v>107.25</v>
      </c>
      <c r="F79" s="2938">
        <f t="shared" si="225"/>
        <v>103.5</v>
      </c>
      <c r="G79" s="3873">
        <v>2003</v>
      </c>
      <c r="H79" s="2891">
        <v>3</v>
      </c>
      <c r="I79" s="2936"/>
      <c r="J79" s="2936"/>
      <c r="K79" s="2936"/>
      <c r="L79" s="2936"/>
      <c r="X79" s="2928"/>
      <c r="Y79" s="2928"/>
      <c r="Z79" s="2928"/>
    </row>
    <row r="80" spans="1:26">
      <c r="A80" s="2864" t="s">
        <v>2578</v>
      </c>
      <c r="B80" s="2938">
        <f t="shared" si="224"/>
        <v>108.5</v>
      </c>
      <c r="C80" s="2938">
        <f t="shared" si="224"/>
        <v>110.5</v>
      </c>
      <c r="D80" s="2938">
        <f t="shared" si="189"/>
        <v>110.5</v>
      </c>
      <c r="E80" s="2938">
        <f t="shared" si="225"/>
        <v>106.5</v>
      </c>
      <c r="F80" s="2938">
        <f t="shared" si="225"/>
        <v>103</v>
      </c>
      <c r="G80" s="3873">
        <v>2003</v>
      </c>
      <c r="H80" s="2879">
        <v>2</v>
      </c>
      <c r="I80" s="2936"/>
      <c r="J80" s="2936"/>
      <c r="K80" s="2936"/>
      <c r="L80" s="2936"/>
      <c r="X80" s="2928"/>
      <c r="Y80" s="2928"/>
      <c r="Z80" s="2928"/>
    </row>
    <row r="81" spans="1:26" ht="13.5" thickBot="1">
      <c r="A81" s="2864" t="s">
        <v>2579</v>
      </c>
      <c r="B81" s="2938">
        <f t="shared" si="224"/>
        <v>107.25</v>
      </c>
      <c r="C81" s="2938">
        <f t="shared" si="224"/>
        <v>108.75</v>
      </c>
      <c r="D81" s="2938">
        <f t="shared" si="189"/>
        <v>108.75</v>
      </c>
      <c r="E81" s="2938">
        <f t="shared" si="225"/>
        <v>105.75</v>
      </c>
      <c r="F81" s="2938">
        <f t="shared" si="225"/>
        <v>102.5</v>
      </c>
      <c r="G81" s="3876">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189"/>
        <v>107</v>
      </c>
      <c r="E82" s="2940">
        <v>105</v>
      </c>
      <c r="F82" s="2941">
        <v>102</v>
      </c>
      <c r="G82" s="3875">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226">B84+(B$82-B$86)/4</f>
        <v>105</v>
      </c>
      <c r="C83" s="2938">
        <f t="shared" si="226"/>
        <v>106</v>
      </c>
      <c r="D83" s="2938">
        <f t="shared" si="189"/>
        <v>106</v>
      </c>
      <c r="E83" s="2938">
        <f t="shared" ref="E83:F85" si="227">E84+(E$82-E$86)/4</f>
        <v>104.5</v>
      </c>
      <c r="F83" s="2938">
        <f t="shared" si="227"/>
        <v>101.5</v>
      </c>
      <c r="G83" s="3873">
        <v>2002</v>
      </c>
      <c r="H83" s="2891">
        <v>3</v>
      </c>
      <c r="I83" s="2936"/>
      <c r="J83" s="2936"/>
      <c r="K83" s="2936"/>
      <c r="L83" s="2936"/>
      <c r="X83" s="2928"/>
      <c r="Y83" s="2928"/>
      <c r="Z83" s="2928"/>
    </row>
    <row r="84" spans="1:26">
      <c r="A84" s="2864" t="s">
        <v>2582</v>
      </c>
      <c r="B84" s="2938">
        <f t="shared" si="226"/>
        <v>104</v>
      </c>
      <c r="C84" s="2938">
        <f t="shared" si="226"/>
        <v>105</v>
      </c>
      <c r="D84" s="2938">
        <f t="shared" si="189"/>
        <v>105</v>
      </c>
      <c r="E84" s="2938">
        <f t="shared" si="227"/>
        <v>104</v>
      </c>
      <c r="F84" s="2938">
        <f t="shared" si="227"/>
        <v>101</v>
      </c>
      <c r="G84" s="3873">
        <v>2002</v>
      </c>
      <c r="H84" s="2879">
        <v>2</v>
      </c>
      <c r="I84" s="2936"/>
      <c r="J84" s="2936"/>
      <c r="K84" s="2936"/>
      <c r="L84" s="2936"/>
      <c r="X84" s="2928"/>
      <c r="Y84" s="2928"/>
      <c r="Z84" s="2928"/>
    </row>
    <row r="85" spans="1:26" s="2901" customFormat="1" ht="13.5" thickBot="1">
      <c r="A85" s="2897" t="s">
        <v>2583</v>
      </c>
      <c r="B85" s="2904">
        <f t="shared" si="226"/>
        <v>103</v>
      </c>
      <c r="C85" s="2904">
        <f t="shared" si="226"/>
        <v>104</v>
      </c>
      <c r="D85" s="2904">
        <f t="shared" si="189"/>
        <v>104</v>
      </c>
      <c r="E85" s="2904">
        <f t="shared" si="227"/>
        <v>103.5</v>
      </c>
      <c r="F85" s="2904">
        <f t="shared" si="227"/>
        <v>100.5</v>
      </c>
      <c r="G85" s="3876">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c r="A88" s="2949" t="s">
        <v>2584</v>
      </c>
      <c r="G88" s="2951"/>
      <c r="N88" s="2951"/>
      <c r="S88" s="2951"/>
    </row>
    <row r="89" spans="1:26" s="2950" customFormat="1">
      <c r="A89" s="2950" t="s">
        <v>2585</v>
      </c>
      <c r="G89" s="2951"/>
      <c r="N89" s="2951"/>
      <c r="S89" s="2951"/>
    </row>
    <row r="90" spans="1:26" s="2950" customFormat="1">
      <c r="A90" s="2950" t="s">
        <v>2586</v>
      </c>
      <c r="G90" s="2951"/>
      <c r="I90" s="2952"/>
      <c r="J90" s="2952"/>
      <c r="K90" s="2952"/>
      <c r="L90" s="2952"/>
      <c r="N90" s="2953"/>
      <c r="O90" s="2952"/>
      <c r="P90" s="2952"/>
      <c r="Q90" s="2952"/>
      <c r="S90" s="2953"/>
      <c r="T90" s="2952"/>
      <c r="U90" s="2952"/>
      <c r="V90" s="2952"/>
    </row>
    <row r="91" spans="1:26" s="2950" customFormat="1">
      <c r="A91" s="2950" t="s">
        <v>2587</v>
      </c>
      <c r="G91" s="2951"/>
      <c r="N91" s="2951"/>
      <c r="S91" s="2951"/>
    </row>
    <row r="98" spans="7:22" ht="13.5" thickBot="1"/>
    <row r="99" spans="7:22">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5"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7" customWidth="1"/>
    <col min="2" max="2" width="12.5" style="3207" customWidth="1"/>
    <col min="3" max="3" width="12.125" style="3207" customWidth="1"/>
    <col min="4" max="4" width="16.625" style="3207" customWidth="1"/>
    <col min="5" max="5" width="12.5" style="3207" customWidth="1"/>
    <col min="6" max="6" width="12.75" style="3207" customWidth="1"/>
    <col min="7" max="16384" width="8.875" style="3207"/>
  </cols>
  <sheetData>
    <row r="1" spans="1:14" ht="20.25">
      <c r="A1" s="3210" t="s">
        <v>2877</v>
      </c>
      <c r="B1" s="3205"/>
      <c r="C1" s="3205"/>
      <c r="D1" s="3205"/>
      <c r="E1" s="3205"/>
      <c r="F1" s="3205"/>
      <c r="G1" s="3206"/>
      <c r="H1" s="3206"/>
      <c r="I1" s="3206"/>
      <c r="J1" s="3206"/>
      <c r="K1" s="3206"/>
      <c r="L1" s="3206"/>
      <c r="M1" s="3206"/>
      <c r="N1" s="3206"/>
    </row>
    <row r="2" spans="1:14" ht="14.25">
      <c r="A2" s="3211" t="s">
        <v>2872</v>
      </c>
      <c r="B2" s="3216">
        <f ca="1">SUMIF(B7:B14,"&lt;&gt;#ref!",B7:B14)</f>
        <v>0</v>
      </c>
      <c r="C2" s="3211" t="s">
        <v>2873</v>
      </c>
      <c r="D2" s="3208"/>
      <c r="E2" s="3208"/>
      <c r="F2" s="3208"/>
      <c r="G2" s="3206"/>
      <c r="H2" s="3206"/>
      <c r="I2" s="3206"/>
      <c r="J2" s="3206"/>
      <c r="K2" s="3206"/>
      <c r="L2" s="3206"/>
      <c r="M2" s="3206"/>
      <c r="N2" s="3206"/>
    </row>
    <row r="3" spans="1:14" ht="14.25">
      <c r="A3" s="3211" t="s">
        <v>2901</v>
      </c>
      <c r="B3" s="3216" t="e">
        <f ca="1">ROUND(B2*10000/E3,0)</f>
        <v>#DIV/0!</v>
      </c>
      <c r="C3" s="3211" t="s">
        <v>2045</v>
      </c>
      <c r="D3" s="3211" t="s">
        <v>2874</v>
      </c>
      <c r="E3" s="3209">
        <f ca="1">SUMIF(E7:E14,"&lt;&gt;#ref!",E7:E14)</f>
        <v>0</v>
      </c>
      <c r="F3" s="3208"/>
      <c r="G3" s="3206"/>
      <c r="H3" s="3206"/>
      <c r="I3" s="3206"/>
      <c r="J3" s="3206"/>
      <c r="K3" s="3206"/>
      <c r="L3" s="3206"/>
      <c r="M3" s="3206"/>
      <c r="N3" s="3206"/>
    </row>
    <row r="4" spans="1:14" ht="14.25">
      <c r="A4" s="3211" t="s">
        <v>2880</v>
      </c>
      <c r="B4" s="3216" t="e">
        <f ca="1">ROUND(B2*10000/E4,0)</f>
        <v>#DIV/0!</v>
      </c>
      <c r="C4" s="3211" t="s">
        <v>2045</v>
      </c>
      <c r="D4" s="3211" t="s">
        <v>2881</v>
      </c>
      <c r="E4" s="3209">
        <f ca="1">SUMIF(F7:F14,"&lt;&gt;#ref!",F7:F14)</f>
        <v>0</v>
      </c>
      <c r="F4" s="3208"/>
      <c r="G4" s="3206"/>
      <c r="H4" s="3206"/>
      <c r="I4" s="3206"/>
      <c r="J4" s="3206"/>
      <c r="K4" s="3206"/>
      <c r="L4" s="3206"/>
      <c r="M4" s="3206"/>
      <c r="N4" s="3206"/>
    </row>
    <row r="5" spans="1:14" ht="14.25">
      <c r="A5" s="3212"/>
      <c r="B5" s="3208"/>
      <c r="C5" s="3208"/>
      <c r="D5" s="3208"/>
      <c r="E5" s="3208"/>
      <c r="F5" s="3208"/>
      <c r="G5" s="3206"/>
      <c r="H5" s="3206"/>
      <c r="I5" s="3206"/>
      <c r="J5" s="3206"/>
      <c r="K5" s="3206"/>
      <c r="L5" s="3206"/>
      <c r="M5" s="3206"/>
      <c r="N5" s="3206"/>
    </row>
    <row r="6" spans="1:14" ht="28.5">
      <c r="A6" s="3213" t="s">
        <v>2878</v>
      </c>
      <c r="B6" s="3211" t="s">
        <v>2875</v>
      </c>
      <c r="C6" s="2756"/>
      <c r="D6" s="3208"/>
      <c r="E6" s="3211" t="s">
        <v>2876</v>
      </c>
      <c r="F6" s="3211" t="s">
        <v>2879</v>
      </c>
      <c r="G6" s="3206"/>
      <c r="H6" s="3206"/>
      <c r="I6" s="3206"/>
      <c r="J6" s="3206"/>
      <c r="K6" s="3206"/>
      <c r="L6" s="3206"/>
      <c r="M6" s="3206"/>
      <c r="N6" s="3206"/>
    </row>
    <row r="7" spans="1:14" ht="14.25">
      <c r="A7" s="3214"/>
      <c r="B7" s="3216" t="e">
        <f ca="1">SUMIF(INDIRECT("'"&amp;A7&amp;"'"&amp;"!A:A"),"总价",INDIRECT("'"&amp;A7&amp;"'"&amp;"!B:B"))</f>
        <v>#REF!</v>
      </c>
      <c r="C7" s="3211" t="s">
        <v>2873</v>
      </c>
      <c r="D7" s="3208"/>
      <c r="E7" s="3209" t="e">
        <f ca="1">SUMIF(INDIRECT("'"&amp;A7&amp;"'"&amp;"!C:C"),"建筑面积",INDIRECT("'"&amp;A7&amp;"'"&amp;"!D:D"))</f>
        <v>#REF!</v>
      </c>
      <c r="F7" s="3209" t="e">
        <f ca="1">SUMIF(INDIRECT("'"&amp;A7&amp;"'"&amp;"!E:E"),"土地面积",INDIRECT("'"&amp;A7&amp;"'"&amp;"!F:F"))</f>
        <v>#REF!</v>
      </c>
      <c r="G7" s="3206"/>
      <c r="H7" s="3206"/>
      <c r="I7" s="3206"/>
      <c r="J7" s="3206"/>
      <c r="K7" s="3206"/>
      <c r="L7" s="3206"/>
      <c r="M7" s="3206"/>
      <c r="N7" s="3206"/>
    </row>
    <row r="8" spans="1:14" ht="14.25">
      <c r="A8" s="3214"/>
      <c r="B8" s="3216" t="e">
        <f t="shared" ref="B8:B14" ca="1" si="0">SUMIF(INDIRECT("'"&amp;A8&amp;"'"&amp;"!A:A"),"总价",INDIRECT("'"&amp;A8&amp;"'"&amp;"!B:B"))</f>
        <v>#REF!</v>
      </c>
      <c r="C8" s="3211" t="s">
        <v>2873</v>
      </c>
      <c r="D8" s="3208"/>
      <c r="E8" s="3209" t="e">
        <f t="shared" ref="E8:E14" ca="1" si="1">SUMIF(INDIRECT("'"&amp;A8&amp;"'"&amp;"!C:C"),"建筑面积",INDIRECT("'"&amp;A8&amp;"'"&amp;"!D:D"))</f>
        <v>#REF!</v>
      </c>
      <c r="F8" s="3209" t="e">
        <f t="shared" ref="F8:F14" ca="1" si="2">SUMIF(INDIRECT("'"&amp;A8&amp;"'"&amp;"!E:E"),"土地面积",INDIRECT("'"&amp;A8&amp;"'"&amp;"!F:F"))</f>
        <v>#REF!</v>
      </c>
      <c r="G8" s="3206"/>
      <c r="H8" s="3206"/>
      <c r="I8" s="3206"/>
      <c r="J8" s="3206"/>
      <c r="K8" s="3206"/>
      <c r="L8" s="3206"/>
      <c r="M8" s="3206"/>
      <c r="N8" s="3206"/>
    </row>
    <row r="9" spans="1:14" ht="14.25">
      <c r="A9" s="3214"/>
      <c r="B9" s="3216" t="e">
        <f t="shared" ca="1" si="0"/>
        <v>#REF!</v>
      </c>
      <c r="C9" s="3211" t="s">
        <v>2873</v>
      </c>
      <c r="D9" s="3208"/>
      <c r="E9" s="3209" t="e">
        <f t="shared" ca="1" si="1"/>
        <v>#REF!</v>
      </c>
      <c r="F9" s="3209" t="e">
        <f t="shared" ca="1" si="2"/>
        <v>#REF!</v>
      </c>
      <c r="G9" s="3206"/>
      <c r="H9" s="3206"/>
      <c r="I9" s="3206"/>
      <c r="J9" s="3206"/>
      <c r="K9" s="3206"/>
      <c r="L9" s="3206"/>
      <c r="M9" s="3206"/>
      <c r="N9" s="3206"/>
    </row>
    <row r="10" spans="1:14" ht="14.25">
      <c r="A10" s="3214"/>
      <c r="B10" s="3216" t="e">
        <f t="shared" ca="1" si="0"/>
        <v>#REF!</v>
      </c>
      <c r="C10" s="3211" t="s">
        <v>2873</v>
      </c>
      <c r="D10" s="3208"/>
      <c r="E10" s="3209" t="e">
        <f t="shared" ca="1" si="1"/>
        <v>#REF!</v>
      </c>
      <c r="F10" s="3209" t="e">
        <f t="shared" ca="1" si="2"/>
        <v>#REF!</v>
      </c>
      <c r="G10" s="3206"/>
      <c r="H10" s="3206"/>
      <c r="I10" s="3206"/>
      <c r="J10" s="3206"/>
      <c r="K10" s="3206"/>
      <c r="L10" s="3206"/>
      <c r="M10" s="3206"/>
      <c r="N10" s="3206"/>
    </row>
    <row r="11" spans="1:14" ht="14.25">
      <c r="A11" s="3214"/>
      <c r="B11" s="3216" t="e">
        <f t="shared" ca="1" si="0"/>
        <v>#REF!</v>
      </c>
      <c r="C11" s="3211" t="s">
        <v>2873</v>
      </c>
      <c r="D11" s="3208"/>
      <c r="E11" s="3209" t="e">
        <f t="shared" ca="1" si="1"/>
        <v>#REF!</v>
      </c>
      <c r="F11" s="3209" t="e">
        <f t="shared" ca="1" si="2"/>
        <v>#REF!</v>
      </c>
      <c r="G11" s="3206"/>
      <c r="H11" s="3206"/>
      <c r="I11" s="3206"/>
      <c r="J11" s="3206"/>
      <c r="K11" s="3206"/>
      <c r="L11" s="3206"/>
      <c r="M11" s="3206"/>
      <c r="N11" s="3206"/>
    </row>
    <row r="12" spans="1:14" ht="14.25">
      <c r="A12" s="3214"/>
      <c r="B12" s="3216" t="e">
        <f t="shared" ca="1" si="0"/>
        <v>#REF!</v>
      </c>
      <c r="C12" s="3211" t="s">
        <v>2873</v>
      </c>
      <c r="D12" s="3208"/>
      <c r="E12" s="3209" t="e">
        <f t="shared" ca="1" si="1"/>
        <v>#REF!</v>
      </c>
      <c r="F12" s="3209" t="e">
        <f t="shared" ca="1" si="2"/>
        <v>#REF!</v>
      </c>
      <c r="G12" s="3206"/>
      <c r="H12" s="3206"/>
      <c r="I12" s="3206"/>
      <c r="J12" s="3206"/>
      <c r="K12" s="3206"/>
      <c r="L12" s="3206"/>
      <c r="M12" s="3206"/>
      <c r="N12" s="3206"/>
    </row>
    <row r="13" spans="1:14" ht="14.25">
      <c r="A13" s="3214"/>
      <c r="B13" s="3216" t="e">
        <f t="shared" ca="1" si="0"/>
        <v>#REF!</v>
      </c>
      <c r="C13" s="3211" t="s">
        <v>2873</v>
      </c>
      <c r="D13" s="3208"/>
      <c r="E13" s="3209" t="e">
        <f t="shared" ca="1" si="1"/>
        <v>#REF!</v>
      </c>
      <c r="F13" s="3209" t="e">
        <f t="shared" ca="1" si="2"/>
        <v>#REF!</v>
      </c>
      <c r="G13" s="3206"/>
      <c r="H13" s="3206"/>
      <c r="I13" s="3206"/>
      <c r="J13" s="3206"/>
      <c r="K13" s="3206"/>
      <c r="L13" s="3206"/>
      <c r="M13" s="3206"/>
      <c r="N13" s="3206"/>
    </row>
    <row r="14" spans="1:14" ht="14.25">
      <c r="A14" s="3215"/>
      <c r="B14" s="3216" t="e">
        <f t="shared" ca="1" si="0"/>
        <v>#REF!</v>
      </c>
      <c r="C14" s="3211" t="s">
        <v>2873</v>
      </c>
      <c r="D14" s="3208"/>
      <c r="E14" s="3209" t="e">
        <f t="shared" ca="1" si="1"/>
        <v>#REF!</v>
      </c>
      <c r="F14" s="3209" t="e">
        <f t="shared" ca="1" si="2"/>
        <v>#REF!</v>
      </c>
      <c r="G14" s="3206"/>
      <c r="H14" s="3206"/>
      <c r="I14" s="3206"/>
      <c r="J14" s="3206"/>
      <c r="K14" s="3206"/>
      <c r="L14" s="3206"/>
      <c r="M14" s="3206"/>
      <c r="N14" s="3206"/>
    </row>
    <row r="15" spans="1:14">
      <c r="A15" s="3206"/>
      <c r="B15" s="3206"/>
      <c r="C15" s="3206"/>
      <c r="D15" s="3206"/>
      <c r="E15" s="3206"/>
      <c r="F15" s="3206"/>
      <c r="G15" s="3206"/>
      <c r="H15" s="3206"/>
      <c r="I15" s="3206"/>
      <c r="J15" s="3206"/>
      <c r="K15" s="3206"/>
      <c r="L15" s="3206"/>
      <c r="M15" s="3206"/>
      <c r="N15" s="3206"/>
    </row>
    <row r="16" spans="1:14">
      <c r="A16" s="3206"/>
      <c r="B16" s="3206"/>
      <c r="C16" s="3206"/>
      <c r="D16" s="3206"/>
      <c r="E16" s="3206"/>
      <c r="F16" s="3206"/>
      <c r="G16" s="3206"/>
      <c r="H16" s="3206"/>
      <c r="I16" s="3206"/>
      <c r="J16" s="3206"/>
      <c r="K16" s="3206"/>
      <c r="L16" s="3206"/>
      <c r="M16" s="3206"/>
      <c r="N16" s="3206"/>
    </row>
    <row r="17" spans="1:14">
      <c r="A17" s="3206"/>
      <c r="B17" s="3206"/>
      <c r="C17" s="3206"/>
      <c r="D17" s="3206"/>
      <c r="E17" s="3206"/>
      <c r="F17" s="3206"/>
      <c r="G17" s="3206"/>
      <c r="H17" s="3206"/>
      <c r="I17" s="3206"/>
      <c r="J17" s="3206"/>
      <c r="K17" s="3206"/>
      <c r="L17" s="3206"/>
      <c r="M17" s="3206"/>
      <c r="N17" s="3206"/>
    </row>
    <row r="18" spans="1:14">
      <c r="A18" s="3206"/>
      <c r="B18" s="3206"/>
      <c r="C18" s="3206"/>
      <c r="D18" s="3206"/>
      <c r="E18" s="3206"/>
      <c r="F18" s="3206"/>
      <c r="G18" s="3206"/>
      <c r="H18" s="3206"/>
      <c r="I18" s="3206"/>
      <c r="J18" s="3206"/>
      <c r="K18" s="3206"/>
      <c r="L18" s="3206"/>
      <c r="M18" s="3206"/>
      <c r="N18" s="3206"/>
    </row>
    <row r="19" spans="1:14">
      <c r="A19" s="3206"/>
      <c r="B19" s="3206"/>
      <c r="C19" s="3206"/>
      <c r="D19" s="3206"/>
      <c r="E19" s="3206"/>
      <c r="F19" s="3206"/>
      <c r="G19" s="3206"/>
      <c r="H19" s="3206"/>
      <c r="I19" s="3206"/>
      <c r="J19" s="3206"/>
      <c r="K19" s="3206"/>
      <c r="L19" s="3206"/>
      <c r="M19" s="3206"/>
      <c r="N19" s="3206"/>
    </row>
    <row r="20" spans="1:14">
      <c r="A20" s="3206"/>
      <c r="B20" s="3206"/>
      <c r="C20" s="3206"/>
      <c r="D20" s="3206"/>
      <c r="E20" s="3206"/>
      <c r="F20" s="3206"/>
      <c r="G20" s="3206"/>
      <c r="H20" s="3206"/>
      <c r="I20" s="3206"/>
      <c r="J20" s="3206"/>
      <c r="K20" s="3206"/>
      <c r="L20" s="3206"/>
      <c r="M20" s="3206"/>
      <c r="N20" s="3206"/>
    </row>
    <row r="21" spans="1:14">
      <c r="A21" s="3206"/>
      <c r="B21" s="3206"/>
      <c r="C21" s="3206"/>
      <c r="D21" s="3206"/>
      <c r="E21" s="3206"/>
      <c r="F21" s="3206"/>
      <c r="G21" s="3206"/>
      <c r="H21" s="3206"/>
      <c r="I21" s="3206"/>
      <c r="J21" s="3206"/>
      <c r="K21" s="3206"/>
      <c r="L21" s="3206"/>
      <c r="M21" s="3206"/>
      <c r="N21" s="3206"/>
    </row>
    <row r="22" spans="1:14">
      <c r="A22" s="3206"/>
      <c r="B22" s="3206"/>
      <c r="C22" s="3206"/>
      <c r="D22" s="3206"/>
      <c r="E22" s="3206"/>
      <c r="F22" s="3206"/>
      <c r="G22" s="3206"/>
      <c r="H22" s="3206"/>
      <c r="I22" s="3206"/>
      <c r="J22" s="3206"/>
      <c r="K22" s="3206"/>
      <c r="L22" s="3206"/>
      <c r="M22" s="3206"/>
      <c r="N22" s="3206"/>
    </row>
    <row r="23" spans="1:14">
      <c r="A23" s="3206"/>
      <c r="B23" s="3206"/>
      <c r="C23" s="3206"/>
      <c r="D23" s="3206"/>
      <c r="E23" s="3206"/>
      <c r="F23" s="3206"/>
      <c r="G23" s="3206"/>
      <c r="H23" s="3206"/>
      <c r="I23" s="3206"/>
      <c r="J23" s="3206"/>
      <c r="K23" s="3206"/>
      <c r="L23" s="3206"/>
      <c r="M23" s="3206"/>
      <c r="N23" s="3206"/>
    </row>
    <row r="24" spans="1:14">
      <c r="A24" s="3206"/>
      <c r="B24" s="3206"/>
      <c r="C24" s="3206"/>
      <c r="D24" s="3206"/>
      <c r="E24" s="3206"/>
      <c r="F24" s="3206"/>
      <c r="G24" s="3206"/>
      <c r="H24" s="3206"/>
      <c r="I24" s="3206"/>
      <c r="J24" s="3206"/>
      <c r="K24" s="3206"/>
      <c r="L24" s="3206"/>
      <c r="M24" s="3206"/>
      <c r="N24" s="3206"/>
    </row>
    <row r="25" spans="1:14">
      <c r="A25" s="3206"/>
      <c r="B25" s="3206"/>
      <c r="C25" s="3206"/>
      <c r="D25" s="3206"/>
      <c r="E25" s="3206"/>
      <c r="F25" s="3206"/>
      <c r="G25" s="3206"/>
      <c r="H25" s="3206"/>
      <c r="I25" s="3206"/>
      <c r="J25" s="3206"/>
      <c r="K25" s="3206"/>
      <c r="L25" s="3206"/>
      <c r="M25" s="3206"/>
      <c r="N25" s="3206"/>
    </row>
    <row r="26" spans="1:14">
      <c r="A26" s="3206"/>
      <c r="B26" s="3206"/>
      <c r="C26" s="3206"/>
      <c r="D26" s="3206"/>
      <c r="E26" s="3206"/>
      <c r="F26" s="3206"/>
      <c r="G26" s="3206"/>
      <c r="H26" s="3206"/>
      <c r="I26" s="3206"/>
      <c r="J26" s="3206"/>
      <c r="K26" s="3206"/>
      <c r="L26" s="3206"/>
      <c r="M26" s="3206"/>
      <c r="N26" s="3206"/>
    </row>
    <row r="27" spans="1:14">
      <c r="A27" s="3206"/>
      <c r="B27" s="3206"/>
      <c r="C27" s="3206"/>
      <c r="D27" s="3206"/>
      <c r="E27" s="3206"/>
      <c r="F27" s="3206"/>
      <c r="G27" s="3206"/>
      <c r="H27" s="3206"/>
      <c r="I27" s="3206"/>
      <c r="J27" s="3206"/>
      <c r="K27" s="3206"/>
      <c r="L27" s="3206"/>
      <c r="M27" s="3206"/>
      <c r="N27" s="3206"/>
    </row>
    <row r="28" spans="1:14">
      <c r="A28" s="3206"/>
      <c r="B28" s="3206"/>
      <c r="C28" s="3206"/>
      <c r="D28" s="3206"/>
      <c r="E28" s="3206"/>
      <c r="F28" s="3206"/>
      <c r="G28" s="3206"/>
      <c r="H28" s="3206"/>
      <c r="I28" s="3206"/>
      <c r="J28" s="3206"/>
      <c r="K28" s="3206"/>
      <c r="L28" s="3206"/>
      <c r="M28" s="3206"/>
      <c r="N28" s="3206"/>
    </row>
    <row r="29" spans="1:14">
      <c r="A29" s="3206"/>
      <c r="B29" s="3206"/>
      <c r="C29" s="3206"/>
      <c r="D29" s="3206"/>
      <c r="E29" s="3206"/>
      <c r="F29" s="3206"/>
      <c r="G29" s="3206"/>
      <c r="H29" s="3206"/>
      <c r="I29" s="3206"/>
      <c r="J29" s="3206"/>
      <c r="K29" s="3206"/>
      <c r="L29" s="3206"/>
      <c r="M29" s="3206"/>
      <c r="N29" s="3206"/>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25" style="1914" customWidth="1"/>
    <col min="17" max="17" width="13.75" style="1914" customWidth="1"/>
    <col min="18" max="18" width="22.25" style="1914" customWidth="1"/>
    <col min="19" max="19" width="1.5" style="1914" customWidth="1"/>
    <col min="20" max="25" width="9" style="1914"/>
    <col min="26" max="16384" width="9" style="1915"/>
  </cols>
  <sheetData>
    <row r="1" spans="1:25" s="1909" customFormat="1" ht="21">
      <c r="A1" s="744" t="s">
        <v>606</v>
      </c>
      <c r="B1" s="712"/>
      <c r="C1" s="745"/>
      <c r="D1" s="1905"/>
      <c r="E1" s="2213" t="s">
        <v>2336</v>
      </c>
      <c r="F1" s="2214">
        <f ca="1">J54</f>
        <v>-1</v>
      </c>
      <c r="G1" s="746">
        <f>MATCH(C1,'数据-取费表'!A6:A16,0)+5</f>
        <v>7</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822" t="s">
        <v>2417</v>
      </c>
      <c r="C8" s="1713">
        <f ca="1">ROUND(F8*F10*F9*(1-F11)/10000,0)</f>
        <v>0</v>
      </c>
      <c r="D8" s="1710" t="s">
        <v>2488</v>
      </c>
      <c r="E8" s="61" t="s">
        <v>615</v>
      </c>
      <c r="F8" s="757">
        <f ca="1">INDIRECT("'数据-取费表'!u"&amp;$G$1)</f>
        <v>0</v>
      </c>
      <c r="G8" s="1501"/>
      <c r="H8" s="2326" t="s">
        <v>1799</v>
      </c>
      <c r="I8" s="3822" t="s">
        <v>2417</v>
      </c>
      <c r="J8" s="755">
        <f ca="1">ROUND(M8*M10*M9*(1-M11)/10000,0)</f>
        <v>0</v>
      </c>
      <c r="K8" s="339" t="s">
        <v>2488</v>
      </c>
      <c r="L8" s="756" t="s">
        <v>1713</v>
      </c>
      <c r="M8" s="757">
        <f ca="1">INDIRECT("'数据-取费表'!z"&amp;$G$1)</f>
        <v>0</v>
      </c>
    </row>
    <row r="9" spans="1:25" ht="18" customHeight="1">
      <c r="A9" s="2322"/>
      <c r="B9" s="3823"/>
      <c r="C9" s="1714"/>
      <c r="D9" s="1711"/>
      <c r="E9" s="61" t="s">
        <v>616</v>
      </c>
      <c r="F9" s="757">
        <f ca="1">IF(INDIRECT("'数据-取费表'!ah"&amp;$G$1)="",INDIRECT("'数据-取费表'!k"&amp;$G$1),INDIRECT("'数据-取费表'!ah"&amp;$G$1))</f>
        <v>0</v>
      </c>
      <c r="G9" s="1501"/>
      <c r="H9" s="2311"/>
      <c r="I9" s="3823"/>
      <c r="J9" s="760"/>
      <c r="K9" s="761"/>
      <c r="L9" s="756" t="s">
        <v>1714</v>
      </c>
      <c r="M9" s="757">
        <f ca="1">F9</f>
        <v>0</v>
      </c>
    </row>
    <row r="10" spans="1:25" ht="18" customHeight="1">
      <c r="A10" s="2315"/>
      <c r="B10" s="3824"/>
      <c r="C10" s="1714"/>
      <c r="D10" s="1711"/>
      <c r="E10" s="61" t="s">
        <v>617</v>
      </c>
      <c r="F10" s="757">
        <f ca="1">INDIRECT("'数据-取费表'!ai"&amp;$G$1)</f>
        <v>0</v>
      </c>
      <c r="G10" s="1501"/>
      <c r="H10" s="2311"/>
      <c r="I10" s="3824"/>
      <c r="J10" s="760"/>
      <c r="K10" s="761"/>
      <c r="L10" s="756" t="s">
        <v>1715</v>
      </c>
      <c r="M10" s="757">
        <f ca="1">INDIRECT("'数据-取费表'!ai"&amp;$G$1)</f>
        <v>0</v>
      </c>
    </row>
    <row r="11" spans="1:25" ht="18" customHeight="1">
      <c r="A11" s="758"/>
      <c r="B11" s="3825"/>
      <c r="C11" s="1714"/>
      <c r="D11" s="1711"/>
      <c r="E11" s="61" t="s">
        <v>618</v>
      </c>
      <c r="F11" s="766">
        <f ca="1">INDIRECT("'数据-取费表'!w"&amp;$G$1)</f>
        <v>0</v>
      </c>
      <c r="G11" s="1501"/>
      <c r="H11" s="2327"/>
      <c r="I11" s="3824"/>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2898</v>
      </c>
      <c r="E12" s="2320" t="s">
        <v>2418</v>
      </c>
      <c r="F12" s="2433"/>
      <c r="G12" s="1501"/>
      <c r="H12" s="2383" t="s">
        <v>1800</v>
      </c>
      <c r="I12" s="2388" t="s">
        <v>2413</v>
      </c>
      <c r="J12" s="755">
        <f ca="1">ROUND(IF(M12="押一",J8/12*M13,IF(M12="押二",J8/12*2*M13,IF(M12="押三",J8/12*3*M13,J13*M13))),0)</f>
        <v>0</v>
      </c>
      <c r="K12" s="2323" t="s">
        <v>2898</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180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单利计息。建造成本、管理费用、销售费用产生的利息。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(建造成本+管理费用)×利率×(建设周期÷2)</v>
      </c>
      <c r="E25" s="756" t="s">
        <v>656</v>
      </c>
      <c r="F25" s="614">
        <f>'数据-取费表'!B20</f>
        <v>1</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5.0000000000000001E-4</v>
      </c>
      <c r="D26" s="2391" t="str">
        <f>IF(F25&lt;=1,"销售费用×利率×(建设周期÷2)","销售费用×((1+利率)^(建设周期÷2)-1)")</f>
        <v>销售费用×利率×(建设周期÷2)</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17" t="s">
        <v>2952</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883"/>
      <c r="J36" s="1934"/>
      <c r="K36" s="1935"/>
      <c r="L36" s="1934"/>
      <c r="M36" s="1934"/>
    </row>
    <row r="37" spans="1:18" ht="18" customHeight="1">
      <c r="A37" s="786"/>
      <c r="B37" s="765"/>
      <c r="C37" s="69"/>
      <c r="D37" s="787"/>
      <c r="E37" s="756" t="s">
        <v>652</v>
      </c>
      <c r="F37" s="757">
        <f ca="1">INDIRECT("'数据-取费表'!r"&amp;$G$1)</f>
        <v>0</v>
      </c>
      <c r="G37" s="1917"/>
      <c r="H37" s="1920"/>
      <c r="I37" s="3883"/>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2888</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2891</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29.25" thickBot="1">
      <c r="A54" s="1950"/>
      <c r="I54" s="2771" t="s">
        <v>2902</v>
      </c>
      <c r="J54" s="2824">
        <f ca="1">IF(M48="住宅",MAX(J52,L49-'数据-取费表'!B20),MIN(J52,L49-'数据-取费表'!B20))</f>
        <v>-1</v>
      </c>
      <c r="K54" s="3884"/>
      <c r="L54" s="3885"/>
      <c r="O54" s="2227" t="s">
        <v>2350</v>
      </c>
      <c r="P54" s="2225" t="s">
        <v>2351</v>
      </c>
      <c r="Q54" s="2226">
        <f ca="1">J54</f>
        <v>-1</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5"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3.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29.2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29.2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29.2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5.75"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20.25" thickBot="1">
      <c r="A62" s="1950"/>
      <c r="B62" s="1951"/>
      <c r="C62" s="1951"/>
      <c r="K62" s="1940"/>
      <c r="O62" s="2227" t="s">
        <v>2348</v>
      </c>
      <c r="P62" s="2225" t="s">
        <v>2356</v>
      </c>
      <c r="Q62" s="2226">
        <f ca="1">L59</f>
        <v>0</v>
      </c>
      <c r="R62" s="2229" t="s">
        <v>2357</v>
      </c>
    </row>
    <row r="63" spans="1:18" s="1914" customFormat="1" ht="20.25" thickBot="1">
      <c r="A63" s="1950"/>
      <c r="B63" s="1951"/>
      <c r="C63" s="1951"/>
      <c r="I63" s="2790" t="s">
        <v>2329</v>
      </c>
      <c r="J63" s="2791" t="s">
        <v>2330</v>
      </c>
      <c r="K63" s="2791" t="s">
        <v>2331</v>
      </c>
      <c r="L63" s="2791" t="s">
        <v>2312</v>
      </c>
      <c r="M63" s="2792" t="s">
        <v>2871</v>
      </c>
      <c r="O63" s="2227" t="s">
        <v>2350</v>
      </c>
      <c r="P63" s="2225" t="s">
        <v>2358</v>
      </c>
      <c r="Q63" s="2226">
        <f ca="1">L60</f>
        <v>0</v>
      </c>
      <c r="R63" s="2229" t="s">
        <v>2359</v>
      </c>
    </row>
    <row r="64" spans="1:18" s="1914" customFormat="1" ht="15.75"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5" thickBot="1">
      <c r="A65" s="1950"/>
      <c r="B65" s="1951"/>
      <c r="C65" s="1951"/>
      <c r="I65" s="2790" t="s">
        <v>2333</v>
      </c>
      <c r="J65" s="2791">
        <v>50</v>
      </c>
      <c r="K65" s="2791">
        <v>35</v>
      </c>
      <c r="L65" s="2791">
        <v>60</v>
      </c>
      <c r="M65" s="817">
        <v>0</v>
      </c>
      <c r="O65" s="2230" t="s">
        <v>2377</v>
      </c>
      <c r="P65" s="1501"/>
      <c r="Q65" s="1509"/>
      <c r="R65" s="1501"/>
    </row>
    <row r="66" spans="1:18" s="1914" customFormat="1" ht="15.75"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5.75" thickBot="1">
      <c r="A67" s="1950"/>
      <c r="B67" s="1951"/>
      <c r="C67" s="1951"/>
      <c r="K67" s="1940"/>
      <c r="O67" s="2224" t="s">
        <v>2341</v>
      </c>
      <c r="P67" s="2225" t="s">
        <v>2367</v>
      </c>
      <c r="Q67" s="2226">
        <f ca="1">C41+J31</f>
        <v>0</v>
      </c>
      <c r="R67" s="2225" t="s">
        <v>2342</v>
      </c>
    </row>
    <row r="68" spans="1:18" s="1914" customFormat="1" ht="20.25" thickBot="1">
      <c r="A68" s="1950"/>
      <c r="B68" s="1951"/>
      <c r="C68" s="1951"/>
      <c r="K68" s="1940"/>
      <c r="O68" s="2224" t="s">
        <v>2343</v>
      </c>
      <c r="P68" s="2225" t="s">
        <v>2374</v>
      </c>
      <c r="Q68" s="2226" t="e">
        <f ca="1">L61</f>
        <v>#DIV/0!</v>
      </c>
      <c r="R68" s="2229" t="s">
        <v>2376</v>
      </c>
    </row>
    <row r="69" spans="1:18" s="1914" customFormat="1" ht="21.75" thickBot="1">
      <c r="A69" s="1950"/>
      <c r="B69" s="1951"/>
      <c r="C69" s="1951"/>
      <c r="K69" s="1940"/>
      <c r="O69" s="2227" t="s">
        <v>2345</v>
      </c>
      <c r="P69" s="2225" t="s">
        <v>2375</v>
      </c>
      <c r="Q69" s="2231">
        <f ca="1">L52</f>
        <v>0</v>
      </c>
      <c r="R69" s="2232" t="s">
        <v>2378</v>
      </c>
    </row>
    <row r="70" spans="1:18" s="1914" customFormat="1" ht="20.25" thickBot="1">
      <c r="A70" s="1950"/>
      <c r="B70" s="1951"/>
      <c r="C70" s="1951"/>
      <c r="K70" s="1940"/>
      <c r="O70" s="2227" t="s">
        <v>2346</v>
      </c>
      <c r="P70" s="2233" t="s">
        <v>2360</v>
      </c>
      <c r="Q70" s="2226">
        <f ca="1">ROUND(Q71-Q72*Q73,0)</f>
        <v>0</v>
      </c>
      <c r="R70" s="2229"/>
    </row>
    <row r="71" spans="1:18" s="1914" customFormat="1" ht="15.75" thickBot="1">
      <c r="A71" s="1950"/>
      <c r="B71" s="1951"/>
      <c r="C71" s="1951"/>
      <c r="K71" s="1940"/>
      <c r="O71" s="2227" t="s">
        <v>2361</v>
      </c>
      <c r="P71" s="2233" t="s">
        <v>2362</v>
      </c>
      <c r="Q71" s="2226">
        <f ca="1">C42</f>
        <v>0</v>
      </c>
      <c r="R71" s="2225" t="s">
        <v>2342</v>
      </c>
    </row>
    <row r="72" spans="1:18" s="1914" customFormat="1" ht="15.75" thickBot="1">
      <c r="A72" s="1950"/>
      <c r="B72" s="1951"/>
      <c r="C72" s="1951"/>
      <c r="K72" s="1940"/>
      <c r="O72" s="2227" t="s">
        <v>2363</v>
      </c>
      <c r="P72" s="2233" t="s">
        <v>2364</v>
      </c>
      <c r="Q72" s="2226">
        <f ca="1">C15</f>
        <v>0</v>
      </c>
      <c r="R72" s="2225" t="s">
        <v>2342</v>
      </c>
    </row>
    <row r="73" spans="1:18" s="1914" customFormat="1" ht="15.75" thickBot="1">
      <c r="A73" s="1950"/>
      <c r="B73" s="1951"/>
      <c r="C73" s="1951"/>
      <c r="K73" s="1940"/>
      <c r="O73" s="2227" t="s">
        <v>2365</v>
      </c>
      <c r="P73" s="2233" t="s">
        <v>2366</v>
      </c>
      <c r="Q73" s="2228">
        <f ca="1">F43</f>
        <v>0</v>
      </c>
      <c r="R73" s="2229"/>
    </row>
    <row r="74" spans="1:18" s="1914" customFormat="1" ht="15.75" thickBot="1">
      <c r="A74" s="1950"/>
      <c r="B74" s="1951"/>
      <c r="C74" s="1951"/>
      <c r="K74" s="1940"/>
      <c r="O74" s="2227" t="s">
        <v>2348</v>
      </c>
      <c r="P74" s="2225" t="s">
        <v>2355</v>
      </c>
      <c r="Q74" s="2228">
        <f>L53</f>
        <v>0</v>
      </c>
      <c r="R74" s="2229"/>
    </row>
    <row r="75" spans="1:18" s="1914" customFormat="1" ht="20.25" thickBot="1">
      <c r="A75" s="1950"/>
      <c r="B75" s="1951"/>
      <c r="C75" s="1951"/>
      <c r="K75" s="1940"/>
      <c r="O75" s="2227" t="s">
        <v>2350</v>
      </c>
      <c r="P75" s="2225" t="s">
        <v>2356</v>
      </c>
      <c r="Q75" s="2226">
        <f ca="1">L59</f>
        <v>0</v>
      </c>
      <c r="R75" s="2229" t="s">
        <v>2357</v>
      </c>
    </row>
    <row r="76" spans="1:18" s="1914" customFormat="1" ht="20.25" thickBot="1">
      <c r="A76" s="1950"/>
      <c r="B76" s="1951"/>
      <c r="C76" s="1951"/>
      <c r="K76" s="1940"/>
      <c r="O76" s="2227" t="s">
        <v>2379</v>
      </c>
      <c r="P76" s="2225" t="s">
        <v>2358</v>
      </c>
      <c r="Q76" s="2226">
        <f ca="1">L60</f>
        <v>0</v>
      </c>
      <c r="R76" s="2229" t="s">
        <v>2359</v>
      </c>
    </row>
    <row r="77" spans="1:18" s="1914" customFormat="1" ht="15.75"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W41" sqref="W41"/>
    </sheetView>
  </sheetViews>
  <sheetFormatPr defaultRowHeight="13.15" customHeight="1"/>
  <cols>
    <col min="1" max="1" width="9.5" style="3276" customWidth="1"/>
    <col min="2" max="2" width="8.875" style="3276"/>
    <col min="3" max="5" width="12.875" style="3276" customWidth="1"/>
    <col min="6" max="6" width="47.5" style="3276" customWidth="1"/>
    <col min="7" max="7" width="13" style="3433" customWidth="1"/>
    <col min="8" max="8" width="8.875" style="3270"/>
    <col min="9" max="9" width="8.875" style="3271"/>
    <col min="10" max="10" width="5.75" style="3434" customWidth="1"/>
    <col min="11" max="11" width="11.75" style="3434" customWidth="1"/>
    <col min="12" max="13" width="10.75" style="3434" customWidth="1"/>
    <col min="14" max="14" width="10" style="3434" customWidth="1"/>
    <col min="15" max="16" width="10.5" style="3434" bestFit="1" customWidth="1"/>
    <col min="17" max="17" width="10" style="3434" customWidth="1"/>
    <col min="18" max="18" width="10.125" style="3434" customWidth="1"/>
    <col min="19" max="19" width="10" style="3434" customWidth="1"/>
    <col min="20" max="20" width="26.125" style="3434" customWidth="1"/>
    <col min="21" max="21" width="8.875" style="3434"/>
    <col min="22" max="22" width="8.875" style="3271"/>
    <col min="23" max="256" width="8.875" style="3276"/>
    <col min="257" max="257" width="9.5" style="3276" customWidth="1"/>
    <col min="258" max="258" width="8.875" style="3276"/>
    <col min="259" max="261" width="12.875" style="3276" customWidth="1"/>
    <col min="262" max="262" width="47.5" style="3276" customWidth="1"/>
    <col min="263" max="263" width="13" style="3276" customWidth="1"/>
    <col min="264" max="265" width="8.875" style="3276"/>
    <col min="266" max="266" width="5.75" style="3276" customWidth="1"/>
    <col min="267" max="267" width="11.75" style="3276" customWidth="1"/>
    <col min="268" max="269" width="10.75" style="3276" customWidth="1"/>
    <col min="270" max="270" width="10" style="3276" customWidth="1"/>
    <col min="271" max="272" width="10.5" style="3276" bestFit="1" customWidth="1"/>
    <col min="273" max="273" width="10" style="3276" customWidth="1"/>
    <col min="274" max="274" width="10.125" style="3276" customWidth="1"/>
    <col min="275" max="275" width="10" style="3276" customWidth="1"/>
    <col min="276" max="276" width="26.125" style="3276" customWidth="1"/>
    <col min="277" max="512" width="8.875" style="3276"/>
    <col min="513" max="513" width="9.5" style="3276" customWidth="1"/>
    <col min="514" max="514" width="8.875" style="3276"/>
    <col min="515" max="517" width="12.875" style="3276" customWidth="1"/>
    <col min="518" max="518" width="47.5" style="3276" customWidth="1"/>
    <col min="519" max="519" width="13" style="3276" customWidth="1"/>
    <col min="520" max="521" width="8.875" style="3276"/>
    <col min="522" max="522" width="5.75" style="3276" customWidth="1"/>
    <col min="523" max="523" width="11.75" style="3276" customWidth="1"/>
    <col min="524" max="525" width="10.75" style="3276" customWidth="1"/>
    <col min="526" max="526" width="10" style="3276" customWidth="1"/>
    <col min="527" max="528" width="10.5" style="3276" bestFit="1" customWidth="1"/>
    <col min="529" max="529" width="10" style="3276" customWidth="1"/>
    <col min="530" max="530" width="10.125" style="3276" customWidth="1"/>
    <col min="531" max="531" width="10" style="3276" customWidth="1"/>
    <col min="532" max="532" width="26.125" style="3276" customWidth="1"/>
    <col min="533" max="768" width="8.875" style="3276"/>
    <col min="769" max="769" width="9.5" style="3276" customWidth="1"/>
    <col min="770" max="770" width="8.875" style="3276"/>
    <col min="771" max="773" width="12.875" style="3276" customWidth="1"/>
    <col min="774" max="774" width="47.5" style="3276" customWidth="1"/>
    <col min="775" max="775" width="13" style="3276" customWidth="1"/>
    <col min="776" max="777" width="8.875" style="3276"/>
    <col min="778" max="778" width="5.75" style="3276" customWidth="1"/>
    <col min="779" max="779" width="11.75" style="3276" customWidth="1"/>
    <col min="780" max="781" width="10.75" style="3276" customWidth="1"/>
    <col min="782" max="782" width="10" style="3276" customWidth="1"/>
    <col min="783" max="784" width="10.5" style="3276" bestFit="1" customWidth="1"/>
    <col min="785" max="785" width="10" style="3276" customWidth="1"/>
    <col min="786" max="786" width="10.125" style="3276" customWidth="1"/>
    <col min="787" max="787" width="10" style="3276" customWidth="1"/>
    <col min="788" max="788" width="26.125" style="3276" customWidth="1"/>
    <col min="789" max="1024" width="8.875" style="3276"/>
    <col min="1025" max="1025" width="9.5" style="3276" customWidth="1"/>
    <col min="1026" max="1026" width="8.875" style="3276"/>
    <col min="1027" max="1029" width="12.875" style="3276" customWidth="1"/>
    <col min="1030" max="1030" width="47.5" style="3276" customWidth="1"/>
    <col min="1031" max="1031" width="13" style="3276" customWidth="1"/>
    <col min="1032" max="1033" width="8.875" style="3276"/>
    <col min="1034" max="1034" width="5.75" style="3276" customWidth="1"/>
    <col min="1035" max="1035" width="11.75" style="3276" customWidth="1"/>
    <col min="1036" max="1037" width="10.75" style="3276" customWidth="1"/>
    <col min="1038" max="1038" width="10" style="3276" customWidth="1"/>
    <col min="1039" max="1040" width="10.5" style="3276" bestFit="1" customWidth="1"/>
    <col min="1041" max="1041" width="10" style="3276" customWidth="1"/>
    <col min="1042" max="1042" width="10.125" style="3276" customWidth="1"/>
    <col min="1043" max="1043" width="10" style="3276" customWidth="1"/>
    <col min="1044" max="1044" width="26.125" style="3276" customWidth="1"/>
    <col min="1045" max="1280" width="8.875" style="3276"/>
    <col min="1281" max="1281" width="9.5" style="3276" customWidth="1"/>
    <col min="1282" max="1282" width="8.875" style="3276"/>
    <col min="1283" max="1285" width="12.875" style="3276" customWidth="1"/>
    <col min="1286" max="1286" width="47.5" style="3276" customWidth="1"/>
    <col min="1287" max="1287" width="13" style="3276" customWidth="1"/>
    <col min="1288" max="1289" width="8.875" style="3276"/>
    <col min="1290" max="1290" width="5.75" style="3276" customWidth="1"/>
    <col min="1291" max="1291" width="11.75" style="3276" customWidth="1"/>
    <col min="1292" max="1293" width="10.75" style="3276" customWidth="1"/>
    <col min="1294" max="1294" width="10" style="3276" customWidth="1"/>
    <col min="1295" max="1296" width="10.5" style="3276" bestFit="1" customWidth="1"/>
    <col min="1297" max="1297" width="10" style="3276" customWidth="1"/>
    <col min="1298" max="1298" width="10.125" style="3276" customWidth="1"/>
    <col min="1299" max="1299" width="10" style="3276" customWidth="1"/>
    <col min="1300" max="1300" width="26.125" style="3276" customWidth="1"/>
    <col min="1301" max="1536" width="8.875" style="3276"/>
    <col min="1537" max="1537" width="9.5" style="3276" customWidth="1"/>
    <col min="1538" max="1538" width="8.875" style="3276"/>
    <col min="1539" max="1541" width="12.875" style="3276" customWidth="1"/>
    <col min="1542" max="1542" width="47.5" style="3276" customWidth="1"/>
    <col min="1543" max="1543" width="13" style="3276" customWidth="1"/>
    <col min="1544" max="1545" width="8.875" style="3276"/>
    <col min="1546" max="1546" width="5.75" style="3276" customWidth="1"/>
    <col min="1547" max="1547" width="11.75" style="3276" customWidth="1"/>
    <col min="1548" max="1549" width="10.75" style="3276" customWidth="1"/>
    <col min="1550" max="1550" width="10" style="3276" customWidth="1"/>
    <col min="1551" max="1552" width="10.5" style="3276" bestFit="1" customWidth="1"/>
    <col min="1553" max="1553" width="10" style="3276" customWidth="1"/>
    <col min="1554" max="1554" width="10.125" style="3276" customWidth="1"/>
    <col min="1555" max="1555" width="10" style="3276" customWidth="1"/>
    <col min="1556" max="1556" width="26.125" style="3276" customWidth="1"/>
    <col min="1557" max="1792" width="8.875" style="3276"/>
    <col min="1793" max="1793" width="9.5" style="3276" customWidth="1"/>
    <col min="1794" max="1794" width="8.875" style="3276"/>
    <col min="1795" max="1797" width="12.875" style="3276" customWidth="1"/>
    <col min="1798" max="1798" width="47.5" style="3276" customWidth="1"/>
    <col min="1799" max="1799" width="13" style="3276" customWidth="1"/>
    <col min="1800" max="1801" width="8.875" style="3276"/>
    <col min="1802" max="1802" width="5.75" style="3276" customWidth="1"/>
    <col min="1803" max="1803" width="11.75" style="3276" customWidth="1"/>
    <col min="1804" max="1805" width="10.75" style="3276" customWidth="1"/>
    <col min="1806" max="1806" width="10" style="3276" customWidth="1"/>
    <col min="1807" max="1808" width="10.5" style="3276" bestFit="1" customWidth="1"/>
    <col min="1809" max="1809" width="10" style="3276" customWidth="1"/>
    <col min="1810" max="1810" width="10.125" style="3276" customWidth="1"/>
    <col min="1811" max="1811" width="10" style="3276" customWidth="1"/>
    <col min="1812" max="1812" width="26.125" style="3276" customWidth="1"/>
    <col min="1813" max="2048" width="8.875" style="3276"/>
    <col min="2049" max="2049" width="9.5" style="3276" customWidth="1"/>
    <col min="2050" max="2050" width="8.875" style="3276"/>
    <col min="2051" max="2053" width="12.875" style="3276" customWidth="1"/>
    <col min="2054" max="2054" width="47.5" style="3276" customWidth="1"/>
    <col min="2055" max="2055" width="13" style="3276" customWidth="1"/>
    <col min="2056" max="2057" width="8.875" style="3276"/>
    <col min="2058" max="2058" width="5.75" style="3276" customWidth="1"/>
    <col min="2059" max="2059" width="11.75" style="3276" customWidth="1"/>
    <col min="2060" max="2061" width="10.75" style="3276" customWidth="1"/>
    <col min="2062" max="2062" width="10" style="3276" customWidth="1"/>
    <col min="2063" max="2064" width="10.5" style="3276" bestFit="1" customWidth="1"/>
    <col min="2065" max="2065" width="10" style="3276" customWidth="1"/>
    <col min="2066" max="2066" width="10.125" style="3276" customWidth="1"/>
    <col min="2067" max="2067" width="10" style="3276" customWidth="1"/>
    <col min="2068" max="2068" width="26.125" style="3276" customWidth="1"/>
    <col min="2069" max="2304" width="8.875" style="3276"/>
    <col min="2305" max="2305" width="9.5" style="3276" customWidth="1"/>
    <col min="2306" max="2306" width="8.875" style="3276"/>
    <col min="2307" max="2309" width="12.875" style="3276" customWidth="1"/>
    <col min="2310" max="2310" width="47.5" style="3276" customWidth="1"/>
    <col min="2311" max="2311" width="13" style="3276" customWidth="1"/>
    <col min="2312" max="2313" width="8.875" style="3276"/>
    <col min="2314" max="2314" width="5.75" style="3276" customWidth="1"/>
    <col min="2315" max="2315" width="11.75" style="3276" customWidth="1"/>
    <col min="2316" max="2317" width="10.75" style="3276" customWidth="1"/>
    <col min="2318" max="2318" width="10" style="3276" customWidth="1"/>
    <col min="2319" max="2320" width="10.5" style="3276" bestFit="1" customWidth="1"/>
    <col min="2321" max="2321" width="10" style="3276" customWidth="1"/>
    <col min="2322" max="2322" width="10.125" style="3276" customWidth="1"/>
    <col min="2323" max="2323" width="10" style="3276" customWidth="1"/>
    <col min="2324" max="2324" width="26.125" style="3276" customWidth="1"/>
    <col min="2325" max="2560" width="8.875" style="3276"/>
    <col min="2561" max="2561" width="9.5" style="3276" customWidth="1"/>
    <col min="2562" max="2562" width="8.875" style="3276"/>
    <col min="2563" max="2565" width="12.875" style="3276" customWidth="1"/>
    <col min="2566" max="2566" width="47.5" style="3276" customWidth="1"/>
    <col min="2567" max="2567" width="13" style="3276" customWidth="1"/>
    <col min="2568" max="2569" width="8.875" style="3276"/>
    <col min="2570" max="2570" width="5.75" style="3276" customWidth="1"/>
    <col min="2571" max="2571" width="11.75" style="3276" customWidth="1"/>
    <col min="2572" max="2573" width="10.75" style="3276" customWidth="1"/>
    <col min="2574" max="2574" width="10" style="3276" customWidth="1"/>
    <col min="2575" max="2576" width="10.5" style="3276" bestFit="1" customWidth="1"/>
    <col min="2577" max="2577" width="10" style="3276" customWidth="1"/>
    <col min="2578" max="2578" width="10.125" style="3276" customWidth="1"/>
    <col min="2579" max="2579" width="10" style="3276" customWidth="1"/>
    <col min="2580" max="2580" width="26.125" style="3276" customWidth="1"/>
    <col min="2581" max="2816" width="8.875" style="3276"/>
    <col min="2817" max="2817" width="9.5" style="3276" customWidth="1"/>
    <col min="2818" max="2818" width="8.875" style="3276"/>
    <col min="2819" max="2821" width="12.875" style="3276" customWidth="1"/>
    <col min="2822" max="2822" width="47.5" style="3276" customWidth="1"/>
    <col min="2823" max="2823" width="13" style="3276" customWidth="1"/>
    <col min="2824" max="2825" width="8.875" style="3276"/>
    <col min="2826" max="2826" width="5.75" style="3276" customWidth="1"/>
    <col min="2827" max="2827" width="11.75" style="3276" customWidth="1"/>
    <col min="2828" max="2829" width="10.75" style="3276" customWidth="1"/>
    <col min="2830" max="2830" width="10" style="3276" customWidth="1"/>
    <col min="2831" max="2832" width="10.5" style="3276" bestFit="1" customWidth="1"/>
    <col min="2833" max="2833" width="10" style="3276" customWidth="1"/>
    <col min="2834" max="2834" width="10.125" style="3276" customWidth="1"/>
    <col min="2835" max="2835" width="10" style="3276" customWidth="1"/>
    <col min="2836" max="2836" width="26.125" style="3276" customWidth="1"/>
    <col min="2837" max="3072" width="8.875" style="3276"/>
    <col min="3073" max="3073" width="9.5" style="3276" customWidth="1"/>
    <col min="3074" max="3074" width="8.875" style="3276"/>
    <col min="3075" max="3077" width="12.875" style="3276" customWidth="1"/>
    <col min="3078" max="3078" width="47.5" style="3276" customWidth="1"/>
    <col min="3079" max="3079" width="13" style="3276" customWidth="1"/>
    <col min="3080" max="3081" width="8.875" style="3276"/>
    <col min="3082" max="3082" width="5.75" style="3276" customWidth="1"/>
    <col min="3083" max="3083" width="11.75" style="3276" customWidth="1"/>
    <col min="3084" max="3085" width="10.75" style="3276" customWidth="1"/>
    <col min="3086" max="3086" width="10" style="3276" customWidth="1"/>
    <col min="3087" max="3088" width="10.5" style="3276" bestFit="1" customWidth="1"/>
    <col min="3089" max="3089" width="10" style="3276" customWidth="1"/>
    <col min="3090" max="3090" width="10.125" style="3276" customWidth="1"/>
    <col min="3091" max="3091" width="10" style="3276" customWidth="1"/>
    <col min="3092" max="3092" width="26.125" style="3276" customWidth="1"/>
    <col min="3093" max="3328" width="8.875" style="3276"/>
    <col min="3329" max="3329" width="9.5" style="3276" customWidth="1"/>
    <col min="3330" max="3330" width="8.875" style="3276"/>
    <col min="3331" max="3333" width="12.875" style="3276" customWidth="1"/>
    <col min="3334" max="3334" width="47.5" style="3276" customWidth="1"/>
    <col min="3335" max="3335" width="13" style="3276" customWidth="1"/>
    <col min="3336" max="3337" width="8.875" style="3276"/>
    <col min="3338" max="3338" width="5.75" style="3276" customWidth="1"/>
    <col min="3339" max="3339" width="11.75" style="3276" customWidth="1"/>
    <col min="3340" max="3341" width="10.75" style="3276" customWidth="1"/>
    <col min="3342" max="3342" width="10" style="3276" customWidth="1"/>
    <col min="3343" max="3344" width="10.5" style="3276" bestFit="1" customWidth="1"/>
    <col min="3345" max="3345" width="10" style="3276" customWidth="1"/>
    <col min="3346" max="3346" width="10.125" style="3276" customWidth="1"/>
    <col min="3347" max="3347" width="10" style="3276" customWidth="1"/>
    <col min="3348" max="3348" width="26.125" style="3276" customWidth="1"/>
    <col min="3349" max="3584" width="8.875" style="3276"/>
    <col min="3585" max="3585" width="9.5" style="3276" customWidth="1"/>
    <col min="3586" max="3586" width="8.875" style="3276"/>
    <col min="3587" max="3589" width="12.875" style="3276" customWidth="1"/>
    <col min="3590" max="3590" width="47.5" style="3276" customWidth="1"/>
    <col min="3591" max="3591" width="13" style="3276" customWidth="1"/>
    <col min="3592" max="3593" width="8.875" style="3276"/>
    <col min="3594" max="3594" width="5.75" style="3276" customWidth="1"/>
    <col min="3595" max="3595" width="11.75" style="3276" customWidth="1"/>
    <col min="3596" max="3597" width="10.75" style="3276" customWidth="1"/>
    <col min="3598" max="3598" width="10" style="3276" customWidth="1"/>
    <col min="3599" max="3600" width="10.5" style="3276" bestFit="1" customWidth="1"/>
    <col min="3601" max="3601" width="10" style="3276" customWidth="1"/>
    <col min="3602" max="3602" width="10.125" style="3276" customWidth="1"/>
    <col min="3603" max="3603" width="10" style="3276" customWidth="1"/>
    <col min="3604" max="3604" width="26.125" style="3276" customWidth="1"/>
    <col min="3605" max="3840" width="8.875" style="3276"/>
    <col min="3841" max="3841" width="9.5" style="3276" customWidth="1"/>
    <col min="3842" max="3842" width="8.875" style="3276"/>
    <col min="3843" max="3845" width="12.875" style="3276" customWidth="1"/>
    <col min="3846" max="3846" width="47.5" style="3276" customWidth="1"/>
    <col min="3847" max="3847" width="13" style="3276" customWidth="1"/>
    <col min="3848" max="3849" width="8.875" style="3276"/>
    <col min="3850" max="3850" width="5.75" style="3276" customWidth="1"/>
    <col min="3851" max="3851" width="11.75" style="3276" customWidth="1"/>
    <col min="3852" max="3853" width="10.75" style="3276" customWidth="1"/>
    <col min="3854" max="3854" width="10" style="3276" customWidth="1"/>
    <col min="3855" max="3856" width="10.5" style="3276" bestFit="1" customWidth="1"/>
    <col min="3857" max="3857" width="10" style="3276" customWidth="1"/>
    <col min="3858" max="3858" width="10.125" style="3276" customWidth="1"/>
    <col min="3859" max="3859" width="10" style="3276" customWidth="1"/>
    <col min="3860" max="3860" width="26.125" style="3276" customWidth="1"/>
    <col min="3861" max="4096" width="8.875" style="3276"/>
    <col min="4097" max="4097" width="9.5" style="3276" customWidth="1"/>
    <col min="4098" max="4098" width="8.875" style="3276"/>
    <col min="4099" max="4101" width="12.875" style="3276" customWidth="1"/>
    <col min="4102" max="4102" width="47.5" style="3276" customWidth="1"/>
    <col min="4103" max="4103" width="13" style="3276" customWidth="1"/>
    <col min="4104" max="4105" width="8.875" style="3276"/>
    <col min="4106" max="4106" width="5.75" style="3276" customWidth="1"/>
    <col min="4107" max="4107" width="11.75" style="3276" customWidth="1"/>
    <col min="4108" max="4109" width="10.75" style="3276" customWidth="1"/>
    <col min="4110" max="4110" width="10" style="3276" customWidth="1"/>
    <col min="4111" max="4112" width="10.5" style="3276" bestFit="1" customWidth="1"/>
    <col min="4113" max="4113" width="10" style="3276" customWidth="1"/>
    <col min="4114" max="4114" width="10.125" style="3276" customWidth="1"/>
    <col min="4115" max="4115" width="10" style="3276" customWidth="1"/>
    <col min="4116" max="4116" width="26.125" style="3276" customWidth="1"/>
    <col min="4117" max="4352" width="8.875" style="3276"/>
    <col min="4353" max="4353" width="9.5" style="3276" customWidth="1"/>
    <col min="4354" max="4354" width="8.875" style="3276"/>
    <col min="4355" max="4357" width="12.875" style="3276" customWidth="1"/>
    <col min="4358" max="4358" width="47.5" style="3276" customWidth="1"/>
    <col min="4359" max="4359" width="13" style="3276" customWidth="1"/>
    <col min="4360" max="4361" width="8.875" style="3276"/>
    <col min="4362" max="4362" width="5.75" style="3276" customWidth="1"/>
    <col min="4363" max="4363" width="11.75" style="3276" customWidth="1"/>
    <col min="4364" max="4365" width="10.75" style="3276" customWidth="1"/>
    <col min="4366" max="4366" width="10" style="3276" customWidth="1"/>
    <col min="4367" max="4368" width="10.5" style="3276" bestFit="1" customWidth="1"/>
    <col min="4369" max="4369" width="10" style="3276" customWidth="1"/>
    <col min="4370" max="4370" width="10.125" style="3276" customWidth="1"/>
    <col min="4371" max="4371" width="10" style="3276" customWidth="1"/>
    <col min="4372" max="4372" width="26.125" style="3276" customWidth="1"/>
    <col min="4373" max="4608" width="8.875" style="3276"/>
    <col min="4609" max="4609" width="9.5" style="3276" customWidth="1"/>
    <col min="4610" max="4610" width="8.875" style="3276"/>
    <col min="4611" max="4613" width="12.875" style="3276" customWidth="1"/>
    <col min="4614" max="4614" width="47.5" style="3276" customWidth="1"/>
    <col min="4615" max="4615" width="13" style="3276" customWidth="1"/>
    <col min="4616" max="4617" width="8.875" style="3276"/>
    <col min="4618" max="4618" width="5.75" style="3276" customWidth="1"/>
    <col min="4619" max="4619" width="11.75" style="3276" customWidth="1"/>
    <col min="4620" max="4621" width="10.75" style="3276" customWidth="1"/>
    <col min="4622" max="4622" width="10" style="3276" customWidth="1"/>
    <col min="4623" max="4624" width="10.5" style="3276" bestFit="1" customWidth="1"/>
    <col min="4625" max="4625" width="10" style="3276" customWidth="1"/>
    <col min="4626" max="4626" width="10.125" style="3276" customWidth="1"/>
    <col min="4627" max="4627" width="10" style="3276" customWidth="1"/>
    <col min="4628" max="4628" width="26.125" style="3276" customWidth="1"/>
    <col min="4629" max="4864" width="8.875" style="3276"/>
    <col min="4865" max="4865" width="9.5" style="3276" customWidth="1"/>
    <col min="4866" max="4866" width="8.875" style="3276"/>
    <col min="4867" max="4869" width="12.875" style="3276" customWidth="1"/>
    <col min="4870" max="4870" width="47.5" style="3276" customWidth="1"/>
    <col min="4871" max="4871" width="13" style="3276" customWidth="1"/>
    <col min="4872" max="4873" width="8.875" style="3276"/>
    <col min="4874" max="4874" width="5.75" style="3276" customWidth="1"/>
    <col min="4875" max="4875" width="11.75" style="3276" customWidth="1"/>
    <col min="4876" max="4877" width="10.75" style="3276" customWidth="1"/>
    <col min="4878" max="4878" width="10" style="3276" customWidth="1"/>
    <col min="4879" max="4880" width="10.5" style="3276" bestFit="1" customWidth="1"/>
    <col min="4881" max="4881" width="10" style="3276" customWidth="1"/>
    <col min="4882" max="4882" width="10.125" style="3276" customWidth="1"/>
    <col min="4883" max="4883" width="10" style="3276" customWidth="1"/>
    <col min="4884" max="4884" width="26.125" style="3276" customWidth="1"/>
    <col min="4885" max="5120" width="8.875" style="3276"/>
    <col min="5121" max="5121" width="9.5" style="3276" customWidth="1"/>
    <col min="5122" max="5122" width="8.875" style="3276"/>
    <col min="5123" max="5125" width="12.875" style="3276" customWidth="1"/>
    <col min="5126" max="5126" width="47.5" style="3276" customWidth="1"/>
    <col min="5127" max="5127" width="13" style="3276" customWidth="1"/>
    <col min="5128" max="5129" width="8.875" style="3276"/>
    <col min="5130" max="5130" width="5.75" style="3276" customWidth="1"/>
    <col min="5131" max="5131" width="11.75" style="3276" customWidth="1"/>
    <col min="5132" max="5133" width="10.75" style="3276" customWidth="1"/>
    <col min="5134" max="5134" width="10" style="3276" customWidth="1"/>
    <col min="5135" max="5136" width="10.5" style="3276" bestFit="1" customWidth="1"/>
    <col min="5137" max="5137" width="10" style="3276" customWidth="1"/>
    <col min="5138" max="5138" width="10.125" style="3276" customWidth="1"/>
    <col min="5139" max="5139" width="10" style="3276" customWidth="1"/>
    <col min="5140" max="5140" width="26.125" style="3276" customWidth="1"/>
    <col min="5141" max="5376" width="8.875" style="3276"/>
    <col min="5377" max="5377" width="9.5" style="3276" customWidth="1"/>
    <col min="5378" max="5378" width="8.875" style="3276"/>
    <col min="5379" max="5381" width="12.875" style="3276" customWidth="1"/>
    <col min="5382" max="5382" width="47.5" style="3276" customWidth="1"/>
    <col min="5383" max="5383" width="13" style="3276" customWidth="1"/>
    <col min="5384" max="5385" width="8.875" style="3276"/>
    <col min="5386" max="5386" width="5.75" style="3276" customWidth="1"/>
    <col min="5387" max="5387" width="11.75" style="3276" customWidth="1"/>
    <col min="5388" max="5389" width="10.75" style="3276" customWidth="1"/>
    <col min="5390" max="5390" width="10" style="3276" customWidth="1"/>
    <col min="5391" max="5392" width="10.5" style="3276" bestFit="1" customWidth="1"/>
    <col min="5393" max="5393" width="10" style="3276" customWidth="1"/>
    <col min="5394" max="5394" width="10.125" style="3276" customWidth="1"/>
    <col min="5395" max="5395" width="10" style="3276" customWidth="1"/>
    <col min="5396" max="5396" width="26.125" style="3276" customWidth="1"/>
    <col min="5397" max="5632" width="8.875" style="3276"/>
    <col min="5633" max="5633" width="9.5" style="3276" customWidth="1"/>
    <col min="5634" max="5634" width="8.875" style="3276"/>
    <col min="5635" max="5637" width="12.875" style="3276" customWidth="1"/>
    <col min="5638" max="5638" width="47.5" style="3276" customWidth="1"/>
    <col min="5639" max="5639" width="13" style="3276" customWidth="1"/>
    <col min="5640" max="5641" width="8.875" style="3276"/>
    <col min="5642" max="5642" width="5.75" style="3276" customWidth="1"/>
    <col min="5643" max="5643" width="11.75" style="3276" customWidth="1"/>
    <col min="5644" max="5645" width="10.75" style="3276" customWidth="1"/>
    <col min="5646" max="5646" width="10" style="3276" customWidth="1"/>
    <col min="5647" max="5648" width="10.5" style="3276" bestFit="1" customWidth="1"/>
    <col min="5649" max="5649" width="10" style="3276" customWidth="1"/>
    <col min="5650" max="5650" width="10.125" style="3276" customWidth="1"/>
    <col min="5651" max="5651" width="10" style="3276" customWidth="1"/>
    <col min="5652" max="5652" width="26.125" style="3276" customWidth="1"/>
    <col min="5653" max="5888" width="8.875" style="3276"/>
    <col min="5889" max="5889" width="9.5" style="3276" customWidth="1"/>
    <col min="5890" max="5890" width="8.875" style="3276"/>
    <col min="5891" max="5893" width="12.875" style="3276" customWidth="1"/>
    <col min="5894" max="5894" width="47.5" style="3276" customWidth="1"/>
    <col min="5895" max="5895" width="13" style="3276" customWidth="1"/>
    <col min="5896" max="5897" width="8.875" style="3276"/>
    <col min="5898" max="5898" width="5.75" style="3276" customWidth="1"/>
    <col min="5899" max="5899" width="11.75" style="3276" customWidth="1"/>
    <col min="5900" max="5901" width="10.75" style="3276" customWidth="1"/>
    <col min="5902" max="5902" width="10" style="3276" customWidth="1"/>
    <col min="5903" max="5904" width="10.5" style="3276" bestFit="1" customWidth="1"/>
    <col min="5905" max="5905" width="10" style="3276" customWidth="1"/>
    <col min="5906" max="5906" width="10.125" style="3276" customWidth="1"/>
    <col min="5907" max="5907" width="10" style="3276" customWidth="1"/>
    <col min="5908" max="5908" width="26.125" style="3276" customWidth="1"/>
    <col min="5909" max="6144" width="8.875" style="3276"/>
    <col min="6145" max="6145" width="9.5" style="3276" customWidth="1"/>
    <col min="6146" max="6146" width="8.875" style="3276"/>
    <col min="6147" max="6149" width="12.875" style="3276" customWidth="1"/>
    <col min="6150" max="6150" width="47.5" style="3276" customWidth="1"/>
    <col min="6151" max="6151" width="13" style="3276" customWidth="1"/>
    <col min="6152" max="6153" width="8.875" style="3276"/>
    <col min="6154" max="6154" width="5.75" style="3276" customWidth="1"/>
    <col min="6155" max="6155" width="11.75" style="3276" customWidth="1"/>
    <col min="6156" max="6157" width="10.75" style="3276" customWidth="1"/>
    <col min="6158" max="6158" width="10" style="3276" customWidth="1"/>
    <col min="6159" max="6160" width="10.5" style="3276" bestFit="1" customWidth="1"/>
    <col min="6161" max="6161" width="10" style="3276" customWidth="1"/>
    <col min="6162" max="6162" width="10.125" style="3276" customWidth="1"/>
    <col min="6163" max="6163" width="10" style="3276" customWidth="1"/>
    <col min="6164" max="6164" width="26.125" style="3276" customWidth="1"/>
    <col min="6165" max="6400" width="8.875" style="3276"/>
    <col min="6401" max="6401" width="9.5" style="3276" customWidth="1"/>
    <col min="6402" max="6402" width="8.875" style="3276"/>
    <col min="6403" max="6405" width="12.875" style="3276" customWidth="1"/>
    <col min="6406" max="6406" width="47.5" style="3276" customWidth="1"/>
    <col min="6407" max="6407" width="13" style="3276" customWidth="1"/>
    <col min="6408" max="6409" width="8.875" style="3276"/>
    <col min="6410" max="6410" width="5.75" style="3276" customWidth="1"/>
    <col min="6411" max="6411" width="11.75" style="3276" customWidth="1"/>
    <col min="6412" max="6413" width="10.75" style="3276" customWidth="1"/>
    <col min="6414" max="6414" width="10" style="3276" customWidth="1"/>
    <col min="6415" max="6416" width="10.5" style="3276" bestFit="1" customWidth="1"/>
    <col min="6417" max="6417" width="10" style="3276" customWidth="1"/>
    <col min="6418" max="6418" width="10.125" style="3276" customWidth="1"/>
    <col min="6419" max="6419" width="10" style="3276" customWidth="1"/>
    <col min="6420" max="6420" width="26.125" style="3276" customWidth="1"/>
    <col min="6421" max="6656" width="8.875" style="3276"/>
    <col min="6657" max="6657" width="9.5" style="3276" customWidth="1"/>
    <col min="6658" max="6658" width="8.875" style="3276"/>
    <col min="6659" max="6661" width="12.875" style="3276" customWidth="1"/>
    <col min="6662" max="6662" width="47.5" style="3276" customWidth="1"/>
    <col min="6663" max="6663" width="13" style="3276" customWidth="1"/>
    <col min="6664" max="6665" width="8.875" style="3276"/>
    <col min="6666" max="6666" width="5.75" style="3276" customWidth="1"/>
    <col min="6667" max="6667" width="11.75" style="3276" customWidth="1"/>
    <col min="6668" max="6669" width="10.75" style="3276" customWidth="1"/>
    <col min="6670" max="6670" width="10" style="3276" customWidth="1"/>
    <col min="6671" max="6672" width="10.5" style="3276" bestFit="1" customWidth="1"/>
    <col min="6673" max="6673" width="10" style="3276" customWidth="1"/>
    <col min="6674" max="6674" width="10.125" style="3276" customWidth="1"/>
    <col min="6675" max="6675" width="10" style="3276" customWidth="1"/>
    <col min="6676" max="6676" width="26.125" style="3276" customWidth="1"/>
    <col min="6677" max="6912" width="8.875" style="3276"/>
    <col min="6913" max="6913" width="9.5" style="3276" customWidth="1"/>
    <col min="6914" max="6914" width="8.875" style="3276"/>
    <col min="6915" max="6917" width="12.875" style="3276" customWidth="1"/>
    <col min="6918" max="6918" width="47.5" style="3276" customWidth="1"/>
    <col min="6919" max="6919" width="13" style="3276" customWidth="1"/>
    <col min="6920" max="6921" width="8.875" style="3276"/>
    <col min="6922" max="6922" width="5.75" style="3276" customWidth="1"/>
    <col min="6923" max="6923" width="11.75" style="3276" customWidth="1"/>
    <col min="6924" max="6925" width="10.75" style="3276" customWidth="1"/>
    <col min="6926" max="6926" width="10" style="3276" customWidth="1"/>
    <col min="6927" max="6928" width="10.5" style="3276" bestFit="1" customWidth="1"/>
    <col min="6929" max="6929" width="10" style="3276" customWidth="1"/>
    <col min="6930" max="6930" width="10.125" style="3276" customWidth="1"/>
    <col min="6931" max="6931" width="10" style="3276" customWidth="1"/>
    <col min="6932" max="6932" width="26.125" style="3276" customWidth="1"/>
    <col min="6933" max="7168" width="8.875" style="3276"/>
    <col min="7169" max="7169" width="9.5" style="3276" customWidth="1"/>
    <col min="7170" max="7170" width="8.875" style="3276"/>
    <col min="7171" max="7173" width="12.875" style="3276" customWidth="1"/>
    <col min="7174" max="7174" width="47.5" style="3276" customWidth="1"/>
    <col min="7175" max="7175" width="13" style="3276" customWidth="1"/>
    <col min="7176" max="7177" width="8.875" style="3276"/>
    <col min="7178" max="7178" width="5.75" style="3276" customWidth="1"/>
    <col min="7179" max="7179" width="11.75" style="3276" customWidth="1"/>
    <col min="7180" max="7181" width="10.75" style="3276" customWidth="1"/>
    <col min="7182" max="7182" width="10" style="3276" customWidth="1"/>
    <col min="7183" max="7184" width="10.5" style="3276" bestFit="1" customWidth="1"/>
    <col min="7185" max="7185" width="10" style="3276" customWidth="1"/>
    <col min="7186" max="7186" width="10.125" style="3276" customWidth="1"/>
    <col min="7187" max="7187" width="10" style="3276" customWidth="1"/>
    <col min="7188" max="7188" width="26.125" style="3276" customWidth="1"/>
    <col min="7189" max="7424" width="8.875" style="3276"/>
    <col min="7425" max="7425" width="9.5" style="3276" customWidth="1"/>
    <col min="7426" max="7426" width="8.875" style="3276"/>
    <col min="7427" max="7429" width="12.875" style="3276" customWidth="1"/>
    <col min="7430" max="7430" width="47.5" style="3276" customWidth="1"/>
    <col min="7431" max="7431" width="13" style="3276" customWidth="1"/>
    <col min="7432" max="7433" width="8.875" style="3276"/>
    <col min="7434" max="7434" width="5.75" style="3276" customWidth="1"/>
    <col min="7435" max="7435" width="11.75" style="3276" customWidth="1"/>
    <col min="7436" max="7437" width="10.75" style="3276" customWidth="1"/>
    <col min="7438" max="7438" width="10" style="3276" customWidth="1"/>
    <col min="7439" max="7440" width="10.5" style="3276" bestFit="1" customWidth="1"/>
    <col min="7441" max="7441" width="10" style="3276" customWidth="1"/>
    <col min="7442" max="7442" width="10.125" style="3276" customWidth="1"/>
    <col min="7443" max="7443" width="10" style="3276" customWidth="1"/>
    <col min="7444" max="7444" width="26.125" style="3276" customWidth="1"/>
    <col min="7445" max="7680" width="8.875" style="3276"/>
    <col min="7681" max="7681" width="9.5" style="3276" customWidth="1"/>
    <col min="7682" max="7682" width="8.875" style="3276"/>
    <col min="7683" max="7685" width="12.875" style="3276" customWidth="1"/>
    <col min="7686" max="7686" width="47.5" style="3276" customWidth="1"/>
    <col min="7687" max="7687" width="13" style="3276" customWidth="1"/>
    <col min="7688" max="7689" width="8.875" style="3276"/>
    <col min="7690" max="7690" width="5.75" style="3276" customWidth="1"/>
    <col min="7691" max="7691" width="11.75" style="3276" customWidth="1"/>
    <col min="7692" max="7693" width="10.75" style="3276" customWidth="1"/>
    <col min="7694" max="7694" width="10" style="3276" customWidth="1"/>
    <col min="7695" max="7696" width="10.5" style="3276" bestFit="1" customWidth="1"/>
    <col min="7697" max="7697" width="10" style="3276" customWidth="1"/>
    <col min="7698" max="7698" width="10.125" style="3276" customWidth="1"/>
    <col min="7699" max="7699" width="10" style="3276" customWidth="1"/>
    <col min="7700" max="7700" width="26.125" style="3276" customWidth="1"/>
    <col min="7701" max="7936" width="8.875" style="3276"/>
    <col min="7937" max="7937" width="9.5" style="3276" customWidth="1"/>
    <col min="7938" max="7938" width="8.875" style="3276"/>
    <col min="7939" max="7941" width="12.875" style="3276" customWidth="1"/>
    <col min="7942" max="7942" width="47.5" style="3276" customWidth="1"/>
    <col min="7943" max="7943" width="13" style="3276" customWidth="1"/>
    <col min="7944" max="7945" width="8.875" style="3276"/>
    <col min="7946" max="7946" width="5.75" style="3276" customWidth="1"/>
    <col min="7947" max="7947" width="11.75" style="3276" customWidth="1"/>
    <col min="7948" max="7949" width="10.75" style="3276" customWidth="1"/>
    <col min="7950" max="7950" width="10" style="3276" customWidth="1"/>
    <col min="7951" max="7952" width="10.5" style="3276" bestFit="1" customWidth="1"/>
    <col min="7953" max="7953" width="10" style="3276" customWidth="1"/>
    <col min="7954" max="7954" width="10.125" style="3276" customWidth="1"/>
    <col min="7955" max="7955" width="10" style="3276" customWidth="1"/>
    <col min="7956" max="7956" width="26.125" style="3276" customWidth="1"/>
    <col min="7957" max="8192" width="8.875" style="3276"/>
    <col min="8193" max="8193" width="9.5" style="3276" customWidth="1"/>
    <col min="8194" max="8194" width="8.875" style="3276"/>
    <col min="8195" max="8197" width="12.875" style="3276" customWidth="1"/>
    <col min="8198" max="8198" width="47.5" style="3276" customWidth="1"/>
    <col min="8199" max="8199" width="13" style="3276" customWidth="1"/>
    <col min="8200" max="8201" width="8.875" style="3276"/>
    <col min="8202" max="8202" width="5.75" style="3276" customWidth="1"/>
    <col min="8203" max="8203" width="11.75" style="3276" customWidth="1"/>
    <col min="8204" max="8205" width="10.75" style="3276" customWidth="1"/>
    <col min="8206" max="8206" width="10" style="3276" customWidth="1"/>
    <col min="8207" max="8208" width="10.5" style="3276" bestFit="1" customWidth="1"/>
    <col min="8209" max="8209" width="10" style="3276" customWidth="1"/>
    <col min="8210" max="8210" width="10.125" style="3276" customWidth="1"/>
    <col min="8211" max="8211" width="10" style="3276" customWidth="1"/>
    <col min="8212" max="8212" width="26.125" style="3276" customWidth="1"/>
    <col min="8213" max="8448" width="8.875" style="3276"/>
    <col min="8449" max="8449" width="9.5" style="3276" customWidth="1"/>
    <col min="8450" max="8450" width="8.875" style="3276"/>
    <col min="8451" max="8453" width="12.875" style="3276" customWidth="1"/>
    <col min="8454" max="8454" width="47.5" style="3276" customWidth="1"/>
    <col min="8455" max="8455" width="13" style="3276" customWidth="1"/>
    <col min="8456" max="8457" width="8.875" style="3276"/>
    <col min="8458" max="8458" width="5.75" style="3276" customWidth="1"/>
    <col min="8459" max="8459" width="11.75" style="3276" customWidth="1"/>
    <col min="8460" max="8461" width="10.75" style="3276" customWidth="1"/>
    <col min="8462" max="8462" width="10" style="3276" customWidth="1"/>
    <col min="8463" max="8464" width="10.5" style="3276" bestFit="1" customWidth="1"/>
    <col min="8465" max="8465" width="10" style="3276" customWidth="1"/>
    <col min="8466" max="8466" width="10.125" style="3276" customWidth="1"/>
    <col min="8467" max="8467" width="10" style="3276" customWidth="1"/>
    <col min="8468" max="8468" width="26.125" style="3276" customWidth="1"/>
    <col min="8469" max="8704" width="8.875" style="3276"/>
    <col min="8705" max="8705" width="9.5" style="3276" customWidth="1"/>
    <col min="8706" max="8706" width="8.875" style="3276"/>
    <col min="8707" max="8709" width="12.875" style="3276" customWidth="1"/>
    <col min="8710" max="8710" width="47.5" style="3276" customWidth="1"/>
    <col min="8711" max="8711" width="13" style="3276" customWidth="1"/>
    <col min="8712" max="8713" width="8.875" style="3276"/>
    <col min="8714" max="8714" width="5.75" style="3276" customWidth="1"/>
    <col min="8715" max="8715" width="11.75" style="3276" customWidth="1"/>
    <col min="8716" max="8717" width="10.75" style="3276" customWidth="1"/>
    <col min="8718" max="8718" width="10" style="3276" customWidth="1"/>
    <col min="8719" max="8720" width="10.5" style="3276" bestFit="1" customWidth="1"/>
    <col min="8721" max="8721" width="10" style="3276" customWidth="1"/>
    <col min="8722" max="8722" width="10.125" style="3276" customWidth="1"/>
    <col min="8723" max="8723" width="10" style="3276" customWidth="1"/>
    <col min="8724" max="8724" width="26.125" style="3276" customWidth="1"/>
    <col min="8725" max="8960" width="8.875" style="3276"/>
    <col min="8961" max="8961" width="9.5" style="3276" customWidth="1"/>
    <col min="8962" max="8962" width="8.875" style="3276"/>
    <col min="8963" max="8965" width="12.875" style="3276" customWidth="1"/>
    <col min="8966" max="8966" width="47.5" style="3276" customWidth="1"/>
    <col min="8967" max="8967" width="13" style="3276" customWidth="1"/>
    <col min="8968" max="8969" width="8.875" style="3276"/>
    <col min="8970" max="8970" width="5.75" style="3276" customWidth="1"/>
    <col min="8971" max="8971" width="11.75" style="3276" customWidth="1"/>
    <col min="8972" max="8973" width="10.75" style="3276" customWidth="1"/>
    <col min="8974" max="8974" width="10" style="3276" customWidth="1"/>
    <col min="8975" max="8976" width="10.5" style="3276" bestFit="1" customWidth="1"/>
    <col min="8977" max="8977" width="10" style="3276" customWidth="1"/>
    <col min="8978" max="8978" width="10.125" style="3276" customWidth="1"/>
    <col min="8979" max="8979" width="10" style="3276" customWidth="1"/>
    <col min="8980" max="8980" width="26.125" style="3276" customWidth="1"/>
    <col min="8981" max="9216" width="8.875" style="3276"/>
    <col min="9217" max="9217" width="9.5" style="3276" customWidth="1"/>
    <col min="9218" max="9218" width="8.875" style="3276"/>
    <col min="9219" max="9221" width="12.875" style="3276" customWidth="1"/>
    <col min="9222" max="9222" width="47.5" style="3276" customWidth="1"/>
    <col min="9223" max="9223" width="13" style="3276" customWidth="1"/>
    <col min="9224" max="9225" width="8.875" style="3276"/>
    <col min="9226" max="9226" width="5.75" style="3276" customWidth="1"/>
    <col min="9227" max="9227" width="11.75" style="3276" customWidth="1"/>
    <col min="9228" max="9229" width="10.75" style="3276" customWidth="1"/>
    <col min="9230" max="9230" width="10" style="3276" customWidth="1"/>
    <col min="9231" max="9232" width="10.5" style="3276" bestFit="1" customWidth="1"/>
    <col min="9233" max="9233" width="10" style="3276" customWidth="1"/>
    <col min="9234" max="9234" width="10.125" style="3276" customWidth="1"/>
    <col min="9235" max="9235" width="10" style="3276" customWidth="1"/>
    <col min="9236" max="9236" width="26.125" style="3276" customWidth="1"/>
    <col min="9237" max="9472" width="8.875" style="3276"/>
    <col min="9473" max="9473" width="9.5" style="3276" customWidth="1"/>
    <col min="9474" max="9474" width="8.875" style="3276"/>
    <col min="9475" max="9477" width="12.875" style="3276" customWidth="1"/>
    <col min="9478" max="9478" width="47.5" style="3276" customWidth="1"/>
    <col min="9479" max="9479" width="13" style="3276" customWidth="1"/>
    <col min="9480" max="9481" width="8.875" style="3276"/>
    <col min="9482" max="9482" width="5.75" style="3276" customWidth="1"/>
    <col min="9483" max="9483" width="11.75" style="3276" customWidth="1"/>
    <col min="9484" max="9485" width="10.75" style="3276" customWidth="1"/>
    <col min="9486" max="9486" width="10" style="3276" customWidth="1"/>
    <col min="9487" max="9488" width="10.5" style="3276" bestFit="1" customWidth="1"/>
    <col min="9489" max="9489" width="10" style="3276" customWidth="1"/>
    <col min="9490" max="9490" width="10.125" style="3276" customWidth="1"/>
    <col min="9491" max="9491" width="10" style="3276" customWidth="1"/>
    <col min="9492" max="9492" width="26.125" style="3276" customWidth="1"/>
    <col min="9493" max="9728" width="8.875" style="3276"/>
    <col min="9729" max="9729" width="9.5" style="3276" customWidth="1"/>
    <col min="9730" max="9730" width="8.875" style="3276"/>
    <col min="9731" max="9733" width="12.875" style="3276" customWidth="1"/>
    <col min="9734" max="9734" width="47.5" style="3276" customWidth="1"/>
    <col min="9735" max="9735" width="13" style="3276" customWidth="1"/>
    <col min="9736" max="9737" width="8.875" style="3276"/>
    <col min="9738" max="9738" width="5.75" style="3276" customWidth="1"/>
    <col min="9739" max="9739" width="11.75" style="3276" customWidth="1"/>
    <col min="9740" max="9741" width="10.75" style="3276" customWidth="1"/>
    <col min="9742" max="9742" width="10" style="3276" customWidth="1"/>
    <col min="9743" max="9744" width="10.5" style="3276" bestFit="1" customWidth="1"/>
    <col min="9745" max="9745" width="10" style="3276" customWidth="1"/>
    <col min="9746" max="9746" width="10.125" style="3276" customWidth="1"/>
    <col min="9747" max="9747" width="10" style="3276" customWidth="1"/>
    <col min="9748" max="9748" width="26.125" style="3276" customWidth="1"/>
    <col min="9749" max="9984" width="8.875" style="3276"/>
    <col min="9985" max="9985" width="9.5" style="3276" customWidth="1"/>
    <col min="9986" max="9986" width="8.875" style="3276"/>
    <col min="9987" max="9989" width="12.875" style="3276" customWidth="1"/>
    <col min="9990" max="9990" width="47.5" style="3276" customWidth="1"/>
    <col min="9991" max="9991" width="13" style="3276" customWidth="1"/>
    <col min="9992" max="9993" width="8.875" style="3276"/>
    <col min="9994" max="9994" width="5.75" style="3276" customWidth="1"/>
    <col min="9995" max="9995" width="11.75" style="3276" customWidth="1"/>
    <col min="9996" max="9997" width="10.75" style="3276" customWidth="1"/>
    <col min="9998" max="9998" width="10" style="3276" customWidth="1"/>
    <col min="9999" max="10000" width="10.5" style="3276" bestFit="1" customWidth="1"/>
    <col min="10001" max="10001" width="10" style="3276" customWidth="1"/>
    <col min="10002" max="10002" width="10.125" style="3276" customWidth="1"/>
    <col min="10003" max="10003" width="10" style="3276" customWidth="1"/>
    <col min="10004" max="10004" width="26.125" style="3276" customWidth="1"/>
    <col min="10005" max="10240" width="8.875" style="3276"/>
    <col min="10241" max="10241" width="9.5" style="3276" customWidth="1"/>
    <col min="10242" max="10242" width="8.875" style="3276"/>
    <col min="10243" max="10245" width="12.875" style="3276" customWidth="1"/>
    <col min="10246" max="10246" width="47.5" style="3276" customWidth="1"/>
    <col min="10247" max="10247" width="13" style="3276" customWidth="1"/>
    <col min="10248" max="10249" width="8.875" style="3276"/>
    <col min="10250" max="10250" width="5.75" style="3276" customWidth="1"/>
    <col min="10251" max="10251" width="11.75" style="3276" customWidth="1"/>
    <col min="10252" max="10253" width="10.75" style="3276" customWidth="1"/>
    <col min="10254" max="10254" width="10" style="3276" customWidth="1"/>
    <col min="10255" max="10256" width="10.5" style="3276" bestFit="1" customWidth="1"/>
    <col min="10257" max="10257" width="10" style="3276" customWidth="1"/>
    <col min="10258" max="10258" width="10.125" style="3276" customWidth="1"/>
    <col min="10259" max="10259" width="10" style="3276" customWidth="1"/>
    <col min="10260" max="10260" width="26.125" style="3276" customWidth="1"/>
    <col min="10261" max="10496" width="8.875" style="3276"/>
    <col min="10497" max="10497" width="9.5" style="3276" customWidth="1"/>
    <col min="10498" max="10498" width="8.875" style="3276"/>
    <col min="10499" max="10501" width="12.875" style="3276" customWidth="1"/>
    <col min="10502" max="10502" width="47.5" style="3276" customWidth="1"/>
    <col min="10503" max="10503" width="13" style="3276" customWidth="1"/>
    <col min="10504" max="10505" width="8.875" style="3276"/>
    <col min="10506" max="10506" width="5.75" style="3276" customWidth="1"/>
    <col min="10507" max="10507" width="11.75" style="3276" customWidth="1"/>
    <col min="10508" max="10509" width="10.75" style="3276" customWidth="1"/>
    <col min="10510" max="10510" width="10" style="3276" customWidth="1"/>
    <col min="10511" max="10512" width="10.5" style="3276" bestFit="1" customWidth="1"/>
    <col min="10513" max="10513" width="10" style="3276" customWidth="1"/>
    <col min="10514" max="10514" width="10.125" style="3276" customWidth="1"/>
    <col min="10515" max="10515" width="10" style="3276" customWidth="1"/>
    <col min="10516" max="10516" width="26.125" style="3276" customWidth="1"/>
    <col min="10517" max="10752" width="8.875" style="3276"/>
    <col min="10753" max="10753" width="9.5" style="3276" customWidth="1"/>
    <col min="10754" max="10754" width="8.875" style="3276"/>
    <col min="10755" max="10757" width="12.875" style="3276" customWidth="1"/>
    <col min="10758" max="10758" width="47.5" style="3276" customWidth="1"/>
    <col min="10759" max="10759" width="13" style="3276" customWidth="1"/>
    <col min="10760" max="10761" width="8.875" style="3276"/>
    <col min="10762" max="10762" width="5.75" style="3276" customWidth="1"/>
    <col min="10763" max="10763" width="11.75" style="3276" customWidth="1"/>
    <col min="10764" max="10765" width="10.75" style="3276" customWidth="1"/>
    <col min="10766" max="10766" width="10" style="3276" customWidth="1"/>
    <col min="10767" max="10768" width="10.5" style="3276" bestFit="1" customWidth="1"/>
    <col min="10769" max="10769" width="10" style="3276" customWidth="1"/>
    <col min="10770" max="10770" width="10.125" style="3276" customWidth="1"/>
    <col min="10771" max="10771" width="10" style="3276" customWidth="1"/>
    <col min="10772" max="10772" width="26.125" style="3276" customWidth="1"/>
    <col min="10773" max="11008" width="8.875" style="3276"/>
    <col min="11009" max="11009" width="9.5" style="3276" customWidth="1"/>
    <col min="11010" max="11010" width="8.875" style="3276"/>
    <col min="11011" max="11013" width="12.875" style="3276" customWidth="1"/>
    <col min="11014" max="11014" width="47.5" style="3276" customWidth="1"/>
    <col min="11015" max="11015" width="13" style="3276" customWidth="1"/>
    <col min="11016" max="11017" width="8.875" style="3276"/>
    <col min="11018" max="11018" width="5.75" style="3276" customWidth="1"/>
    <col min="11019" max="11019" width="11.75" style="3276" customWidth="1"/>
    <col min="11020" max="11021" width="10.75" style="3276" customWidth="1"/>
    <col min="11022" max="11022" width="10" style="3276" customWidth="1"/>
    <col min="11023" max="11024" width="10.5" style="3276" bestFit="1" customWidth="1"/>
    <col min="11025" max="11025" width="10" style="3276" customWidth="1"/>
    <col min="11026" max="11026" width="10.125" style="3276" customWidth="1"/>
    <col min="11027" max="11027" width="10" style="3276" customWidth="1"/>
    <col min="11028" max="11028" width="26.125" style="3276" customWidth="1"/>
    <col min="11029" max="11264" width="8.875" style="3276"/>
    <col min="11265" max="11265" width="9.5" style="3276" customWidth="1"/>
    <col min="11266" max="11266" width="8.875" style="3276"/>
    <col min="11267" max="11269" width="12.875" style="3276" customWidth="1"/>
    <col min="11270" max="11270" width="47.5" style="3276" customWidth="1"/>
    <col min="11271" max="11271" width="13" style="3276" customWidth="1"/>
    <col min="11272" max="11273" width="8.875" style="3276"/>
    <col min="11274" max="11274" width="5.75" style="3276" customWidth="1"/>
    <col min="11275" max="11275" width="11.75" style="3276" customWidth="1"/>
    <col min="11276" max="11277" width="10.75" style="3276" customWidth="1"/>
    <col min="11278" max="11278" width="10" style="3276" customWidth="1"/>
    <col min="11279" max="11280" width="10.5" style="3276" bestFit="1" customWidth="1"/>
    <col min="11281" max="11281" width="10" style="3276" customWidth="1"/>
    <col min="11282" max="11282" width="10.125" style="3276" customWidth="1"/>
    <col min="11283" max="11283" width="10" style="3276" customWidth="1"/>
    <col min="11284" max="11284" width="26.125" style="3276" customWidth="1"/>
    <col min="11285" max="11520" width="8.875" style="3276"/>
    <col min="11521" max="11521" width="9.5" style="3276" customWidth="1"/>
    <col min="11522" max="11522" width="8.875" style="3276"/>
    <col min="11523" max="11525" width="12.875" style="3276" customWidth="1"/>
    <col min="11526" max="11526" width="47.5" style="3276" customWidth="1"/>
    <col min="11527" max="11527" width="13" style="3276" customWidth="1"/>
    <col min="11528" max="11529" width="8.875" style="3276"/>
    <col min="11530" max="11530" width="5.75" style="3276" customWidth="1"/>
    <col min="11531" max="11531" width="11.75" style="3276" customWidth="1"/>
    <col min="11532" max="11533" width="10.75" style="3276" customWidth="1"/>
    <col min="11534" max="11534" width="10" style="3276" customWidth="1"/>
    <col min="11535" max="11536" width="10.5" style="3276" bestFit="1" customWidth="1"/>
    <col min="11537" max="11537" width="10" style="3276" customWidth="1"/>
    <col min="11538" max="11538" width="10.125" style="3276" customWidth="1"/>
    <col min="11539" max="11539" width="10" style="3276" customWidth="1"/>
    <col min="11540" max="11540" width="26.125" style="3276" customWidth="1"/>
    <col min="11541" max="11776" width="8.875" style="3276"/>
    <col min="11777" max="11777" width="9.5" style="3276" customWidth="1"/>
    <col min="11778" max="11778" width="8.875" style="3276"/>
    <col min="11779" max="11781" width="12.875" style="3276" customWidth="1"/>
    <col min="11782" max="11782" width="47.5" style="3276" customWidth="1"/>
    <col min="11783" max="11783" width="13" style="3276" customWidth="1"/>
    <col min="11784" max="11785" width="8.875" style="3276"/>
    <col min="11786" max="11786" width="5.75" style="3276" customWidth="1"/>
    <col min="11787" max="11787" width="11.75" style="3276" customWidth="1"/>
    <col min="11788" max="11789" width="10.75" style="3276" customWidth="1"/>
    <col min="11790" max="11790" width="10" style="3276" customWidth="1"/>
    <col min="11791" max="11792" width="10.5" style="3276" bestFit="1" customWidth="1"/>
    <col min="11793" max="11793" width="10" style="3276" customWidth="1"/>
    <col min="11794" max="11794" width="10.125" style="3276" customWidth="1"/>
    <col min="11795" max="11795" width="10" style="3276" customWidth="1"/>
    <col min="11796" max="11796" width="26.125" style="3276" customWidth="1"/>
    <col min="11797" max="12032" width="8.875" style="3276"/>
    <col min="12033" max="12033" width="9.5" style="3276" customWidth="1"/>
    <col min="12034" max="12034" width="8.875" style="3276"/>
    <col min="12035" max="12037" width="12.875" style="3276" customWidth="1"/>
    <col min="12038" max="12038" width="47.5" style="3276" customWidth="1"/>
    <col min="12039" max="12039" width="13" style="3276" customWidth="1"/>
    <col min="12040" max="12041" width="8.875" style="3276"/>
    <col min="12042" max="12042" width="5.75" style="3276" customWidth="1"/>
    <col min="12043" max="12043" width="11.75" style="3276" customWidth="1"/>
    <col min="12044" max="12045" width="10.75" style="3276" customWidth="1"/>
    <col min="12046" max="12046" width="10" style="3276" customWidth="1"/>
    <col min="12047" max="12048" width="10.5" style="3276" bestFit="1" customWidth="1"/>
    <col min="12049" max="12049" width="10" style="3276" customWidth="1"/>
    <col min="12050" max="12050" width="10.125" style="3276" customWidth="1"/>
    <col min="12051" max="12051" width="10" style="3276" customWidth="1"/>
    <col min="12052" max="12052" width="26.125" style="3276" customWidth="1"/>
    <col min="12053" max="12288" width="8.875" style="3276"/>
    <col min="12289" max="12289" width="9.5" style="3276" customWidth="1"/>
    <col min="12290" max="12290" width="8.875" style="3276"/>
    <col min="12291" max="12293" width="12.875" style="3276" customWidth="1"/>
    <col min="12294" max="12294" width="47.5" style="3276" customWidth="1"/>
    <col min="12295" max="12295" width="13" style="3276" customWidth="1"/>
    <col min="12296" max="12297" width="8.875" style="3276"/>
    <col min="12298" max="12298" width="5.75" style="3276" customWidth="1"/>
    <col min="12299" max="12299" width="11.75" style="3276" customWidth="1"/>
    <col min="12300" max="12301" width="10.75" style="3276" customWidth="1"/>
    <col min="12302" max="12302" width="10" style="3276" customWidth="1"/>
    <col min="12303" max="12304" width="10.5" style="3276" bestFit="1" customWidth="1"/>
    <col min="12305" max="12305" width="10" style="3276" customWidth="1"/>
    <col min="12306" max="12306" width="10.125" style="3276" customWidth="1"/>
    <col min="12307" max="12307" width="10" style="3276" customWidth="1"/>
    <col min="12308" max="12308" width="26.125" style="3276" customWidth="1"/>
    <col min="12309" max="12544" width="8.875" style="3276"/>
    <col min="12545" max="12545" width="9.5" style="3276" customWidth="1"/>
    <col min="12546" max="12546" width="8.875" style="3276"/>
    <col min="12547" max="12549" width="12.875" style="3276" customWidth="1"/>
    <col min="12550" max="12550" width="47.5" style="3276" customWidth="1"/>
    <col min="12551" max="12551" width="13" style="3276" customWidth="1"/>
    <col min="12552" max="12553" width="8.875" style="3276"/>
    <col min="12554" max="12554" width="5.75" style="3276" customWidth="1"/>
    <col min="12555" max="12555" width="11.75" style="3276" customWidth="1"/>
    <col min="12556" max="12557" width="10.75" style="3276" customWidth="1"/>
    <col min="12558" max="12558" width="10" style="3276" customWidth="1"/>
    <col min="12559" max="12560" width="10.5" style="3276" bestFit="1" customWidth="1"/>
    <col min="12561" max="12561" width="10" style="3276" customWidth="1"/>
    <col min="12562" max="12562" width="10.125" style="3276" customWidth="1"/>
    <col min="12563" max="12563" width="10" style="3276" customWidth="1"/>
    <col min="12564" max="12564" width="26.125" style="3276" customWidth="1"/>
    <col min="12565" max="12800" width="8.875" style="3276"/>
    <col min="12801" max="12801" width="9.5" style="3276" customWidth="1"/>
    <col min="12802" max="12802" width="8.875" style="3276"/>
    <col min="12803" max="12805" width="12.875" style="3276" customWidth="1"/>
    <col min="12806" max="12806" width="47.5" style="3276" customWidth="1"/>
    <col min="12807" max="12807" width="13" style="3276" customWidth="1"/>
    <col min="12808" max="12809" width="8.875" style="3276"/>
    <col min="12810" max="12810" width="5.75" style="3276" customWidth="1"/>
    <col min="12811" max="12811" width="11.75" style="3276" customWidth="1"/>
    <col min="12812" max="12813" width="10.75" style="3276" customWidth="1"/>
    <col min="12814" max="12814" width="10" style="3276" customWidth="1"/>
    <col min="12815" max="12816" width="10.5" style="3276" bestFit="1" customWidth="1"/>
    <col min="12817" max="12817" width="10" style="3276" customWidth="1"/>
    <col min="12818" max="12818" width="10.125" style="3276" customWidth="1"/>
    <col min="12819" max="12819" width="10" style="3276" customWidth="1"/>
    <col min="12820" max="12820" width="26.125" style="3276" customWidth="1"/>
    <col min="12821" max="13056" width="8.875" style="3276"/>
    <col min="13057" max="13057" width="9.5" style="3276" customWidth="1"/>
    <col min="13058" max="13058" width="8.875" style="3276"/>
    <col min="13059" max="13061" width="12.875" style="3276" customWidth="1"/>
    <col min="13062" max="13062" width="47.5" style="3276" customWidth="1"/>
    <col min="13063" max="13063" width="13" style="3276" customWidth="1"/>
    <col min="13064" max="13065" width="8.875" style="3276"/>
    <col min="13066" max="13066" width="5.75" style="3276" customWidth="1"/>
    <col min="13067" max="13067" width="11.75" style="3276" customWidth="1"/>
    <col min="13068" max="13069" width="10.75" style="3276" customWidth="1"/>
    <col min="13070" max="13070" width="10" style="3276" customWidth="1"/>
    <col min="13071" max="13072" width="10.5" style="3276" bestFit="1" customWidth="1"/>
    <col min="13073" max="13073" width="10" style="3276" customWidth="1"/>
    <col min="13074" max="13074" width="10.125" style="3276" customWidth="1"/>
    <col min="13075" max="13075" width="10" style="3276" customWidth="1"/>
    <col min="13076" max="13076" width="26.125" style="3276" customWidth="1"/>
    <col min="13077" max="13312" width="8.875" style="3276"/>
    <col min="13313" max="13313" width="9.5" style="3276" customWidth="1"/>
    <col min="13314" max="13314" width="8.875" style="3276"/>
    <col min="13315" max="13317" width="12.875" style="3276" customWidth="1"/>
    <col min="13318" max="13318" width="47.5" style="3276" customWidth="1"/>
    <col min="13319" max="13319" width="13" style="3276" customWidth="1"/>
    <col min="13320" max="13321" width="8.875" style="3276"/>
    <col min="13322" max="13322" width="5.75" style="3276" customWidth="1"/>
    <col min="13323" max="13323" width="11.75" style="3276" customWidth="1"/>
    <col min="13324" max="13325" width="10.75" style="3276" customWidth="1"/>
    <col min="13326" max="13326" width="10" style="3276" customWidth="1"/>
    <col min="13327" max="13328" width="10.5" style="3276" bestFit="1" customWidth="1"/>
    <col min="13329" max="13329" width="10" style="3276" customWidth="1"/>
    <col min="13330" max="13330" width="10.125" style="3276" customWidth="1"/>
    <col min="13331" max="13331" width="10" style="3276" customWidth="1"/>
    <col min="13332" max="13332" width="26.125" style="3276" customWidth="1"/>
    <col min="13333" max="13568" width="8.875" style="3276"/>
    <col min="13569" max="13569" width="9.5" style="3276" customWidth="1"/>
    <col min="13570" max="13570" width="8.875" style="3276"/>
    <col min="13571" max="13573" width="12.875" style="3276" customWidth="1"/>
    <col min="13574" max="13574" width="47.5" style="3276" customWidth="1"/>
    <col min="13575" max="13575" width="13" style="3276" customWidth="1"/>
    <col min="13576" max="13577" width="8.875" style="3276"/>
    <col min="13578" max="13578" width="5.75" style="3276" customWidth="1"/>
    <col min="13579" max="13579" width="11.75" style="3276" customWidth="1"/>
    <col min="13580" max="13581" width="10.75" style="3276" customWidth="1"/>
    <col min="13582" max="13582" width="10" style="3276" customWidth="1"/>
    <col min="13583" max="13584" width="10.5" style="3276" bestFit="1" customWidth="1"/>
    <col min="13585" max="13585" width="10" style="3276" customWidth="1"/>
    <col min="13586" max="13586" width="10.125" style="3276" customWidth="1"/>
    <col min="13587" max="13587" width="10" style="3276" customWidth="1"/>
    <col min="13588" max="13588" width="26.125" style="3276" customWidth="1"/>
    <col min="13589" max="13824" width="8.875" style="3276"/>
    <col min="13825" max="13825" width="9.5" style="3276" customWidth="1"/>
    <col min="13826" max="13826" width="8.875" style="3276"/>
    <col min="13827" max="13829" width="12.875" style="3276" customWidth="1"/>
    <col min="13830" max="13830" width="47.5" style="3276" customWidth="1"/>
    <col min="13831" max="13831" width="13" style="3276" customWidth="1"/>
    <col min="13832" max="13833" width="8.875" style="3276"/>
    <col min="13834" max="13834" width="5.75" style="3276" customWidth="1"/>
    <col min="13835" max="13835" width="11.75" style="3276" customWidth="1"/>
    <col min="13836" max="13837" width="10.75" style="3276" customWidth="1"/>
    <col min="13838" max="13838" width="10" style="3276" customWidth="1"/>
    <col min="13839" max="13840" width="10.5" style="3276" bestFit="1" customWidth="1"/>
    <col min="13841" max="13841" width="10" style="3276" customWidth="1"/>
    <col min="13842" max="13842" width="10.125" style="3276" customWidth="1"/>
    <col min="13843" max="13843" width="10" style="3276" customWidth="1"/>
    <col min="13844" max="13844" width="26.125" style="3276" customWidth="1"/>
    <col min="13845" max="14080" width="8.875" style="3276"/>
    <col min="14081" max="14081" width="9.5" style="3276" customWidth="1"/>
    <col min="14082" max="14082" width="8.875" style="3276"/>
    <col min="14083" max="14085" width="12.875" style="3276" customWidth="1"/>
    <col min="14086" max="14086" width="47.5" style="3276" customWidth="1"/>
    <col min="14087" max="14087" width="13" style="3276" customWidth="1"/>
    <col min="14088" max="14089" width="8.875" style="3276"/>
    <col min="14090" max="14090" width="5.75" style="3276" customWidth="1"/>
    <col min="14091" max="14091" width="11.75" style="3276" customWidth="1"/>
    <col min="14092" max="14093" width="10.75" style="3276" customWidth="1"/>
    <col min="14094" max="14094" width="10" style="3276" customWidth="1"/>
    <col min="14095" max="14096" width="10.5" style="3276" bestFit="1" customWidth="1"/>
    <col min="14097" max="14097" width="10" style="3276" customWidth="1"/>
    <col min="14098" max="14098" width="10.125" style="3276" customWidth="1"/>
    <col min="14099" max="14099" width="10" style="3276" customWidth="1"/>
    <col min="14100" max="14100" width="26.125" style="3276" customWidth="1"/>
    <col min="14101" max="14336" width="8.875" style="3276"/>
    <col min="14337" max="14337" width="9.5" style="3276" customWidth="1"/>
    <col min="14338" max="14338" width="8.875" style="3276"/>
    <col min="14339" max="14341" width="12.875" style="3276" customWidth="1"/>
    <col min="14342" max="14342" width="47.5" style="3276" customWidth="1"/>
    <col min="14343" max="14343" width="13" style="3276" customWidth="1"/>
    <col min="14344" max="14345" width="8.875" style="3276"/>
    <col min="14346" max="14346" width="5.75" style="3276" customWidth="1"/>
    <col min="14347" max="14347" width="11.75" style="3276" customWidth="1"/>
    <col min="14348" max="14349" width="10.75" style="3276" customWidth="1"/>
    <col min="14350" max="14350" width="10" style="3276" customWidth="1"/>
    <col min="14351" max="14352" width="10.5" style="3276" bestFit="1" customWidth="1"/>
    <col min="14353" max="14353" width="10" style="3276" customWidth="1"/>
    <col min="14354" max="14354" width="10.125" style="3276" customWidth="1"/>
    <col min="14355" max="14355" width="10" style="3276" customWidth="1"/>
    <col min="14356" max="14356" width="26.125" style="3276" customWidth="1"/>
    <col min="14357" max="14592" width="8.875" style="3276"/>
    <col min="14593" max="14593" width="9.5" style="3276" customWidth="1"/>
    <col min="14594" max="14594" width="8.875" style="3276"/>
    <col min="14595" max="14597" width="12.875" style="3276" customWidth="1"/>
    <col min="14598" max="14598" width="47.5" style="3276" customWidth="1"/>
    <col min="14599" max="14599" width="13" style="3276" customWidth="1"/>
    <col min="14600" max="14601" width="8.875" style="3276"/>
    <col min="14602" max="14602" width="5.75" style="3276" customWidth="1"/>
    <col min="14603" max="14603" width="11.75" style="3276" customWidth="1"/>
    <col min="14604" max="14605" width="10.75" style="3276" customWidth="1"/>
    <col min="14606" max="14606" width="10" style="3276" customWidth="1"/>
    <col min="14607" max="14608" width="10.5" style="3276" bestFit="1" customWidth="1"/>
    <col min="14609" max="14609" width="10" style="3276" customWidth="1"/>
    <col min="14610" max="14610" width="10.125" style="3276" customWidth="1"/>
    <col min="14611" max="14611" width="10" style="3276" customWidth="1"/>
    <col min="14612" max="14612" width="26.125" style="3276" customWidth="1"/>
    <col min="14613" max="14848" width="8.875" style="3276"/>
    <col min="14849" max="14849" width="9.5" style="3276" customWidth="1"/>
    <col min="14850" max="14850" width="8.875" style="3276"/>
    <col min="14851" max="14853" width="12.875" style="3276" customWidth="1"/>
    <col min="14854" max="14854" width="47.5" style="3276" customWidth="1"/>
    <col min="14855" max="14855" width="13" style="3276" customWidth="1"/>
    <col min="14856" max="14857" width="8.875" style="3276"/>
    <col min="14858" max="14858" width="5.75" style="3276" customWidth="1"/>
    <col min="14859" max="14859" width="11.75" style="3276" customWidth="1"/>
    <col min="14860" max="14861" width="10.75" style="3276" customWidth="1"/>
    <col min="14862" max="14862" width="10" style="3276" customWidth="1"/>
    <col min="14863" max="14864" width="10.5" style="3276" bestFit="1" customWidth="1"/>
    <col min="14865" max="14865" width="10" style="3276" customWidth="1"/>
    <col min="14866" max="14866" width="10.125" style="3276" customWidth="1"/>
    <col min="14867" max="14867" width="10" style="3276" customWidth="1"/>
    <col min="14868" max="14868" width="26.125" style="3276" customWidth="1"/>
    <col min="14869" max="15104" width="8.875" style="3276"/>
    <col min="15105" max="15105" width="9.5" style="3276" customWidth="1"/>
    <col min="15106" max="15106" width="8.875" style="3276"/>
    <col min="15107" max="15109" width="12.875" style="3276" customWidth="1"/>
    <col min="15110" max="15110" width="47.5" style="3276" customWidth="1"/>
    <col min="15111" max="15111" width="13" style="3276" customWidth="1"/>
    <col min="15112" max="15113" width="8.875" style="3276"/>
    <col min="15114" max="15114" width="5.75" style="3276" customWidth="1"/>
    <col min="15115" max="15115" width="11.75" style="3276" customWidth="1"/>
    <col min="15116" max="15117" width="10.75" style="3276" customWidth="1"/>
    <col min="15118" max="15118" width="10" style="3276" customWidth="1"/>
    <col min="15119" max="15120" width="10.5" style="3276" bestFit="1" customWidth="1"/>
    <col min="15121" max="15121" width="10" style="3276" customWidth="1"/>
    <col min="15122" max="15122" width="10.125" style="3276" customWidth="1"/>
    <col min="15123" max="15123" width="10" style="3276" customWidth="1"/>
    <col min="15124" max="15124" width="26.125" style="3276" customWidth="1"/>
    <col min="15125" max="15360" width="8.875" style="3276"/>
    <col min="15361" max="15361" width="9.5" style="3276" customWidth="1"/>
    <col min="15362" max="15362" width="8.875" style="3276"/>
    <col min="15363" max="15365" width="12.875" style="3276" customWidth="1"/>
    <col min="15366" max="15366" width="47.5" style="3276" customWidth="1"/>
    <col min="15367" max="15367" width="13" style="3276" customWidth="1"/>
    <col min="15368" max="15369" width="8.875" style="3276"/>
    <col min="15370" max="15370" width="5.75" style="3276" customWidth="1"/>
    <col min="15371" max="15371" width="11.75" style="3276" customWidth="1"/>
    <col min="15372" max="15373" width="10.75" style="3276" customWidth="1"/>
    <col min="15374" max="15374" width="10" style="3276" customWidth="1"/>
    <col min="15375" max="15376" width="10.5" style="3276" bestFit="1" customWidth="1"/>
    <col min="15377" max="15377" width="10" style="3276" customWidth="1"/>
    <col min="15378" max="15378" width="10.125" style="3276" customWidth="1"/>
    <col min="15379" max="15379" width="10" style="3276" customWidth="1"/>
    <col min="15380" max="15380" width="26.125" style="3276" customWidth="1"/>
    <col min="15381" max="15616" width="8.875" style="3276"/>
    <col min="15617" max="15617" width="9.5" style="3276" customWidth="1"/>
    <col min="15618" max="15618" width="8.875" style="3276"/>
    <col min="15619" max="15621" width="12.875" style="3276" customWidth="1"/>
    <col min="15622" max="15622" width="47.5" style="3276" customWidth="1"/>
    <col min="15623" max="15623" width="13" style="3276" customWidth="1"/>
    <col min="15624" max="15625" width="8.875" style="3276"/>
    <col min="15626" max="15626" width="5.75" style="3276" customWidth="1"/>
    <col min="15627" max="15627" width="11.75" style="3276" customWidth="1"/>
    <col min="15628" max="15629" width="10.75" style="3276" customWidth="1"/>
    <col min="15630" max="15630" width="10" style="3276" customWidth="1"/>
    <col min="15631" max="15632" width="10.5" style="3276" bestFit="1" customWidth="1"/>
    <col min="15633" max="15633" width="10" style="3276" customWidth="1"/>
    <col min="15634" max="15634" width="10.125" style="3276" customWidth="1"/>
    <col min="15635" max="15635" width="10" style="3276" customWidth="1"/>
    <col min="15636" max="15636" width="26.125" style="3276" customWidth="1"/>
    <col min="15637" max="15872" width="8.875" style="3276"/>
    <col min="15873" max="15873" width="9.5" style="3276" customWidth="1"/>
    <col min="15874" max="15874" width="8.875" style="3276"/>
    <col min="15875" max="15877" width="12.875" style="3276" customWidth="1"/>
    <col min="15878" max="15878" width="47.5" style="3276" customWidth="1"/>
    <col min="15879" max="15879" width="13" style="3276" customWidth="1"/>
    <col min="15880" max="15881" width="8.875" style="3276"/>
    <col min="15882" max="15882" width="5.75" style="3276" customWidth="1"/>
    <col min="15883" max="15883" width="11.75" style="3276" customWidth="1"/>
    <col min="15884" max="15885" width="10.75" style="3276" customWidth="1"/>
    <col min="15886" max="15886" width="10" style="3276" customWidth="1"/>
    <col min="15887" max="15888" width="10.5" style="3276" bestFit="1" customWidth="1"/>
    <col min="15889" max="15889" width="10" style="3276" customWidth="1"/>
    <col min="15890" max="15890" width="10.125" style="3276" customWidth="1"/>
    <col min="15891" max="15891" width="10" style="3276" customWidth="1"/>
    <col min="15892" max="15892" width="26.125" style="3276" customWidth="1"/>
    <col min="15893" max="16128" width="8.875" style="3276"/>
    <col min="16129" max="16129" width="9.5" style="3276" customWidth="1"/>
    <col min="16130" max="16130" width="8.875" style="3276"/>
    <col min="16131" max="16133" width="12.875" style="3276" customWidth="1"/>
    <col min="16134" max="16134" width="47.5" style="3276" customWidth="1"/>
    <col min="16135" max="16135" width="13" style="3276" customWidth="1"/>
    <col min="16136" max="16137" width="8.875" style="3276"/>
    <col min="16138" max="16138" width="5.75" style="3276" customWidth="1"/>
    <col min="16139" max="16139" width="11.75" style="3276" customWidth="1"/>
    <col min="16140" max="16141" width="10.75" style="3276" customWidth="1"/>
    <col min="16142" max="16142" width="10" style="3276" customWidth="1"/>
    <col min="16143" max="16144" width="10.5" style="3276" bestFit="1" customWidth="1"/>
    <col min="16145" max="16145" width="10" style="3276" customWidth="1"/>
    <col min="16146" max="16146" width="10.125" style="3276" customWidth="1"/>
    <col min="16147" max="16147" width="10" style="3276" customWidth="1"/>
    <col min="16148" max="16148" width="26.125" style="3276" customWidth="1"/>
    <col min="16149" max="16384" width="8.875" style="3276"/>
  </cols>
  <sheetData>
    <row r="1" spans="1:22" ht="21" customHeight="1">
      <c r="A1" s="3264" t="s">
        <v>2991</v>
      </c>
      <c r="B1" s="3265"/>
      <c r="C1" s="3266"/>
      <c r="D1" s="3266"/>
      <c r="E1" s="3267"/>
      <c r="F1" s="3268"/>
      <c r="G1" s="3269"/>
      <c r="J1" s="3272" t="s">
        <v>2992</v>
      </c>
      <c r="K1" s="3273"/>
      <c r="L1" s="3273"/>
      <c r="M1" s="3273"/>
      <c r="N1" s="3273"/>
      <c r="O1" s="3273"/>
      <c r="P1" s="3273"/>
      <c r="Q1" s="3273"/>
      <c r="R1" s="3274"/>
      <c r="S1" s="3275"/>
      <c r="T1" s="3275"/>
      <c r="U1" s="3275"/>
    </row>
    <row r="2" spans="1:22" s="3285" customFormat="1" ht="13.15" customHeight="1">
      <c r="A2" s="3277" t="s">
        <v>2993</v>
      </c>
      <c r="B2" s="3278" t="e">
        <f>C40</f>
        <v>#DIV/0!</v>
      </c>
      <c r="C2" s="3266" t="s">
        <v>2994</v>
      </c>
      <c r="D2" s="3266"/>
      <c r="E2" s="3267"/>
      <c r="F2" s="3268"/>
      <c r="G2" s="3279"/>
      <c r="H2" s="3280"/>
      <c r="I2" s="3281"/>
      <c r="J2" s="3892" t="s">
        <v>2995</v>
      </c>
      <c r="K2" s="3893"/>
      <c r="L2" s="3282" t="s">
        <v>2996</v>
      </c>
      <c r="M2" s="3282" t="s">
        <v>2997</v>
      </c>
      <c r="N2" s="3282" t="s">
        <v>2998</v>
      </c>
      <c r="O2" s="3282" t="s">
        <v>2999</v>
      </c>
      <c r="P2" s="3282" t="s">
        <v>3000</v>
      </c>
      <c r="Q2" s="3283" t="s">
        <v>3001</v>
      </c>
      <c r="R2" s="3284" t="s">
        <v>3002</v>
      </c>
      <c r="S2" s="3275"/>
      <c r="T2" s="3275"/>
      <c r="U2" s="3275"/>
      <c r="V2" s="3281"/>
    </row>
    <row r="3" spans="1:22" s="3285" customFormat="1" ht="13.15" customHeight="1">
      <c r="A3" s="3286" t="s">
        <v>3003</v>
      </c>
      <c r="B3" s="3287" t="e">
        <f>ROUND(B2*10000/B4,0)</f>
        <v>#DIV/0!</v>
      </c>
      <c r="C3" s="3266" t="s">
        <v>3004</v>
      </c>
      <c r="D3" s="3266"/>
      <c r="E3" s="3267"/>
      <c r="F3" s="3268"/>
      <c r="G3" s="3279"/>
      <c r="H3" s="3280"/>
      <c r="I3" s="3281"/>
      <c r="J3" s="3894" t="s">
        <v>3005</v>
      </c>
      <c r="K3" s="3895"/>
      <c r="L3" s="3288"/>
      <c r="M3" s="3288"/>
      <c r="N3" s="3288"/>
      <c r="O3" s="3288"/>
      <c r="P3" s="3288"/>
      <c r="Q3" s="3289"/>
      <c r="R3" s="3290">
        <f>SUM(L3:Q3)</f>
        <v>0</v>
      </c>
      <c r="S3" s="3275"/>
      <c r="T3" s="3275"/>
      <c r="U3" s="3275"/>
      <c r="V3" s="3281"/>
    </row>
    <row r="4" spans="1:22" s="3285" customFormat="1" ht="13.15" customHeight="1">
      <c r="A4" s="3291" t="s">
        <v>3006</v>
      </c>
      <c r="B4" s="3292"/>
      <c r="C4" s="3266"/>
      <c r="D4" s="3266"/>
      <c r="E4" s="3267"/>
      <c r="F4" s="3268"/>
      <c r="G4" s="3279"/>
      <c r="H4" s="3280"/>
      <c r="I4" s="3281"/>
      <c r="J4" s="3894" t="s">
        <v>3007</v>
      </c>
      <c r="K4" s="3895"/>
      <c r="L4" s="3293"/>
      <c r="M4" s="3293"/>
      <c r="N4" s="3293"/>
      <c r="O4" s="3293"/>
      <c r="P4" s="3293"/>
      <c r="Q4" s="3294"/>
      <c r="R4" s="3295">
        <f>SUM(L4:Q4)</f>
        <v>0</v>
      </c>
      <c r="S4" s="3275"/>
      <c r="T4" s="3275"/>
      <c r="U4" s="3275"/>
      <c r="V4" s="3281"/>
    </row>
    <row r="5" spans="1:22" s="3285" customFormat="1" ht="13.15" customHeight="1" thickBot="1">
      <c r="A5" s="3296" t="s">
        <v>3008</v>
      </c>
      <c r="B5" s="3297"/>
      <c r="C5" s="3266"/>
      <c r="D5" s="3298"/>
      <c r="E5" s="3268"/>
      <c r="F5" s="3268"/>
      <c r="G5" s="3279"/>
      <c r="H5" s="3280"/>
      <c r="I5" s="3281"/>
      <c r="J5" s="3299" t="s">
        <v>3009</v>
      </c>
      <c r="K5" s="3300"/>
      <c r="L5" s="3300"/>
      <c r="M5" s="3301"/>
      <c r="N5" s="3301"/>
      <c r="O5" s="3301"/>
      <c r="P5" s="3301"/>
      <c r="Q5" s="3301"/>
      <c r="R5" s="3284">
        <f>SUM(R14,R19,R24,R25,R27,R28)</f>
        <v>0</v>
      </c>
      <c r="S5" s="3275"/>
      <c r="T5" s="3275" t="s">
        <v>3010</v>
      </c>
      <c r="U5" s="3275" t="e">
        <f>ROUND(R5*10000/365/R3,1)</f>
        <v>#DIV/0!</v>
      </c>
      <c r="V5" s="3281"/>
    </row>
    <row r="6" spans="1:22" s="3285" customFormat="1" ht="13.15" customHeight="1" thickBot="1">
      <c r="A6" s="3900" t="s">
        <v>3011</v>
      </c>
      <c r="B6" s="3901"/>
      <c r="C6" s="3902"/>
      <c r="D6" s="3302"/>
      <c r="E6" s="3303"/>
      <c r="F6" s="3304"/>
      <c r="G6" s="3305"/>
      <c r="H6" s="3280"/>
      <c r="I6" s="3281"/>
      <c r="J6" s="3886">
        <v>1</v>
      </c>
      <c r="K6" s="3887" t="s">
        <v>3012</v>
      </c>
      <c r="L6" s="3306" t="s">
        <v>3013</v>
      </c>
      <c r="M6" s="3307" t="s">
        <v>3014</v>
      </c>
      <c r="N6" s="3307" t="s">
        <v>3015</v>
      </c>
      <c r="O6" s="3307" t="s">
        <v>3016</v>
      </c>
      <c r="P6" s="3307" t="s">
        <v>3017</v>
      </c>
      <c r="Q6" s="3307" t="s">
        <v>3018</v>
      </c>
      <c r="R6" s="3290" t="s">
        <v>3019</v>
      </c>
      <c r="S6" s="3275"/>
      <c r="T6" s="3275" t="s">
        <v>3020</v>
      </c>
      <c r="U6" s="3275"/>
      <c r="V6" s="3281"/>
    </row>
    <row r="7" spans="1:22" s="3285" customFormat="1" ht="13.15" customHeight="1">
      <c r="A7" s="3308" t="s">
        <v>3021</v>
      </c>
      <c r="B7" s="3309"/>
      <c r="C7" s="3310"/>
      <c r="D7" s="3311">
        <f>SUM(D9,D10,D11,D17,0)</f>
        <v>0</v>
      </c>
      <c r="E7" s="3312" t="e">
        <f>E9+E10+E11+E17</f>
        <v>#DIV/0!</v>
      </c>
      <c r="F7" s="3313"/>
      <c r="G7" s="3314"/>
      <c r="H7" s="3280"/>
      <c r="I7" s="3281"/>
      <c r="J7" s="3886"/>
      <c r="K7" s="3888"/>
      <c r="L7" s="3315" t="s">
        <v>3022</v>
      </c>
      <c r="M7" s="3316"/>
      <c r="N7" s="3292"/>
      <c r="O7" s="3317"/>
      <c r="P7" s="3317"/>
      <c r="Q7" s="3318">
        <v>365</v>
      </c>
      <c r="R7" s="3319">
        <f>ROUND(M7*N7*O7*P7*Q7/10000,0)</f>
        <v>0</v>
      </c>
      <c r="S7" s="3275"/>
      <c r="T7" s="3275" t="s">
        <v>3023</v>
      </c>
      <c r="U7" s="3275"/>
      <c r="V7" s="3281"/>
    </row>
    <row r="8" spans="1:22" s="3285" customFormat="1" ht="13.15" customHeight="1">
      <c r="A8" s="3320" t="s">
        <v>3024</v>
      </c>
      <c r="B8" s="3903" t="s">
        <v>3025</v>
      </c>
      <c r="C8" s="3904"/>
      <c r="D8" s="3321" t="s">
        <v>3026</v>
      </c>
      <c r="E8" s="3322" t="s">
        <v>3027</v>
      </c>
      <c r="F8" s="3323" t="s">
        <v>3028</v>
      </c>
      <c r="G8" s="3324"/>
      <c r="H8" s="3280"/>
      <c r="I8" s="3281"/>
      <c r="J8" s="3886"/>
      <c r="K8" s="3888"/>
      <c r="L8" s="3315" t="s">
        <v>3029</v>
      </c>
      <c r="M8" s="3316"/>
      <c r="N8" s="3292"/>
      <c r="O8" s="3317"/>
      <c r="P8" s="3317"/>
      <c r="Q8" s="3318">
        <v>365</v>
      </c>
      <c r="R8" s="3319">
        <f t="shared" ref="R8:R13" si="0">ROUND(M8*N8*O8*P8*Q8/10000,0)</f>
        <v>0</v>
      </c>
      <c r="S8" s="3275"/>
      <c r="T8" s="3275" t="s">
        <v>3030</v>
      </c>
      <c r="U8" s="3275"/>
      <c r="V8" s="3281"/>
    </row>
    <row r="9" spans="1:22" s="3285" customFormat="1" ht="13.15" customHeight="1">
      <c r="A9" s="3320">
        <v>1</v>
      </c>
      <c r="B9" s="3903" t="s">
        <v>3031</v>
      </c>
      <c r="C9" s="3904"/>
      <c r="D9" s="3321">
        <f>ROUND(D6*E9,0)</f>
        <v>0</v>
      </c>
      <c r="E9" s="3325"/>
      <c r="F9" s="3326" t="s">
        <v>3032</v>
      </c>
      <c r="G9" s="3305"/>
      <c r="H9" s="3280"/>
      <c r="I9" s="3281"/>
      <c r="J9" s="3886"/>
      <c r="K9" s="3888"/>
      <c r="L9" s="3315" t="s">
        <v>3033</v>
      </c>
      <c r="M9" s="3316"/>
      <c r="N9" s="3292"/>
      <c r="O9" s="3317"/>
      <c r="P9" s="3317"/>
      <c r="Q9" s="3318">
        <v>365</v>
      </c>
      <c r="R9" s="3319">
        <f t="shared" si="0"/>
        <v>0</v>
      </c>
      <c r="S9" s="3275"/>
      <c r="T9" s="3275"/>
      <c r="U9" s="3275"/>
      <c r="V9" s="3281"/>
    </row>
    <row r="10" spans="1:22" s="3285" customFormat="1" ht="13.15" customHeight="1">
      <c r="A10" s="3320">
        <v>2</v>
      </c>
      <c r="B10" s="3903" t="s">
        <v>3034</v>
      </c>
      <c r="C10" s="3904"/>
      <c r="D10" s="3321">
        <f>ROUND(D6*E10,0)</f>
        <v>0</v>
      </c>
      <c r="E10" s="3325"/>
      <c r="F10" s="3326" t="s">
        <v>3035</v>
      </c>
      <c r="G10" s="3305"/>
      <c r="H10" s="3280"/>
      <c r="I10" s="3281"/>
      <c r="J10" s="3886"/>
      <c r="K10" s="3888"/>
      <c r="L10" s="3315" t="s">
        <v>3036</v>
      </c>
      <c r="M10" s="3316"/>
      <c r="N10" s="3292"/>
      <c r="O10" s="3317"/>
      <c r="P10" s="3317"/>
      <c r="Q10" s="3318">
        <v>365</v>
      </c>
      <c r="R10" s="3319">
        <f t="shared" si="0"/>
        <v>0</v>
      </c>
      <c r="S10" s="3275"/>
      <c r="T10" s="3275"/>
      <c r="U10" s="3275"/>
      <c r="V10" s="3281"/>
    </row>
    <row r="11" spans="1:22" s="3285" customFormat="1" ht="13.15" customHeight="1">
      <c r="A11" s="3320">
        <v>3</v>
      </c>
      <c r="B11" s="3903" t="s">
        <v>3037</v>
      </c>
      <c r="C11" s="3904"/>
      <c r="D11" s="3321">
        <f>D12+D14+D15+D16</f>
        <v>0</v>
      </c>
      <c r="E11" s="3327" t="e">
        <f>D11/D6</f>
        <v>#DIV/0!</v>
      </c>
      <c r="F11" s="3323"/>
      <c r="G11" s="3324"/>
      <c r="H11" s="3280"/>
      <c r="I11" s="3281"/>
      <c r="J11" s="3886"/>
      <c r="K11" s="3888"/>
      <c r="L11" s="3315" t="s">
        <v>3038</v>
      </c>
      <c r="M11" s="3316"/>
      <c r="N11" s="3292"/>
      <c r="O11" s="3317"/>
      <c r="P11" s="3317"/>
      <c r="Q11" s="3318">
        <v>365</v>
      </c>
      <c r="R11" s="3319">
        <f t="shared" si="0"/>
        <v>0</v>
      </c>
      <c r="S11" s="3275"/>
      <c r="T11" s="3275"/>
      <c r="U11" s="3275"/>
      <c r="V11" s="3281"/>
    </row>
    <row r="12" spans="1:22" s="3285" customFormat="1" ht="13.15" customHeight="1">
      <c r="A12" s="3328" t="s">
        <v>3039</v>
      </c>
      <c r="B12" s="3896" t="s">
        <v>3040</v>
      </c>
      <c r="C12" s="3897"/>
      <c r="D12" s="3329">
        <f>ROUND(D13*1.2%*(1-30%),0)</f>
        <v>0</v>
      </c>
      <c r="E12" s="3330">
        <v>1.2E-2</v>
      </c>
      <c r="F12" s="3323" t="s">
        <v>3041</v>
      </c>
      <c r="G12" s="3324"/>
      <c r="H12" s="3280"/>
      <c r="I12" s="3281"/>
      <c r="J12" s="3886"/>
      <c r="K12" s="3888"/>
      <c r="L12" s="3315" t="s">
        <v>3042</v>
      </c>
      <c r="M12" s="3316"/>
      <c r="N12" s="3292"/>
      <c r="O12" s="3317"/>
      <c r="P12" s="3317"/>
      <c r="Q12" s="3318">
        <v>365</v>
      </c>
      <c r="R12" s="3319">
        <f t="shared" si="0"/>
        <v>0</v>
      </c>
      <c r="S12" s="3275"/>
      <c r="T12" s="3275"/>
      <c r="U12" s="3275"/>
      <c r="V12" s="3281"/>
    </row>
    <row r="13" spans="1:22" s="3285" customFormat="1" ht="13.15" customHeight="1">
      <c r="A13" s="3328"/>
      <c r="B13" s="3331"/>
      <c r="C13" s="3332" t="s">
        <v>3043</v>
      </c>
      <c r="D13" s="3333"/>
      <c r="E13" s="3334"/>
      <c r="F13" s="3323"/>
      <c r="G13" s="3324"/>
      <c r="H13" s="3280"/>
      <c r="I13" s="3281"/>
      <c r="J13" s="3886"/>
      <c r="K13" s="3888"/>
      <c r="L13" s="3315" t="s">
        <v>3044</v>
      </c>
      <c r="M13" s="3316"/>
      <c r="N13" s="3292"/>
      <c r="O13" s="3317"/>
      <c r="P13" s="3317"/>
      <c r="Q13" s="3318">
        <v>365</v>
      </c>
      <c r="R13" s="3319">
        <f t="shared" si="0"/>
        <v>0</v>
      </c>
      <c r="S13" s="3275"/>
      <c r="T13" s="3275"/>
      <c r="U13" s="3275"/>
      <c r="V13" s="3281"/>
    </row>
    <row r="14" spans="1:22" s="3285" customFormat="1" ht="13.15" customHeight="1">
      <c r="A14" s="3328" t="s">
        <v>3045</v>
      </c>
      <c r="B14" s="3896" t="s">
        <v>3046</v>
      </c>
      <c r="C14" s="3897"/>
      <c r="D14" s="3329">
        <f>ROUND(E14*B5/10000,0)</f>
        <v>0</v>
      </c>
      <c r="E14" s="3318"/>
      <c r="F14" s="3323" t="s">
        <v>3047</v>
      </c>
      <c r="G14" s="3324"/>
      <c r="H14" s="3280"/>
      <c r="I14" s="3281"/>
      <c r="J14" s="3886"/>
      <c r="K14" s="3889"/>
      <c r="L14" s="3335" t="s">
        <v>3048</v>
      </c>
      <c r="M14" s="3336">
        <f>SUM(M7:M13)</f>
        <v>0</v>
      </c>
      <c r="N14" s="3336" t="e">
        <f>ROUND((N7*M7+N8*M8+N9*M9+N10*M10+N11*M11+N12*M12+N13*M13)/M14,0)</f>
        <v>#DIV/0!</v>
      </c>
      <c r="O14" s="3337"/>
      <c r="P14" s="3337"/>
      <c r="Q14" s="3338"/>
      <c r="R14" s="3284">
        <f>SUM(R7:R13)</f>
        <v>0</v>
      </c>
      <c r="S14" s="3275"/>
      <c r="T14" s="3275"/>
      <c r="U14" s="3275"/>
      <c r="V14" s="3281"/>
    </row>
    <row r="15" spans="1:22" s="3285" customFormat="1" ht="13.15" customHeight="1">
      <c r="A15" s="3328" t="s">
        <v>3049</v>
      </c>
      <c r="B15" s="3896" t="s">
        <v>3050</v>
      </c>
      <c r="C15" s="3897"/>
      <c r="D15" s="3329">
        <f>ROUND(D6*E15,0)</f>
        <v>0</v>
      </c>
      <c r="E15" s="3330">
        <v>5.5E-2</v>
      </c>
      <c r="F15" s="3323" t="s">
        <v>3051</v>
      </c>
      <c r="G15" s="3305"/>
      <c r="H15" s="3280"/>
      <c r="I15" s="3281"/>
      <c r="J15" s="3886">
        <v>2</v>
      </c>
      <c r="K15" s="3887" t="s">
        <v>3052</v>
      </c>
      <c r="L15" s="3315" t="s">
        <v>3053</v>
      </c>
      <c r="M15" s="3316" t="s">
        <v>3054</v>
      </c>
      <c r="N15" s="3316" t="s">
        <v>3055</v>
      </c>
      <c r="O15" s="3317" t="s">
        <v>3056</v>
      </c>
      <c r="P15" s="3317" t="s">
        <v>3018</v>
      </c>
      <c r="Q15" s="3292" t="s">
        <v>3057</v>
      </c>
      <c r="R15" s="3339" t="s">
        <v>3019</v>
      </c>
      <c r="S15" s="3275"/>
      <c r="T15" s="3275"/>
      <c r="U15" s="3275"/>
      <c r="V15" s="3281"/>
    </row>
    <row r="16" spans="1:22" s="3285" customFormat="1" ht="13.15" customHeight="1">
      <c r="A16" s="3328" t="s">
        <v>3058</v>
      </c>
      <c r="B16" s="3896" t="s">
        <v>3059</v>
      </c>
      <c r="C16" s="3897"/>
      <c r="D16" s="3340">
        <f>D6*E16</f>
        <v>0</v>
      </c>
      <c r="E16" s="3341"/>
      <c r="F16" s="3326" t="s">
        <v>3060</v>
      </c>
      <c r="G16" s="3305"/>
      <c r="H16" s="3280"/>
      <c r="I16" s="3281"/>
      <c r="J16" s="3886"/>
      <c r="K16" s="3888"/>
      <c r="L16" s="3315" t="s">
        <v>3061</v>
      </c>
      <c r="M16" s="3316"/>
      <c r="N16" s="3316"/>
      <c r="O16" s="3317"/>
      <c r="P16" s="3318">
        <v>365</v>
      </c>
      <c r="Q16" s="3292"/>
      <c r="R16" s="3339">
        <f>ROUND(M16*N16*O16*P16/10000,0)</f>
        <v>0</v>
      </c>
      <c r="S16" s="3275"/>
      <c r="T16" s="3275"/>
      <c r="U16" s="3275"/>
      <c r="V16" s="3281"/>
    </row>
    <row r="17" spans="1:22" s="3285" customFormat="1" ht="13.15" customHeight="1" thickBot="1">
      <c r="A17" s="3342">
        <v>4</v>
      </c>
      <c r="B17" s="3898" t="s">
        <v>3062</v>
      </c>
      <c r="C17" s="3899"/>
      <c r="D17" s="3343">
        <f>ROUND(D6*E17,0)</f>
        <v>0</v>
      </c>
      <c r="E17" s="3344"/>
      <c r="F17" s="3345" t="s">
        <v>3063</v>
      </c>
      <c r="G17" s="3305"/>
      <c r="H17" s="3280"/>
      <c r="I17" s="3281"/>
      <c r="J17" s="3886"/>
      <c r="K17" s="3888"/>
      <c r="L17" s="3315" t="s">
        <v>3064</v>
      </c>
      <c r="M17" s="3316"/>
      <c r="N17" s="3316"/>
      <c r="O17" s="3317"/>
      <c r="P17" s="3318">
        <v>365</v>
      </c>
      <c r="Q17" s="3292"/>
      <c r="R17" s="3339">
        <f>ROUND(M17*N17*O17*P17/10000,0)</f>
        <v>0</v>
      </c>
      <c r="S17" s="3275"/>
      <c r="T17" s="3275"/>
      <c r="U17" s="3275"/>
      <c r="V17" s="3281"/>
    </row>
    <row r="18" spans="1:22" s="3285" customFormat="1" ht="13.15" customHeight="1" thickBot="1">
      <c r="A18" s="3308" t="s">
        <v>3065</v>
      </c>
      <c r="B18" s="3309"/>
      <c r="C18" s="3309"/>
      <c r="D18" s="3346">
        <f>ROUND(D6*E18,0)</f>
        <v>0</v>
      </c>
      <c r="E18" s="3347"/>
      <c r="F18" s="3348" t="s">
        <v>3066</v>
      </c>
      <c r="G18" s="3305"/>
      <c r="H18" s="3280"/>
      <c r="I18" s="3281"/>
      <c r="J18" s="3886"/>
      <c r="K18" s="3888"/>
      <c r="L18" s="3315" t="s">
        <v>3067</v>
      </c>
      <c r="M18" s="3316"/>
      <c r="N18" s="3316"/>
      <c r="O18" s="3317"/>
      <c r="P18" s="3318">
        <v>365</v>
      </c>
      <c r="Q18" s="3292"/>
      <c r="R18" s="3339">
        <f>ROUND(M18*N18*O18*P18/10000,0)</f>
        <v>0</v>
      </c>
      <c r="S18" s="3275"/>
      <c r="T18" s="3275"/>
      <c r="U18" s="3275"/>
      <c r="V18" s="3281"/>
    </row>
    <row r="19" spans="1:22" s="3285" customFormat="1" ht="13.15" customHeight="1" thickBot="1">
      <c r="A19" s="3349" t="s">
        <v>3068</v>
      </c>
      <c r="B19" s="3303"/>
      <c r="C19" s="3303"/>
      <c r="D19" s="3303"/>
      <c r="E19" s="3303"/>
      <c r="F19" s="3304"/>
      <c r="G19" s="3324"/>
      <c r="H19" s="3280"/>
      <c r="I19" s="3281"/>
      <c r="J19" s="3886"/>
      <c r="K19" s="3889"/>
      <c r="L19" s="3335" t="s">
        <v>3048</v>
      </c>
      <c r="M19" s="3336"/>
      <c r="N19" s="3336">
        <f>SUM(N16:N18)</f>
        <v>0</v>
      </c>
      <c r="O19" s="3337"/>
      <c r="P19" s="3350" t="s">
        <v>3069</v>
      </c>
      <c r="Q19" s="3317"/>
      <c r="R19" s="3351">
        <f>ROUND(IF(P19="按比例",R14*Q19,SUM(R16:R18)),0)</f>
        <v>0</v>
      </c>
      <c r="S19" s="3275"/>
      <c r="T19" s="3275"/>
      <c r="U19" s="3275"/>
      <c r="V19" s="3281"/>
    </row>
    <row r="20" spans="1:22" s="3285" customFormat="1" ht="13.15" customHeight="1">
      <c r="A20" s="3308"/>
      <c r="B20" s="3309"/>
      <c r="C20" s="3309"/>
      <c r="D20" s="3309"/>
      <c r="E20" s="3309"/>
      <c r="F20" s="3352"/>
      <c r="G20" s="3324"/>
      <c r="H20" s="3280"/>
      <c r="I20" s="3281"/>
      <c r="J20" s="3886">
        <v>3</v>
      </c>
      <c r="K20" s="3887" t="s">
        <v>3070</v>
      </c>
      <c r="L20" s="3315" t="s">
        <v>3071</v>
      </c>
      <c r="M20" s="3316" t="s">
        <v>3072</v>
      </c>
      <c r="N20" s="3353" t="s">
        <v>3073</v>
      </c>
      <c r="O20" s="3317" t="s">
        <v>3074</v>
      </c>
      <c r="P20" s="3318" t="s">
        <v>3075</v>
      </c>
      <c r="Q20" s="3292" t="s">
        <v>3076</v>
      </c>
      <c r="R20" s="3339" t="s">
        <v>3077</v>
      </c>
      <c r="S20" s="3354"/>
      <c r="T20" s="3354"/>
      <c r="U20" s="3354"/>
      <c r="V20" s="3281"/>
    </row>
    <row r="21" spans="1:22" s="3285" customFormat="1" ht="13.15" customHeight="1">
      <c r="A21" s="3308"/>
      <c r="B21" s="3309"/>
      <c r="C21" s="3355" t="s">
        <v>3078</v>
      </c>
      <c r="D21" s="3356" t="s">
        <v>3079</v>
      </c>
      <c r="E21" s="3357" t="s">
        <v>3080</v>
      </c>
      <c r="F21" s="3352"/>
      <c r="G21" s="3324"/>
      <c r="H21" s="3280"/>
      <c r="I21" s="3281"/>
      <c r="J21" s="3886"/>
      <c r="K21" s="3888"/>
      <c r="L21" s="3315" t="s">
        <v>3081</v>
      </c>
      <c r="M21" s="3316"/>
      <c r="N21" s="3316"/>
      <c r="O21" s="3317"/>
      <c r="P21" s="3318">
        <v>365</v>
      </c>
      <c r="Q21" s="3292"/>
      <c r="R21" s="3358">
        <f>ROUND(M21*N21*O21*P21/10000,0)</f>
        <v>0</v>
      </c>
      <c r="S21" s="3354"/>
      <c r="T21" s="3354"/>
      <c r="U21" s="3354"/>
      <c r="V21" s="3281"/>
    </row>
    <row r="22" spans="1:22" s="3285" customFormat="1" ht="13.15" customHeight="1">
      <c r="A22" s="3308"/>
      <c r="B22" s="3309"/>
      <c r="C22" s="3359" t="s">
        <v>3082</v>
      </c>
      <c r="D22" s="3360" t="s">
        <v>3083</v>
      </c>
      <c r="E22" s="3361" t="s">
        <v>3084</v>
      </c>
      <c r="F22" s="3352"/>
      <c r="G22" s="3362"/>
      <c r="H22" s="3280"/>
      <c r="I22" s="3281"/>
      <c r="J22" s="3886"/>
      <c r="K22" s="3888"/>
      <c r="L22" s="3315" t="s">
        <v>3085</v>
      </c>
      <c r="M22" s="3316"/>
      <c r="N22" s="3316"/>
      <c r="O22" s="3317"/>
      <c r="P22" s="3318">
        <v>365</v>
      </c>
      <c r="Q22" s="3292"/>
      <c r="R22" s="3358">
        <f>ROUND(M22*N22*O22*P22/10000,0)</f>
        <v>0</v>
      </c>
      <c r="S22" s="3354"/>
      <c r="T22" s="3354"/>
      <c r="U22" s="3354"/>
      <c r="V22" s="3281"/>
    </row>
    <row r="23" spans="1:22" s="3285" customFormat="1" ht="13.15" customHeight="1">
      <c r="A23" s="3363">
        <v>1</v>
      </c>
      <c r="B23" s="3364" t="s">
        <v>3086</v>
      </c>
      <c r="C23" s="3365">
        <f>D6</f>
        <v>0</v>
      </c>
      <c r="D23" s="3366">
        <f>C23*(1+D24)</f>
        <v>0</v>
      </c>
      <c r="E23" s="3367">
        <f>D23*(1+E24)</f>
        <v>0</v>
      </c>
      <c r="F23" s="3368"/>
      <c r="G23" s="3369"/>
      <c r="H23" s="3280"/>
      <c r="I23" s="3281"/>
      <c r="J23" s="3886"/>
      <c r="K23" s="3888"/>
      <c r="L23" s="3315" t="s">
        <v>3087</v>
      </c>
      <c r="M23" s="3316"/>
      <c r="N23" s="3316"/>
      <c r="O23" s="3317"/>
      <c r="P23" s="3318">
        <v>365</v>
      </c>
      <c r="Q23" s="3292"/>
      <c r="R23" s="3358">
        <f>ROUND(M23*N23*O23*P23/10000,0)</f>
        <v>0</v>
      </c>
      <c r="S23" s="3275"/>
      <c r="T23" s="3275"/>
      <c r="U23" s="3275"/>
      <c r="V23" s="3281"/>
    </row>
    <row r="24" spans="1:22" s="3285" customFormat="1" ht="13.15" customHeight="1">
      <c r="A24" s="3370"/>
      <c r="B24" s="3371" t="s">
        <v>3088</v>
      </c>
      <c r="C24" s="3372"/>
      <c r="D24" s="3373"/>
      <c r="E24" s="3374"/>
      <c r="F24" s="3375"/>
      <c r="G24" s="3369"/>
      <c r="H24" s="3280"/>
      <c r="I24" s="3281"/>
      <c r="J24" s="3886"/>
      <c r="K24" s="3889"/>
      <c r="L24" s="3335" t="s">
        <v>3048</v>
      </c>
      <c r="M24" s="3336">
        <f>SUM(M21:M23)</f>
        <v>0</v>
      </c>
      <c r="N24" s="3336"/>
      <c r="O24" s="3337"/>
      <c r="P24" s="3350" t="s">
        <v>3069</v>
      </c>
      <c r="Q24" s="3317"/>
      <c r="R24" s="3351">
        <f>ROUND(IF(P24="按比例",R14*Q24,SUM(R21:R23)),0)</f>
        <v>0</v>
      </c>
      <c r="S24" s="3275"/>
      <c r="T24" s="3275"/>
      <c r="U24" s="3275"/>
      <c r="V24" s="3281"/>
    </row>
    <row r="25" spans="1:22" s="3382" customFormat="1" ht="13.15" customHeight="1">
      <c r="A25" s="3370"/>
      <c r="B25" s="3371"/>
      <c r="C25" s="3372"/>
      <c r="D25" s="3373"/>
      <c r="E25" s="3374"/>
      <c r="F25" s="3375"/>
      <c r="G25" s="3362"/>
      <c r="H25" s="3280"/>
      <c r="I25" s="3281"/>
      <c r="J25" s="3376">
        <v>4</v>
      </c>
      <c r="K25" s="3377" t="s">
        <v>3089</v>
      </c>
      <c r="L25" s="3378"/>
      <c r="M25" s="3378"/>
      <c r="N25" s="3378"/>
      <c r="O25" s="3378"/>
      <c r="P25" s="3379"/>
      <c r="Q25" s="3380"/>
      <c r="R25" s="3351">
        <f>ROUND(R14*Q25,0)</f>
        <v>0</v>
      </c>
      <c r="S25" s="3275"/>
      <c r="T25" s="3275"/>
      <c r="U25" s="3275"/>
      <c r="V25" s="3381"/>
    </row>
    <row r="26" spans="1:22" s="3382" customFormat="1" ht="13.15" customHeight="1">
      <c r="A26" s="3363">
        <v>2</v>
      </c>
      <c r="B26" s="3364" t="s">
        <v>3090</v>
      </c>
      <c r="C26" s="3365">
        <f>D7</f>
        <v>0</v>
      </c>
      <c r="D26" s="3366">
        <f>D23*D27</f>
        <v>0</v>
      </c>
      <c r="E26" s="3367">
        <f>E23*E27</f>
        <v>0</v>
      </c>
      <c r="F26" s="3368"/>
      <c r="G26" s="3369"/>
      <c r="H26" s="3280"/>
      <c r="I26" s="3281"/>
      <c r="J26" s="3890">
        <v>5</v>
      </c>
      <c r="K26" s="3383" t="s">
        <v>3091</v>
      </c>
      <c r="L26" s="3384"/>
      <c r="M26" s="3385"/>
      <c r="N26" s="3386" t="s">
        <v>3092</v>
      </c>
      <c r="O26" s="3386" t="s">
        <v>3093</v>
      </c>
      <c r="P26" s="3387" t="s">
        <v>3094</v>
      </c>
      <c r="Q26" s="3387" t="s">
        <v>3095</v>
      </c>
      <c r="R26" s="3290" t="s">
        <v>3019</v>
      </c>
      <c r="S26" s="3388"/>
      <c r="T26" s="3388"/>
      <c r="U26" s="3388"/>
      <c r="V26" s="3381"/>
    </row>
    <row r="27" spans="1:22" s="3285" customFormat="1" ht="13.15" customHeight="1">
      <c r="A27" s="3370"/>
      <c r="B27" s="3371" t="s">
        <v>3096</v>
      </c>
      <c r="C27" s="3389" t="e">
        <f>E7</f>
        <v>#DIV/0!</v>
      </c>
      <c r="D27" s="3373"/>
      <c r="E27" s="3374"/>
      <c r="F27" s="3375"/>
      <c r="G27" s="3369"/>
      <c r="H27" s="3390"/>
      <c r="I27" s="3381"/>
      <c r="J27" s="3891"/>
      <c r="K27" s="3391"/>
      <c r="L27" s="3392"/>
      <c r="M27" s="3393"/>
      <c r="N27" s="3394"/>
      <c r="O27" s="3394"/>
      <c r="P27" s="3394"/>
      <c r="Q27" s="3395"/>
      <c r="R27" s="3351">
        <f>ROUND(O27*N27*P27*(1-Q27)/10000,0)</f>
        <v>0</v>
      </c>
      <c r="S27" s="3275"/>
      <c r="T27" s="3275"/>
      <c r="U27" s="3275"/>
      <c r="V27" s="3281"/>
    </row>
    <row r="28" spans="1:22" s="3382" customFormat="1" ht="13.15" customHeight="1" thickBot="1">
      <c r="A28" s="3370"/>
      <c r="B28" s="3371"/>
      <c r="C28" s="3389"/>
      <c r="D28" s="3373"/>
      <c r="E28" s="3374" t="s">
        <v>3097</v>
      </c>
      <c r="F28" s="3375"/>
      <c r="G28" s="3362"/>
      <c r="H28" s="3390"/>
      <c r="I28" s="3381"/>
      <c r="J28" s="3396">
        <v>6</v>
      </c>
      <c r="K28" s="3397" t="s">
        <v>3098</v>
      </c>
      <c r="L28" s="3398" t="s">
        <v>3099</v>
      </c>
      <c r="M28" s="3399"/>
      <c r="N28" s="3398" t="s">
        <v>3100</v>
      </c>
      <c r="O28" s="3400"/>
      <c r="P28" s="3398" t="s">
        <v>3101</v>
      </c>
      <c r="Q28" s="3401">
        <v>1.4999999999999999E-2</v>
      </c>
      <c r="R28" s="3402"/>
      <c r="S28" s="3354"/>
      <c r="T28" s="3354"/>
      <c r="U28" s="3354"/>
      <c r="V28" s="3381"/>
    </row>
    <row r="29" spans="1:22" s="3382" customFormat="1" ht="13.15" customHeight="1">
      <c r="A29" s="3363">
        <v>3</v>
      </c>
      <c r="B29" s="3364" t="s">
        <v>3102</v>
      </c>
      <c r="C29" s="3365">
        <f>C23*C30</f>
        <v>0</v>
      </c>
      <c r="D29" s="3366">
        <f>D23*C30</f>
        <v>0</v>
      </c>
      <c r="E29" s="3367">
        <f>E23*C30</f>
        <v>0</v>
      </c>
      <c r="F29" s="3368"/>
      <c r="G29" s="3369"/>
      <c r="H29" s="3280"/>
      <c r="I29" s="3281"/>
      <c r="J29" s="3354"/>
      <c r="K29" s="3354"/>
      <c r="L29" s="3354"/>
      <c r="M29" s="3354"/>
      <c r="N29" s="3354"/>
      <c r="O29" s="3354"/>
      <c r="P29" s="3354"/>
      <c r="Q29" s="3354"/>
      <c r="R29" s="3354"/>
      <c r="S29" s="3354"/>
      <c r="T29" s="3354"/>
      <c r="U29" s="3354"/>
      <c r="V29" s="3381"/>
    </row>
    <row r="30" spans="1:22" s="3285" customFormat="1" ht="13.15" customHeight="1" thickBot="1">
      <c r="A30" s="3370"/>
      <c r="B30" s="3371" t="s">
        <v>3096</v>
      </c>
      <c r="C30" s="3389">
        <f>E18</f>
        <v>0</v>
      </c>
      <c r="D30" s="3403"/>
      <c r="E30" s="3334"/>
      <c r="F30" s="3375"/>
      <c r="G30" s="3369"/>
      <c r="H30" s="3390"/>
      <c r="I30" s="3381"/>
      <c r="J30" s="3354"/>
      <c r="K30" s="3354"/>
      <c r="L30" s="3354"/>
      <c r="M30" s="3354"/>
      <c r="N30" s="3354"/>
      <c r="O30" s="3354"/>
      <c r="P30" s="3354"/>
      <c r="Q30" s="3354"/>
      <c r="R30" s="3354"/>
      <c r="S30" s="3354"/>
      <c r="T30" s="3354"/>
      <c r="U30" s="3275"/>
      <c r="V30" s="3281"/>
    </row>
    <row r="31" spans="1:22" s="3382" customFormat="1" ht="13.15" customHeight="1">
      <c r="A31" s="3370"/>
      <c r="B31" s="3371"/>
      <c r="C31" s="3404"/>
      <c r="D31" s="3403"/>
      <c r="E31" s="3334"/>
      <c r="F31" s="3375"/>
      <c r="G31" s="3362"/>
      <c r="H31" s="3390"/>
      <c r="I31" s="3381"/>
      <c r="J31" s="3272" t="s">
        <v>3103</v>
      </c>
      <c r="K31" s="3273"/>
      <c r="L31" s="3273"/>
      <c r="M31" s="3273"/>
      <c r="N31" s="3273"/>
      <c r="O31" s="3273"/>
      <c r="P31" s="3273"/>
      <c r="Q31" s="3273"/>
      <c r="R31" s="3274"/>
      <c r="S31" s="3354"/>
      <c r="T31" s="3275"/>
      <c r="U31" s="3275"/>
      <c r="V31" s="3381"/>
    </row>
    <row r="32" spans="1:22" s="3382" customFormat="1" ht="13.15" customHeight="1">
      <c r="A32" s="3363">
        <v>4</v>
      </c>
      <c r="B32" s="3364" t="s">
        <v>3104</v>
      </c>
      <c r="C32" s="3365">
        <f>C23-C26-C29</f>
        <v>0</v>
      </c>
      <c r="D32" s="3366">
        <f>D23-D26-D29</f>
        <v>0</v>
      </c>
      <c r="E32" s="3367">
        <f>E23-E26-E29</f>
        <v>0</v>
      </c>
      <c r="F32" s="3368"/>
      <c r="G32" s="3362"/>
      <c r="H32" s="3280"/>
      <c r="I32" s="3281"/>
      <c r="J32" s="3892" t="s">
        <v>2995</v>
      </c>
      <c r="K32" s="3893"/>
      <c r="L32" s="3282" t="s">
        <v>2996</v>
      </c>
      <c r="M32" s="3282" t="s">
        <v>2997</v>
      </c>
      <c r="N32" s="3282" t="s">
        <v>2998</v>
      </c>
      <c r="O32" s="3282" t="s">
        <v>2999</v>
      </c>
      <c r="P32" s="3282" t="s">
        <v>3000</v>
      </c>
      <c r="Q32" s="3283" t="s">
        <v>3001</v>
      </c>
      <c r="R32" s="3405" t="s">
        <v>3002</v>
      </c>
      <c r="S32" s="3354"/>
      <c r="T32" s="3275"/>
      <c r="U32" s="3275"/>
      <c r="V32" s="3381"/>
    </row>
    <row r="33" spans="1:23" s="3285" customFormat="1" ht="13.15" customHeight="1">
      <c r="A33" s="3363"/>
      <c r="B33" s="3364"/>
      <c r="C33" s="3365"/>
      <c r="D33" s="3406"/>
      <c r="E33" s="3407"/>
      <c r="F33" s="3368"/>
      <c r="G33" s="3362"/>
      <c r="H33" s="3390"/>
      <c r="I33" s="3381"/>
      <c r="J33" s="3894" t="s">
        <v>3005</v>
      </c>
      <c r="K33" s="3895"/>
      <c r="L33" s="3288"/>
      <c r="M33" s="3288"/>
      <c r="N33" s="3288"/>
      <c r="O33" s="3288"/>
      <c r="P33" s="3288"/>
      <c r="Q33" s="3289"/>
      <c r="R33" s="3408">
        <f>SUM(L33:Q33)</f>
        <v>0</v>
      </c>
      <c r="S33" s="3354"/>
      <c r="T33" s="3275"/>
      <c r="U33" s="3275"/>
      <c r="V33" s="3281"/>
    </row>
    <row r="34" spans="1:23" s="3285" customFormat="1" ht="13.15" customHeight="1">
      <c r="A34" s="3363">
        <v>5</v>
      </c>
      <c r="B34" s="3364" t="s">
        <v>3105</v>
      </c>
      <c r="C34" s="3409"/>
      <c r="D34" s="3410"/>
      <c r="E34" s="3411"/>
      <c r="F34" s="3368"/>
      <c r="G34" s="3362"/>
      <c r="H34" s="3390"/>
      <c r="I34" s="3381"/>
      <c r="J34" s="3894" t="s">
        <v>3007</v>
      </c>
      <c r="K34" s="3895"/>
      <c r="L34" s="3293"/>
      <c r="M34" s="3293"/>
      <c r="N34" s="3293"/>
      <c r="O34" s="3293"/>
      <c r="P34" s="3293"/>
      <c r="Q34" s="3294"/>
      <c r="R34" s="3412">
        <f>SUM(L34:Q34)</f>
        <v>0</v>
      </c>
      <c r="S34" s="3354"/>
      <c r="T34" s="3275"/>
      <c r="U34" s="3275" t="e">
        <f>ROUND(R35*10000/365/R33,1)</f>
        <v>#DIV/0!</v>
      </c>
      <c r="V34" s="3281"/>
    </row>
    <row r="35" spans="1:23" s="3285" customFormat="1" ht="13.15" customHeight="1">
      <c r="A35" s="3363">
        <v>6</v>
      </c>
      <c r="B35" s="3364" t="s">
        <v>3106</v>
      </c>
      <c r="C35" s="3413"/>
      <c r="D35" s="3414"/>
      <c r="E35" s="3415"/>
      <c r="F35" s="3368"/>
      <c r="G35" s="3416"/>
      <c r="H35" s="3280"/>
      <c r="I35" s="3381"/>
      <c r="J35" s="3299" t="s">
        <v>3009</v>
      </c>
      <c r="K35" s="3300"/>
      <c r="L35" s="3300"/>
      <c r="M35" s="3301"/>
      <c r="N35" s="3301"/>
      <c r="O35" s="3301"/>
      <c r="P35" s="3301"/>
      <c r="Q35" s="3301"/>
      <c r="R35" s="3417">
        <f>R40+R41+R43</f>
        <v>0</v>
      </c>
      <c r="S35" s="3354"/>
      <c r="T35" s="3275" t="s">
        <v>3010</v>
      </c>
      <c r="U35" s="3275"/>
      <c r="V35" s="3281"/>
    </row>
    <row r="36" spans="1:23" s="3285" customFormat="1" ht="13.15" customHeight="1" thickBot="1">
      <c r="A36" s="3363">
        <v>7</v>
      </c>
      <c r="B36" s="3418" t="s">
        <v>3107</v>
      </c>
      <c r="C36" s="3419"/>
      <c r="D36" s="3420"/>
      <c r="E36" s="3421"/>
      <c r="F36" s="3422">
        <f>C36+D36+E36</f>
        <v>0</v>
      </c>
      <c r="G36" s="3362"/>
      <c r="H36" s="3280"/>
      <c r="I36" s="3281"/>
      <c r="J36" s="3886">
        <v>1</v>
      </c>
      <c r="K36" s="3887" t="s">
        <v>3108</v>
      </c>
      <c r="L36" s="3306"/>
      <c r="M36" s="3307"/>
      <c r="N36" s="3307"/>
      <c r="O36" s="3307"/>
      <c r="P36" s="3307"/>
      <c r="Q36" s="3307"/>
      <c r="R36" s="3290" t="s">
        <v>3019</v>
      </c>
      <c r="S36" s="3354"/>
      <c r="T36" s="3275" t="s">
        <v>3020</v>
      </c>
      <c r="U36" s="3275"/>
      <c r="V36" s="3281"/>
    </row>
    <row r="37" spans="1:23" s="3285" customFormat="1" ht="13.15" customHeight="1">
      <c r="A37" s="3363"/>
      <c r="B37" s="3364"/>
      <c r="C37" s="3364"/>
      <c r="D37" s="3364"/>
      <c r="E37" s="3364"/>
      <c r="F37" s="3368"/>
      <c r="G37" s="3362"/>
      <c r="H37" s="3280"/>
      <c r="I37" s="3281"/>
      <c r="J37" s="3886"/>
      <c r="K37" s="3888"/>
      <c r="L37" s="3315"/>
      <c r="M37" s="3316"/>
      <c r="N37" s="3292"/>
      <c r="O37" s="3317"/>
      <c r="P37" s="3317"/>
      <c r="Q37" s="3318"/>
      <c r="R37" s="3319"/>
      <c r="S37" s="3354"/>
      <c r="T37" s="3275" t="s">
        <v>3023</v>
      </c>
      <c r="U37" s="3275"/>
      <c r="V37" s="3281"/>
    </row>
    <row r="38" spans="1:23" s="3285" customFormat="1" ht="13.15" customHeight="1">
      <c r="A38" s="3363">
        <v>8</v>
      </c>
      <c r="B38" s="3364"/>
      <c r="C38" s="3321" t="e">
        <f>ROUND(C32*(1-((1+C35)/(1+C34))^C36)/(C34-C35),0)</f>
        <v>#DIV/0!</v>
      </c>
      <c r="D38" s="3321">
        <f>IF(D23=0,0,ROUND(D32*(1-((1+D35)/(1+D34))^D36)/(D34-D35),0))</f>
        <v>0</v>
      </c>
      <c r="E38" s="3321">
        <f>IF(E23=0,0,ROUND(E32*(1-((1+E35)/(1+E34))^E36)/(E34-E35),0))</f>
        <v>0</v>
      </c>
      <c r="F38" s="3368"/>
      <c r="G38" s="3362"/>
      <c r="H38" s="3280"/>
      <c r="I38" s="3281"/>
      <c r="J38" s="3886"/>
      <c r="K38" s="3888"/>
      <c r="L38" s="3315"/>
      <c r="M38" s="3316"/>
      <c r="N38" s="3292"/>
      <c r="O38" s="3317"/>
      <c r="P38" s="3317"/>
      <c r="Q38" s="3318"/>
      <c r="R38" s="3319"/>
      <c r="S38" s="3354"/>
      <c r="T38" s="3275" t="s">
        <v>3030</v>
      </c>
      <c r="U38" s="3275"/>
      <c r="V38" s="3281"/>
    </row>
    <row r="39" spans="1:23" s="3285" customFormat="1" ht="13.15" customHeight="1">
      <c r="A39" s="3363">
        <v>9</v>
      </c>
      <c r="B39" s="3364" t="s">
        <v>3109</v>
      </c>
      <c r="C39" s="3329" t="e">
        <f>C38</f>
        <v>#DIV/0!</v>
      </c>
      <c r="D39" s="3364">
        <f>D38/(1+D34)^C36</f>
        <v>0</v>
      </c>
      <c r="E39" s="3364">
        <f>E38/(1+E34)^(C36+D36)</f>
        <v>0</v>
      </c>
      <c r="F39" s="3368"/>
      <c r="G39" s="3423"/>
      <c r="H39" s="3280"/>
      <c r="I39" s="3281"/>
      <c r="J39" s="3886"/>
      <c r="K39" s="3888"/>
      <c r="L39" s="3315"/>
      <c r="M39" s="3316"/>
      <c r="N39" s="3292"/>
      <c r="O39" s="3317"/>
      <c r="P39" s="3317"/>
      <c r="Q39" s="3318"/>
      <c r="R39" s="3319"/>
      <c r="S39" s="3354"/>
      <c r="T39" s="3275"/>
      <c r="U39" s="3275"/>
      <c r="V39" s="3281"/>
    </row>
    <row r="40" spans="1:23" s="3285" customFormat="1" ht="13.15" customHeight="1">
      <c r="A40" s="3424">
        <v>10</v>
      </c>
      <c r="B40" s="3364" t="s">
        <v>3110</v>
      </c>
      <c r="C40" s="3425" t="e">
        <f>C39+D39+E39</f>
        <v>#DIV/0!</v>
      </c>
      <c r="D40" s="3426"/>
      <c r="E40" s="3426"/>
      <c r="F40" s="3427"/>
      <c r="G40" s="3362"/>
      <c r="H40" s="3280"/>
      <c r="I40" s="3281"/>
      <c r="J40" s="3886"/>
      <c r="K40" s="3889"/>
      <c r="L40" s="3335" t="s">
        <v>3048</v>
      </c>
      <c r="M40" s="3336"/>
      <c r="N40" s="3336"/>
      <c r="O40" s="3337"/>
      <c r="P40" s="3337"/>
      <c r="Q40" s="3338"/>
      <c r="R40" s="3284">
        <f>SUM(R37:R39)</f>
        <v>0</v>
      </c>
      <c r="S40" s="3354"/>
      <c r="T40" s="3275"/>
      <c r="U40" s="3275"/>
      <c r="V40" s="3281"/>
    </row>
    <row r="41" spans="1:23" s="3285" customFormat="1" ht="13.15" customHeight="1" thickBot="1">
      <c r="A41" s="3428">
        <v>11</v>
      </c>
      <c r="B41" s="3429" t="s">
        <v>3111</v>
      </c>
      <c r="C41" s="3429" t="e">
        <f>ROUND(C40*10000/B4,0)</f>
        <v>#DIV/0!</v>
      </c>
      <c r="D41" s="3430"/>
      <c r="E41" s="3430"/>
      <c r="F41" s="3431"/>
      <c r="G41" s="3432"/>
      <c r="H41" s="3280"/>
      <c r="I41" s="3281"/>
      <c r="J41" s="3376">
        <v>2</v>
      </c>
      <c r="K41" s="3377" t="s">
        <v>3089</v>
      </c>
      <c r="L41" s="3378"/>
      <c r="M41" s="3378"/>
      <c r="N41" s="3378"/>
      <c r="O41" s="3378"/>
      <c r="P41" s="3379"/>
      <c r="Q41" s="3380"/>
      <c r="R41" s="3351">
        <f>ROUND(R40*Q41,0)</f>
        <v>0</v>
      </c>
      <c r="S41" s="3354"/>
      <c r="T41" s="3275"/>
      <c r="U41" s="3388"/>
      <c r="V41" s="3281"/>
    </row>
    <row r="42" spans="1:23" s="3285" customFormat="1" ht="13.15" customHeight="1">
      <c r="G42" s="3432"/>
      <c r="H42" s="3280"/>
      <c r="I42" s="3281"/>
      <c r="J42" s="3890">
        <v>3</v>
      </c>
      <c r="K42" s="3383" t="s">
        <v>3091</v>
      </c>
      <c r="L42" s="3384"/>
      <c r="M42" s="3385"/>
      <c r="N42" s="3386" t="s">
        <v>3092</v>
      </c>
      <c r="O42" s="3386" t="s">
        <v>3093</v>
      </c>
      <c r="P42" s="3387" t="s">
        <v>3094</v>
      </c>
      <c r="Q42" s="3387" t="s">
        <v>3095</v>
      </c>
      <c r="R42" s="3290" t="s">
        <v>3019</v>
      </c>
      <c r="S42" s="3388"/>
      <c r="T42" s="3388"/>
      <c r="U42" s="3275"/>
      <c r="V42" s="3281"/>
    </row>
    <row r="43" spans="1:23" ht="13.15" customHeight="1">
      <c r="A43" s="3285"/>
      <c r="B43" s="3285"/>
      <c r="C43" s="3285"/>
      <c r="D43" s="3285"/>
      <c r="E43" s="3285"/>
      <c r="F43" s="3285"/>
      <c r="I43" s="3270"/>
      <c r="J43" s="3891"/>
      <c r="K43" s="3391"/>
      <c r="L43" s="3392"/>
      <c r="M43" s="3393"/>
      <c r="N43" s="3316"/>
      <c r="O43" s="3316"/>
      <c r="P43" s="3316"/>
      <c r="Q43" s="3380"/>
      <c r="R43" s="3351">
        <f>ROUND(O43*N43*P43*(1-Q43)/10000,0)</f>
        <v>0</v>
      </c>
      <c r="S43" s="3354"/>
      <c r="T43" s="3275"/>
      <c r="V43" s="3434"/>
      <c r="W43" s="3435"/>
    </row>
    <row r="44" spans="1:23" ht="13.15" customHeight="1" thickBot="1">
      <c r="J44" s="3396">
        <v>6</v>
      </c>
      <c r="K44" s="3397" t="s">
        <v>3098</v>
      </c>
      <c r="L44" s="3436" t="s">
        <v>3099</v>
      </c>
      <c r="M44" s="3399"/>
      <c r="N44" s="3436" t="s">
        <v>3100</v>
      </c>
      <c r="O44" s="3399"/>
      <c r="P44" s="3436" t="s">
        <v>3101</v>
      </c>
      <c r="Q44" s="3401">
        <v>1.4999999999999999E-2</v>
      </c>
      <c r="R44" s="34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05" t="s">
        <v>2425</v>
      </c>
      <c r="B1" s="3906"/>
      <c r="C1" s="3907"/>
      <c r="D1" s="3908">
        <f>SUM(I10,I15,I20,I21,I23)</f>
        <v>0</v>
      </c>
      <c r="E1" s="3908"/>
      <c r="F1" s="3908"/>
      <c r="G1" s="3908"/>
      <c r="H1" s="3908"/>
      <c r="I1" s="3909"/>
    </row>
    <row r="2" spans="1:9">
      <c r="A2" s="3910" t="s">
        <v>2426</v>
      </c>
      <c r="B2" s="3911" t="s">
        <v>2427</v>
      </c>
      <c r="C2" s="3911"/>
      <c r="D2" s="2329" t="s">
        <v>2428</v>
      </c>
      <c r="E2" s="2329" t="s">
        <v>2429</v>
      </c>
      <c r="F2" s="2329" t="s">
        <v>2430</v>
      </c>
      <c r="G2" s="2329" t="s">
        <v>2431</v>
      </c>
      <c r="H2" s="2329" t="s">
        <v>2432</v>
      </c>
      <c r="I2" s="2330" t="s">
        <v>2433</v>
      </c>
    </row>
    <row r="3" spans="1:9">
      <c r="A3" s="3910"/>
      <c r="B3" s="3911" t="s">
        <v>2434</v>
      </c>
      <c r="C3" s="3911"/>
      <c r="D3" s="2331"/>
      <c r="E3" s="2329"/>
      <c r="F3" s="2332"/>
      <c r="G3" s="2332"/>
      <c r="H3" s="2333"/>
      <c r="I3" s="2334">
        <f>ROUND(D3*E3*F3*G3*H3/10000,0)</f>
        <v>0</v>
      </c>
    </row>
    <row r="4" spans="1:9">
      <c r="A4" s="3910"/>
      <c r="B4" s="3911" t="s">
        <v>2435</v>
      </c>
      <c r="C4" s="3911"/>
      <c r="D4" s="2331"/>
      <c r="E4" s="2329"/>
      <c r="F4" s="2332"/>
      <c r="G4" s="2332"/>
      <c r="H4" s="2333"/>
      <c r="I4" s="2334">
        <f t="shared" ref="I4:I9" si="0">ROUND(D4*E4*F4*G4*H4/10000,0)</f>
        <v>0</v>
      </c>
    </row>
    <row r="5" spans="1:9">
      <c r="A5" s="3910"/>
      <c r="B5" s="3911" t="s">
        <v>2436</v>
      </c>
      <c r="C5" s="3911"/>
      <c r="D5" s="2331"/>
      <c r="E5" s="2329"/>
      <c r="F5" s="2332"/>
      <c r="G5" s="2332"/>
      <c r="H5" s="2333"/>
      <c r="I5" s="2334">
        <f t="shared" si="0"/>
        <v>0</v>
      </c>
    </row>
    <row r="6" spans="1:9">
      <c r="A6" s="3910"/>
      <c r="B6" s="3911" t="s">
        <v>2437</v>
      </c>
      <c r="C6" s="3911"/>
      <c r="D6" s="2331"/>
      <c r="E6" s="2329"/>
      <c r="F6" s="2332"/>
      <c r="G6" s="2332"/>
      <c r="H6" s="2333"/>
      <c r="I6" s="2334">
        <f t="shared" si="0"/>
        <v>0</v>
      </c>
    </row>
    <row r="7" spans="1:9">
      <c r="A7" s="3910"/>
      <c r="B7" s="3911" t="s">
        <v>2438</v>
      </c>
      <c r="C7" s="3911"/>
      <c r="D7" s="2331"/>
      <c r="E7" s="2329"/>
      <c r="F7" s="2332"/>
      <c r="G7" s="2332"/>
      <c r="H7" s="2333"/>
      <c r="I7" s="2334">
        <f t="shared" si="0"/>
        <v>0</v>
      </c>
    </row>
    <row r="8" spans="1:9">
      <c r="A8" s="3910"/>
      <c r="B8" s="3911" t="s">
        <v>2439</v>
      </c>
      <c r="C8" s="3911"/>
      <c r="D8" s="2331"/>
      <c r="E8" s="2329"/>
      <c r="F8" s="2332"/>
      <c r="G8" s="2332"/>
      <c r="H8" s="2333"/>
      <c r="I8" s="2334">
        <f t="shared" si="0"/>
        <v>0</v>
      </c>
    </row>
    <row r="9" spans="1:9">
      <c r="A9" s="3910"/>
      <c r="B9" s="3911" t="s">
        <v>2440</v>
      </c>
      <c r="C9" s="3911"/>
      <c r="D9" s="2331"/>
      <c r="E9" s="2329"/>
      <c r="F9" s="2332"/>
      <c r="G9" s="2332"/>
      <c r="H9" s="2333"/>
      <c r="I9" s="2334">
        <f t="shared" si="0"/>
        <v>0</v>
      </c>
    </row>
    <row r="10" spans="1:9">
      <c r="A10" s="3910"/>
      <c r="B10" s="3912" t="s">
        <v>2441</v>
      </c>
      <c r="C10" s="3912"/>
      <c r="D10" s="2335">
        <v>527</v>
      </c>
      <c r="E10" s="2335" t="e">
        <f>ROUND(D1*10000/D10/H9,0)</f>
        <v>#DIV/0!</v>
      </c>
      <c r="F10" s="2336"/>
      <c r="G10" s="2336"/>
      <c r="H10" s="2337"/>
      <c r="I10" s="2338">
        <f>SUM(I3:I9)</f>
        <v>0</v>
      </c>
    </row>
    <row r="11" spans="1:9" ht="14.25">
      <c r="A11" s="3910" t="s">
        <v>2442</v>
      </c>
      <c r="B11" s="3911" t="s">
        <v>2443</v>
      </c>
      <c r="C11" s="3911"/>
      <c r="D11" s="2331" t="s">
        <v>2444</v>
      </c>
      <c r="E11" s="2331" t="s">
        <v>2445</v>
      </c>
      <c r="F11" s="2332" t="s">
        <v>2446</v>
      </c>
      <c r="G11" s="2332" t="s">
        <v>2447</v>
      </c>
      <c r="H11" s="2339" t="s">
        <v>2448</v>
      </c>
      <c r="I11" s="2330" t="s">
        <v>2449</v>
      </c>
    </row>
    <row r="12" spans="1:9">
      <c r="A12" s="3910"/>
      <c r="B12" s="3911" t="s">
        <v>2450</v>
      </c>
      <c r="C12" s="3911"/>
      <c r="D12" s="2331"/>
      <c r="E12" s="2331"/>
      <c r="F12" s="2332"/>
      <c r="G12" s="2333"/>
      <c r="H12" s="2340"/>
      <c r="I12" s="2330">
        <f>ROUND(D12*E12*F12*G12/10000,0)</f>
        <v>0</v>
      </c>
    </row>
    <row r="13" spans="1:9">
      <c r="A13" s="3910"/>
      <c r="B13" s="3911" t="s">
        <v>2451</v>
      </c>
      <c r="C13" s="3911"/>
      <c r="D13" s="2331"/>
      <c r="E13" s="2331"/>
      <c r="F13" s="2332"/>
      <c r="G13" s="2333"/>
      <c r="H13" s="2340"/>
      <c r="I13" s="2330">
        <f>ROUND(D13*E13*F13*G13/10000,0)</f>
        <v>0</v>
      </c>
    </row>
    <row r="14" spans="1:9">
      <c r="A14" s="3910"/>
      <c r="B14" s="3911" t="s">
        <v>2452</v>
      </c>
      <c r="C14" s="3911"/>
      <c r="D14" s="2331"/>
      <c r="E14" s="2331"/>
      <c r="F14" s="2332"/>
      <c r="G14" s="2333"/>
      <c r="H14" s="2340"/>
      <c r="I14" s="2330">
        <f>ROUND(D14*E14*F14*G14/10000,0)</f>
        <v>0</v>
      </c>
    </row>
    <row r="15" spans="1:9">
      <c r="A15" s="3910"/>
      <c r="B15" s="3912" t="s">
        <v>2441</v>
      </c>
      <c r="C15" s="3912"/>
      <c r="D15" s="2335"/>
      <c r="E15" s="2335">
        <f>SUM(E12:E14)</f>
        <v>0</v>
      </c>
      <c r="F15" s="2336"/>
      <c r="G15" s="2333"/>
      <c r="H15" s="2340"/>
      <c r="I15" s="2341">
        <f>SUM(I12:I14)</f>
        <v>0</v>
      </c>
    </row>
    <row r="16" spans="1:9" ht="24">
      <c r="A16" s="3910" t="s">
        <v>2453</v>
      </c>
      <c r="B16" s="3911" t="s">
        <v>2454</v>
      </c>
      <c r="C16" s="3911"/>
      <c r="D16" s="2331" t="s">
        <v>2455</v>
      </c>
      <c r="E16" s="2342" t="s">
        <v>2456</v>
      </c>
      <c r="F16" s="2332" t="s">
        <v>2457</v>
      </c>
      <c r="G16" s="2333" t="s">
        <v>2447</v>
      </c>
      <c r="H16" s="2339" t="s">
        <v>2448</v>
      </c>
      <c r="I16" s="2330" t="s">
        <v>2449</v>
      </c>
    </row>
    <row r="17" spans="1:9" ht="14.25">
      <c r="A17" s="3910"/>
      <c r="B17" s="3911" t="s">
        <v>2458</v>
      </c>
      <c r="C17" s="3911"/>
      <c r="D17" s="2331"/>
      <c r="E17" s="2331"/>
      <c r="F17" s="2332"/>
      <c r="G17" s="2333"/>
      <c r="H17" s="2343"/>
      <c r="I17" s="2344">
        <f>ROUND(D17*E17*F17*G17/10000,0)</f>
        <v>0</v>
      </c>
    </row>
    <row r="18" spans="1:9" ht="14.25">
      <c r="A18" s="3910"/>
      <c r="B18" s="3911" t="s">
        <v>2459</v>
      </c>
      <c r="C18" s="3911"/>
      <c r="D18" s="2331"/>
      <c r="E18" s="2331"/>
      <c r="F18" s="2332"/>
      <c r="G18" s="2333"/>
      <c r="H18" s="2343"/>
      <c r="I18" s="2344">
        <f>ROUND(D18*E18*F18*G18/10000,0)</f>
        <v>0</v>
      </c>
    </row>
    <row r="19" spans="1:9" ht="14.25">
      <c r="A19" s="3910"/>
      <c r="B19" s="3911" t="s">
        <v>2460</v>
      </c>
      <c r="C19" s="3911"/>
      <c r="D19" s="2331"/>
      <c r="E19" s="2331"/>
      <c r="F19" s="2332"/>
      <c r="G19" s="2333"/>
      <c r="H19" s="2343"/>
      <c r="I19" s="2344">
        <f>ROUND(D19*E19*F19*G19/10000,0)</f>
        <v>0</v>
      </c>
    </row>
    <row r="20" spans="1:9">
      <c r="A20" s="3910"/>
      <c r="B20" s="3912" t="s">
        <v>2441</v>
      </c>
      <c r="C20" s="3912"/>
      <c r="D20" s="2335">
        <f>SUM(D17:D19)</f>
        <v>0</v>
      </c>
      <c r="E20" s="2335"/>
      <c r="F20" s="2336"/>
      <c r="G20" s="2333"/>
      <c r="H20" s="2340"/>
      <c r="I20" s="2341">
        <f>SUM(I17:I19)</f>
        <v>0</v>
      </c>
    </row>
    <row r="21" spans="1:9">
      <c r="A21" s="3910" t="s">
        <v>2461</v>
      </c>
      <c r="B21" s="3914"/>
      <c r="C21" s="3914"/>
      <c r="D21" s="3914"/>
      <c r="E21" s="3914"/>
      <c r="F21" s="3914"/>
      <c r="G21" s="3914"/>
      <c r="H21" s="2345">
        <v>0.1</v>
      </c>
      <c r="I21" s="2338">
        <f>ROUND(I10*H21,0)</f>
        <v>0</v>
      </c>
    </row>
    <row r="22" spans="1:9" ht="14.25">
      <c r="A22" s="3915" t="s">
        <v>2462</v>
      </c>
      <c r="B22" s="3916"/>
      <c r="C22" s="3917"/>
      <c r="D22" s="2346" t="s">
        <v>2463</v>
      </c>
      <c r="E22" s="2346" t="s">
        <v>2464</v>
      </c>
      <c r="F22" s="2347" t="s">
        <v>2465</v>
      </c>
      <c r="G22" s="2347" t="s">
        <v>2466</v>
      </c>
      <c r="H22" s="2339" t="s">
        <v>2467</v>
      </c>
      <c r="I22" s="2330" t="s">
        <v>2468</v>
      </c>
    </row>
    <row r="23" spans="1:9" ht="14.25" thickBot="1">
      <c r="A23" s="3918"/>
      <c r="B23" s="3919"/>
      <c r="C23" s="3920"/>
      <c r="D23" s="2348"/>
      <c r="E23" s="2348"/>
      <c r="F23" s="2348"/>
      <c r="G23" s="2349"/>
      <c r="H23" s="2350"/>
      <c r="I23" s="2351">
        <f>ROUND(E23*D23*F23*(1-G23)/10000,0)</f>
        <v>0</v>
      </c>
    </row>
    <row r="26" spans="1:9">
      <c r="A26" s="2352" t="s">
        <v>2469</v>
      </c>
      <c r="B26" s="2352"/>
      <c r="C26" s="2352"/>
      <c r="D26" s="2352"/>
      <c r="E26" s="3921">
        <f>C27-C30-C31-C32</f>
        <v>0</v>
      </c>
      <c r="F26" s="3921"/>
      <c r="G26" s="3921"/>
      <c r="H26" s="2722" t="s">
        <v>2792</v>
      </c>
    </row>
    <row r="27" spans="1:9">
      <c r="A27" s="2353">
        <v>1</v>
      </c>
      <c r="B27" s="2354" t="s">
        <v>2470</v>
      </c>
      <c r="C27" s="2354"/>
      <c r="D27" s="2354"/>
      <c r="E27" s="3922"/>
      <c r="F27" s="3922"/>
      <c r="G27" s="3922"/>
    </row>
    <row r="28" spans="1:9">
      <c r="A28" s="2355" t="s">
        <v>2471</v>
      </c>
      <c r="B28" s="2354" t="s">
        <v>2472</v>
      </c>
      <c r="C28" s="2354"/>
      <c r="D28" s="2354"/>
      <c r="E28" s="3922"/>
      <c r="F28" s="3922"/>
      <c r="G28" s="3922"/>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913"/>
      <c r="F32" s="3913"/>
      <c r="G32" s="3913"/>
    </row>
    <row r="33" spans="1:7" hidden="1">
      <c r="A33" s="3923" t="s">
        <v>2480</v>
      </c>
      <c r="B33" s="3924"/>
      <c r="C33" s="3924"/>
      <c r="D33" s="3925"/>
      <c r="E33" s="3921"/>
      <c r="F33" s="3921"/>
      <c r="G33" s="3921"/>
    </row>
    <row r="34" spans="1:7" hidden="1">
      <c r="A34" s="2357">
        <v>1</v>
      </c>
      <c r="B34" s="2354" t="s">
        <v>2481</v>
      </c>
      <c r="C34" s="2354"/>
      <c r="D34" s="2354"/>
      <c r="E34" s="3922"/>
      <c r="F34" s="3922"/>
      <c r="G34" s="3922"/>
    </row>
    <row r="35" spans="1:7" hidden="1">
      <c r="A35" s="2357">
        <v>2</v>
      </c>
      <c r="B35" s="2354" t="s">
        <v>2482</v>
      </c>
      <c r="C35" s="2354"/>
      <c r="D35" s="2354"/>
      <c r="E35" s="3922"/>
      <c r="F35" s="3922"/>
      <c r="G35" s="3922"/>
    </row>
    <row r="36" spans="1:7" hidden="1">
      <c r="A36" s="2357">
        <v>3</v>
      </c>
      <c r="B36" s="2354" t="s">
        <v>2483</v>
      </c>
      <c r="C36" s="2354"/>
      <c r="D36" s="2354"/>
      <c r="E36" s="3922"/>
      <c r="F36" s="3922"/>
      <c r="G36" s="3922"/>
    </row>
    <row r="37" spans="1:7" hidden="1">
      <c r="A37" s="2357">
        <v>4</v>
      </c>
      <c r="B37" s="2354" t="s">
        <v>2484</v>
      </c>
      <c r="C37" s="2354"/>
      <c r="D37" s="2354"/>
      <c r="E37" s="3922"/>
      <c r="F37" s="3922"/>
      <c r="G37" s="3922"/>
    </row>
    <row r="38" spans="1:7" hidden="1">
      <c r="A38" s="3923" t="s">
        <v>2485</v>
      </c>
      <c r="B38" s="3924"/>
      <c r="C38" s="3924"/>
      <c r="D38" s="3925"/>
      <c r="E38" s="3921"/>
      <c r="F38" s="3921"/>
      <c r="G38" s="39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69"/>
      <c r="M1" s="3170"/>
      <c r="N1" s="3170"/>
      <c r="O1" s="3170"/>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3788" t="s">
        <v>500</v>
      </c>
      <c r="D4" s="3789"/>
      <c r="E4" s="3829" t="s">
        <v>501</v>
      </c>
      <c r="F4" s="3830"/>
      <c r="G4" s="3788" t="s">
        <v>502</v>
      </c>
      <c r="H4" s="3789"/>
      <c r="I4" s="3788" t="s">
        <v>503</v>
      </c>
      <c r="J4" s="3789"/>
      <c r="K4" s="824" t="s">
        <v>504</v>
      </c>
      <c r="L4" s="1986"/>
      <c r="M4" s="1987"/>
      <c r="N4" s="1987"/>
      <c r="O4" s="1987"/>
      <c r="P4" s="3790" t="s">
        <v>505</v>
      </c>
      <c r="Q4" s="3791"/>
      <c r="R4" s="3796" t="s">
        <v>501</v>
      </c>
      <c r="S4" s="3797"/>
      <c r="T4" s="3796" t="s">
        <v>502</v>
      </c>
      <c r="U4" s="3797"/>
      <c r="V4" s="3783" t="s">
        <v>503</v>
      </c>
      <c r="W4" s="3783"/>
      <c r="X4" s="1476"/>
      <c r="Y4" s="3796" t="s">
        <v>505</v>
      </c>
      <c r="Z4" s="3797"/>
      <c r="AA4" s="3785" t="s">
        <v>501</v>
      </c>
      <c r="AB4" s="3785" t="s">
        <v>502</v>
      </c>
      <c r="AC4" s="3785" t="s">
        <v>503</v>
      </c>
    </row>
    <row r="5" spans="1:29" ht="15">
      <c r="A5" s="491"/>
      <c r="B5" s="492"/>
      <c r="C5" s="3804" t="s">
        <v>2858</v>
      </c>
      <c r="D5" s="3805"/>
      <c r="E5" s="3831" t="s">
        <v>2859</v>
      </c>
      <c r="F5" s="3832"/>
      <c r="G5" s="3804" t="s">
        <v>2860</v>
      </c>
      <c r="H5" s="3805"/>
      <c r="I5" s="3804" t="s">
        <v>2861</v>
      </c>
      <c r="J5" s="3805"/>
      <c r="K5" s="825"/>
      <c r="L5" s="1986"/>
      <c r="M5" s="1987"/>
      <c r="N5" s="1987"/>
      <c r="O5" s="1987"/>
      <c r="P5" s="3792"/>
      <c r="Q5" s="3793"/>
      <c r="R5" s="3798"/>
      <c r="S5" s="3799"/>
      <c r="T5" s="3798"/>
      <c r="U5" s="3799"/>
      <c r="V5" s="3783"/>
      <c r="W5" s="3783"/>
      <c r="X5" s="1476"/>
      <c r="Y5" s="3798"/>
      <c r="Z5" s="3799"/>
      <c r="AA5" s="3786"/>
      <c r="AB5" s="3786"/>
      <c r="AC5" s="3786"/>
    </row>
    <row r="6" spans="1:29" ht="15.75" thickBot="1">
      <c r="A6" s="493"/>
      <c r="B6" s="494"/>
      <c r="C6" s="3802" t="s">
        <v>2862</v>
      </c>
      <c r="D6" s="3803"/>
      <c r="E6" s="3827" t="s">
        <v>2862</v>
      </c>
      <c r="F6" s="3828"/>
      <c r="G6" s="3802" t="s">
        <v>2862</v>
      </c>
      <c r="H6" s="3803"/>
      <c r="I6" s="3802" t="s">
        <v>2862</v>
      </c>
      <c r="J6" s="3803"/>
      <c r="K6" s="825" t="s">
        <v>506</v>
      </c>
      <c r="L6" s="1986"/>
      <c r="M6" s="1987"/>
      <c r="N6" s="1987"/>
      <c r="O6" s="1987"/>
      <c r="P6" s="3794"/>
      <c r="Q6" s="3795"/>
      <c r="R6" s="3798"/>
      <c r="S6" s="3799"/>
      <c r="T6" s="3800"/>
      <c r="U6" s="3801"/>
      <c r="V6" s="3783"/>
      <c r="W6" s="3783"/>
      <c r="X6" s="1476"/>
      <c r="Y6" s="3800"/>
      <c r="Z6" s="3801"/>
      <c r="AA6" s="3787"/>
      <c r="AB6" s="3787"/>
      <c r="AC6" s="3787"/>
    </row>
    <row r="7" spans="1:29" s="1185" customFormat="1" ht="15.75" thickBot="1">
      <c r="A7" s="2597"/>
      <c r="B7" s="2604" t="s">
        <v>507</v>
      </c>
      <c r="C7" s="495">
        <f>'数据-取费表'!B2</f>
        <v>44614</v>
      </c>
      <c r="D7" s="496">
        <v>100</v>
      </c>
      <c r="E7" s="497"/>
      <c r="F7" s="498">
        <f>SUMIF(58:58,YEAR(E7)&amp;"-"&amp;MONTH(E7),59:59)</f>
        <v>0</v>
      </c>
      <c r="G7" s="499"/>
      <c r="H7" s="496">
        <f>SUMIF(58:58,YEAR(G7)&amp;"-"&amp;MONTH(G7),59:59)</f>
        <v>0</v>
      </c>
      <c r="I7" s="499"/>
      <c r="J7" s="496">
        <f>SUMIF(58:58,YEAR(I7)&amp;"-"&amp;MONTH(I7),59:59)</f>
        <v>0</v>
      </c>
      <c r="K7" s="826"/>
      <c r="L7" s="1988"/>
      <c r="M7" s="1989"/>
      <c r="N7" s="1989"/>
      <c r="O7" s="1989"/>
      <c r="P7" s="3813" t="s">
        <v>508</v>
      </c>
      <c r="Q7" s="3815"/>
      <c r="R7" s="1477" t="s">
        <v>13</v>
      </c>
      <c r="S7" s="1478">
        <f t="shared" ref="S7:S15" si="0">F7</f>
        <v>0</v>
      </c>
      <c r="T7" s="1477" t="s">
        <v>13</v>
      </c>
      <c r="U7" s="1478">
        <f t="shared" ref="U7:U15" si="1">H7</f>
        <v>0</v>
      </c>
      <c r="V7" s="1477" t="s">
        <v>13</v>
      </c>
      <c r="W7" s="1478">
        <f t="shared" ref="W7:W15" si="2">J7</f>
        <v>0</v>
      </c>
      <c r="X7" s="1479"/>
      <c r="Y7" s="3813" t="s">
        <v>508</v>
      </c>
      <c r="Z7" s="3814"/>
      <c r="AA7" s="1480" t="e">
        <f>D7/F7</f>
        <v>#DIV/0!</v>
      </c>
      <c r="AB7" s="1480" t="e">
        <f>D7/H7</f>
        <v>#DIV/0!</v>
      </c>
      <c r="AC7" s="1480" t="e">
        <f>D7/J7</f>
        <v>#DIV/0!</v>
      </c>
    </row>
    <row r="8" spans="1:29" s="1185" customFormat="1" ht="15.7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813" t="s">
        <v>511</v>
      </c>
      <c r="Q8" s="3814"/>
      <c r="R8" s="1477" t="s">
        <v>13</v>
      </c>
      <c r="S8" s="1478">
        <f t="shared" si="0"/>
        <v>0</v>
      </c>
      <c r="T8" s="1477" t="s">
        <v>13</v>
      </c>
      <c r="U8" s="1478">
        <f t="shared" si="1"/>
        <v>0</v>
      </c>
      <c r="V8" s="1477" t="s">
        <v>13</v>
      </c>
      <c r="W8" s="1478">
        <f t="shared" si="2"/>
        <v>0</v>
      </c>
      <c r="X8" s="1479"/>
      <c r="Y8" s="3813" t="s">
        <v>511</v>
      </c>
      <c r="Z8" s="3814"/>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782" t="s">
        <v>513</v>
      </c>
      <c r="Q9" s="1116" t="str">
        <f t="shared" ref="Q9:Q15" si="6">B9</f>
        <v>用途</v>
      </c>
      <c r="R9" s="1477" t="s">
        <v>8</v>
      </c>
      <c r="S9" s="1478">
        <f t="shared" si="0"/>
        <v>100</v>
      </c>
      <c r="T9" s="1477" t="s">
        <v>8</v>
      </c>
      <c r="U9" s="1478">
        <f t="shared" si="1"/>
        <v>100</v>
      </c>
      <c r="V9" s="1477" t="s">
        <v>8</v>
      </c>
      <c r="W9" s="1478">
        <f t="shared" si="2"/>
        <v>100</v>
      </c>
      <c r="X9" s="1479"/>
      <c r="Y9" s="3701"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782"/>
      <c r="Q10" s="1116" t="str">
        <f t="shared" si="6"/>
        <v>土地使用年限（年）</v>
      </c>
      <c r="R10" s="1477" t="s">
        <v>8</v>
      </c>
      <c r="S10" s="1478">
        <f t="shared" si="0"/>
        <v>100</v>
      </c>
      <c r="T10" s="1477" t="s">
        <v>8</v>
      </c>
      <c r="U10" s="1478">
        <f t="shared" si="1"/>
        <v>100</v>
      </c>
      <c r="V10" s="1477" t="s">
        <v>8</v>
      </c>
      <c r="W10" s="1478">
        <f t="shared" si="2"/>
        <v>100</v>
      </c>
      <c r="X10" s="1479"/>
      <c r="Y10" s="3701"/>
      <c r="Z10" s="1115" t="str">
        <f t="shared" si="7"/>
        <v>土地使用年限（年）</v>
      </c>
      <c r="AA10" s="1480">
        <f t="shared" si="3"/>
        <v>1</v>
      </c>
      <c r="AB10" s="1480">
        <f t="shared" si="4"/>
        <v>1</v>
      </c>
      <c r="AC10" s="1480">
        <f t="shared" si="5"/>
        <v>1</v>
      </c>
    </row>
    <row r="11" spans="1:29" ht="1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782"/>
      <c r="Q11" s="1116" t="str">
        <f t="shared" si="6"/>
        <v>容积率</v>
      </c>
      <c r="R11" s="1477" t="s">
        <v>11</v>
      </c>
      <c r="S11" s="1478" t="e">
        <f t="shared" si="0"/>
        <v>#N/A</v>
      </c>
      <c r="T11" s="1477" t="s">
        <v>11</v>
      </c>
      <c r="U11" s="1478" t="e">
        <f t="shared" si="1"/>
        <v>#N/A</v>
      </c>
      <c r="V11" s="1477" t="s">
        <v>11</v>
      </c>
      <c r="W11" s="1478" t="e">
        <f t="shared" si="2"/>
        <v>#N/A</v>
      </c>
      <c r="X11" s="1479"/>
      <c r="Y11" s="3701"/>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782"/>
      <c r="Q12" s="1116">
        <f t="shared" si="6"/>
        <v>111</v>
      </c>
      <c r="R12" s="1477" t="s">
        <v>11</v>
      </c>
      <c r="S12" s="1478">
        <f t="shared" si="0"/>
        <v>100</v>
      </c>
      <c r="T12" s="1477" t="s">
        <v>11</v>
      </c>
      <c r="U12" s="1478">
        <f t="shared" si="1"/>
        <v>100</v>
      </c>
      <c r="V12" s="1477" t="s">
        <v>11</v>
      </c>
      <c r="W12" s="1478">
        <f t="shared" si="2"/>
        <v>100</v>
      </c>
      <c r="X12" s="1479"/>
      <c r="Y12" s="3701"/>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782"/>
      <c r="Q13" s="1116">
        <f t="shared" si="6"/>
        <v>111</v>
      </c>
      <c r="R13" s="1477" t="s">
        <v>11</v>
      </c>
      <c r="S13" s="1478">
        <f t="shared" si="0"/>
        <v>100</v>
      </c>
      <c r="T13" s="1477" t="s">
        <v>11</v>
      </c>
      <c r="U13" s="1478">
        <f t="shared" si="1"/>
        <v>100</v>
      </c>
      <c r="V13" s="1477" t="s">
        <v>11</v>
      </c>
      <c r="W13" s="1478">
        <f t="shared" si="2"/>
        <v>100</v>
      </c>
      <c r="X13" s="1479"/>
      <c r="Y13" s="3701"/>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782"/>
      <c r="Q14" s="1116">
        <f t="shared" si="6"/>
        <v>111</v>
      </c>
      <c r="R14" s="1477" t="s">
        <v>11</v>
      </c>
      <c r="S14" s="1478">
        <f t="shared" si="0"/>
        <v>100</v>
      </c>
      <c r="T14" s="1477" t="s">
        <v>11</v>
      </c>
      <c r="U14" s="1478">
        <f t="shared" si="1"/>
        <v>100</v>
      </c>
      <c r="V14" s="1477" t="s">
        <v>11</v>
      </c>
      <c r="W14" s="1478">
        <f t="shared" si="2"/>
        <v>100</v>
      </c>
      <c r="X14" s="1479"/>
      <c r="Y14" s="3701"/>
      <c r="Z14" s="1115">
        <f t="shared" si="7"/>
        <v>111</v>
      </c>
      <c r="AA14" s="1480">
        <f t="shared" si="3"/>
        <v>1</v>
      </c>
      <c r="AB14" s="1480">
        <f t="shared" si="4"/>
        <v>1</v>
      </c>
      <c r="AC14" s="1480">
        <f t="shared" si="5"/>
        <v>1</v>
      </c>
    </row>
    <row r="15" spans="1:29" ht="99.75">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816" t="s">
        <v>518</v>
      </c>
      <c r="Q15" s="1481" t="str">
        <f t="shared" si="6"/>
        <v>居住社区成熟度</v>
      </c>
      <c r="R15" s="1482" t="s">
        <v>11</v>
      </c>
      <c r="S15" s="1483">
        <f t="shared" si="0"/>
        <v>100</v>
      </c>
      <c r="T15" s="1482" t="s">
        <v>11</v>
      </c>
      <c r="U15" s="1483">
        <f t="shared" si="1"/>
        <v>100</v>
      </c>
      <c r="V15" s="1482" t="s">
        <v>11</v>
      </c>
      <c r="W15" s="1483">
        <f t="shared" si="2"/>
        <v>100</v>
      </c>
      <c r="X15" s="1476"/>
      <c r="Y15" s="3816"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3817"/>
      <c r="Q16" s="1481"/>
      <c r="R16" s="1482"/>
      <c r="S16" s="1483"/>
      <c r="T16" s="1482"/>
      <c r="U16" s="1483"/>
      <c r="V16" s="1482"/>
      <c r="W16" s="1483"/>
      <c r="X16" s="1476"/>
      <c r="Y16" s="3817"/>
      <c r="Z16" s="1484"/>
      <c r="AA16" s="1485">
        <v>1</v>
      </c>
      <c r="AB16" s="1485">
        <v>1</v>
      </c>
      <c r="AC16" s="1485">
        <v>1</v>
      </c>
    </row>
    <row r="17" spans="1:29" ht="142.5">
      <c r="A17" s="508"/>
      <c r="B17" s="842" t="s">
        <v>296</v>
      </c>
      <c r="C17" s="843" t="str">
        <f>估价对象房地状况!C6</f>
        <v>估价对象周边有顺2路、顺27路、顺28路、顺38路、顺43路、顺59路、顺60路等多条公交线路，距地铁15号线（南法信站）约500米，综合评价交通便捷度较好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817"/>
      <c r="Q17" s="1481" t="str">
        <f>B17</f>
        <v>交通便捷度</v>
      </c>
      <c r="R17" s="1482" t="s">
        <v>11</v>
      </c>
      <c r="S17" s="1483">
        <f>F17</f>
        <v>100</v>
      </c>
      <c r="T17" s="1482" t="s">
        <v>11</v>
      </c>
      <c r="U17" s="1483">
        <f>H17</f>
        <v>100</v>
      </c>
      <c r="V17" s="1482" t="s">
        <v>11</v>
      </c>
      <c r="W17" s="1483">
        <f>J17</f>
        <v>100</v>
      </c>
      <c r="X17" s="1476"/>
      <c r="Y17" s="381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3817"/>
      <c r="Q18" s="1481"/>
      <c r="R18" s="1482"/>
      <c r="S18" s="1483"/>
      <c r="T18" s="1482"/>
      <c r="U18" s="1483"/>
      <c r="V18" s="1482"/>
      <c r="W18" s="1483"/>
      <c r="X18" s="1476"/>
      <c r="Y18" s="3817"/>
      <c r="Z18" s="1484"/>
      <c r="AA18" s="1485">
        <v>1</v>
      </c>
      <c r="AB18" s="1485">
        <v>1</v>
      </c>
      <c r="AC18" s="1485">
        <v>1</v>
      </c>
    </row>
    <row r="19" spans="1:29" ht="42.75">
      <c r="A19" s="508"/>
      <c r="B19" s="2412" t="s">
        <v>2500</v>
      </c>
      <c r="C19" s="843" t="str">
        <f>估价对象房地状况!C7</f>
        <v>估价对象所在区域公共配套设施齐备情况一般</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817"/>
      <c r="Q19" s="1481" t="str">
        <f>B19</f>
        <v>公共配套设施</v>
      </c>
      <c r="R19" s="1482" t="s">
        <v>11</v>
      </c>
      <c r="S19" s="1483">
        <f>F19</f>
        <v>100</v>
      </c>
      <c r="T19" s="1482" t="s">
        <v>11</v>
      </c>
      <c r="U19" s="1483">
        <f>H19</f>
        <v>100</v>
      </c>
      <c r="V19" s="1482" t="s">
        <v>11</v>
      </c>
      <c r="W19" s="1483">
        <f>J19</f>
        <v>100</v>
      </c>
      <c r="X19" s="1476"/>
      <c r="Y19" s="3817"/>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3817"/>
      <c r="Q20" s="1481"/>
      <c r="R20" s="1482"/>
      <c r="S20" s="1483"/>
      <c r="T20" s="1482"/>
      <c r="U20" s="1483"/>
      <c r="V20" s="1482"/>
      <c r="W20" s="1483"/>
      <c r="X20" s="1476"/>
      <c r="Y20" s="3817"/>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817"/>
      <c r="Q21" s="2397" t="str">
        <f>B21</f>
        <v>基础设施水平</v>
      </c>
      <c r="R21" s="1482" t="s">
        <v>11</v>
      </c>
      <c r="S21" s="1483">
        <f>F21</f>
        <v>100</v>
      </c>
      <c r="T21" s="1482" t="s">
        <v>11</v>
      </c>
      <c r="U21" s="1483">
        <f>H21</f>
        <v>100</v>
      </c>
      <c r="V21" s="1482" t="s">
        <v>11</v>
      </c>
      <c r="W21" s="1483">
        <f>J21</f>
        <v>100</v>
      </c>
      <c r="X21" s="2399"/>
      <c r="Y21" s="3817"/>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3817"/>
      <c r="Q22" s="2397"/>
      <c r="R22" s="1482"/>
      <c r="S22" s="1483"/>
      <c r="T22" s="1482"/>
      <c r="U22" s="1483"/>
      <c r="V22" s="1482"/>
      <c r="W22" s="1483"/>
      <c r="X22" s="2399"/>
      <c r="Y22" s="3817"/>
      <c r="Z22" s="2398"/>
      <c r="AA22" s="1485">
        <v>1</v>
      </c>
      <c r="AB22" s="1485">
        <v>1</v>
      </c>
      <c r="AC22" s="1485">
        <v>1</v>
      </c>
    </row>
    <row r="23" spans="1:29" ht="85.5">
      <c r="A23" s="508"/>
      <c r="B23" s="842" t="s">
        <v>297</v>
      </c>
      <c r="C23" s="843" t="str">
        <f>估价对象房地状况!C9</f>
        <v>区域自然环境：小众和；人文环境：国家新闻出版广电总局研修学院；综合评价环境状况一般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817"/>
      <c r="Q23" s="1481" t="str">
        <f>B23</f>
        <v>自然及人文环境</v>
      </c>
      <c r="R23" s="1482" t="s">
        <v>11</v>
      </c>
      <c r="S23" s="1483">
        <f>F23</f>
        <v>100</v>
      </c>
      <c r="T23" s="1482" t="s">
        <v>11</v>
      </c>
      <c r="U23" s="1483">
        <f>H23</f>
        <v>100</v>
      </c>
      <c r="V23" s="1482" t="s">
        <v>11</v>
      </c>
      <c r="W23" s="1483">
        <f>J23</f>
        <v>100</v>
      </c>
      <c r="X23" s="1476"/>
      <c r="Y23" s="3817"/>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3817"/>
      <c r="Q24" s="1481"/>
      <c r="R24" s="1482"/>
      <c r="S24" s="1483"/>
      <c r="T24" s="1482"/>
      <c r="U24" s="1483"/>
      <c r="V24" s="1482"/>
      <c r="W24" s="1483"/>
      <c r="X24" s="1476"/>
      <c r="Y24" s="3817"/>
      <c r="Z24" s="1484"/>
      <c r="AA24" s="1485">
        <v>1</v>
      </c>
      <c r="AB24" s="1485">
        <v>1</v>
      </c>
      <c r="AC24" s="1485">
        <v>1</v>
      </c>
    </row>
    <row r="25" spans="1:29" ht="1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817"/>
      <c r="Q25" s="1481" t="str">
        <f t="shared" ref="Q25:Q46" si="11">B25</f>
        <v>楼层-1</v>
      </c>
      <c r="R25" s="1482" t="s">
        <v>11</v>
      </c>
      <c r="S25" s="1483">
        <f>F25</f>
        <v>100</v>
      </c>
      <c r="T25" s="1482" t="s">
        <v>11</v>
      </c>
      <c r="U25" s="1483">
        <f>H25</f>
        <v>100</v>
      </c>
      <c r="V25" s="1482" t="s">
        <v>11</v>
      </c>
      <c r="W25" s="1483">
        <f>J25</f>
        <v>100</v>
      </c>
      <c r="X25" s="1476"/>
      <c r="Y25" s="3817"/>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817"/>
      <c r="Q26" s="1481" t="str">
        <f t="shared" si="11"/>
        <v>朝向</v>
      </c>
      <c r="R26" s="1482" t="s">
        <v>11</v>
      </c>
      <c r="S26" s="1483">
        <f>F26</f>
        <v>100</v>
      </c>
      <c r="T26" s="1482" t="s">
        <v>11</v>
      </c>
      <c r="U26" s="1483">
        <f>H26</f>
        <v>100</v>
      </c>
      <c r="V26" s="1482" t="s">
        <v>11</v>
      </c>
      <c r="W26" s="1483">
        <f>J26</f>
        <v>100</v>
      </c>
      <c r="X26" s="1476"/>
      <c r="Y26" s="3817"/>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817"/>
      <c r="Q27" s="1116" t="str">
        <f t="shared" si="11"/>
        <v>道路级别</v>
      </c>
      <c r="R27" s="1477" t="s">
        <v>11</v>
      </c>
      <c r="S27" s="1478">
        <f>F27</f>
        <v>100</v>
      </c>
      <c r="T27" s="1477" t="s">
        <v>11</v>
      </c>
      <c r="U27" s="1478">
        <f>H27</f>
        <v>100</v>
      </c>
      <c r="V27" s="1477" t="s">
        <v>11</v>
      </c>
      <c r="W27" s="1478">
        <f>J27</f>
        <v>100</v>
      </c>
      <c r="X27" s="1479"/>
      <c r="Y27" s="3817"/>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817"/>
      <c r="Q28" s="1481">
        <f t="shared" si="11"/>
        <v>111</v>
      </c>
      <c r="R28" s="1482" t="s">
        <v>11</v>
      </c>
      <c r="S28" s="1483">
        <f t="shared" ref="S28:S46" si="12">F28</f>
        <v>100</v>
      </c>
      <c r="T28" s="1482" t="s">
        <v>11</v>
      </c>
      <c r="U28" s="1483">
        <f t="shared" ref="U28:U46" si="13">H28</f>
        <v>100</v>
      </c>
      <c r="V28" s="1482" t="s">
        <v>11</v>
      </c>
      <c r="W28" s="1483">
        <f t="shared" ref="W28:W46" si="14">J28</f>
        <v>100</v>
      </c>
      <c r="X28" s="1476"/>
      <c r="Y28" s="3817"/>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817"/>
      <c r="Q29" s="1481">
        <f t="shared" si="11"/>
        <v>111</v>
      </c>
      <c r="R29" s="1482" t="s">
        <v>11</v>
      </c>
      <c r="S29" s="1483">
        <f t="shared" si="12"/>
        <v>100</v>
      </c>
      <c r="T29" s="1482" t="s">
        <v>11</v>
      </c>
      <c r="U29" s="1483">
        <f t="shared" si="13"/>
        <v>100</v>
      </c>
      <c r="V29" s="1482" t="s">
        <v>11</v>
      </c>
      <c r="W29" s="1483">
        <f t="shared" si="14"/>
        <v>100</v>
      </c>
      <c r="X29" s="1476"/>
      <c r="Y29" s="3817"/>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817"/>
      <c r="Q30" s="1481">
        <f t="shared" si="11"/>
        <v>111</v>
      </c>
      <c r="R30" s="1482" t="s">
        <v>11</v>
      </c>
      <c r="S30" s="1483">
        <f t="shared" si="12"/>
        <v>100</v>
      </c>
      <c r="T30" s="1482" t="s">
        <v>11</v>
      </c>
      <c r="U30" s="1483">
        <f t="shared" si="13"/>
        <v>100</v>
      </c>
      <c r="V30" s="1482" t="s">
        <v>11</v>
      </c>
      <c r="W30" s="1483">
        <f t="shared" si="14"/>
        <v>100</v>
      </c>
      <c r="X30" s="1476"/>
      <c r="Y30" s="3817"/>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817"/>
      <c r="Q31" s="1481">
        <f t="shared" si="11"/>
        <v>111</v>
      </c>
      <c r="R31" s="1482" t="s">
        <v>11</v>
      </c>
      <c r="S31" s="1483">
        <f t="shared" si="12"/>
        <v>100</v>
      </c>
      <c r="T31" s="1482" t="s">
        <v>11</v>
      </c>
      <c r="U31" s="1483">
        <f t="shared" si="13"/>
        <v>100</v>
      </c>
      <c r="V31" s="1482" t="s">
        <v>11</v>
      </c>
      <c r="W31" s="1483">
        <f t="shared" si="14"/>
        <v>100</v>
      </c>
      <c r="X31" s="1476"/>
      <c r="Y31" s="3817"/>
      <c r="Z31" s="1484">
        <f t="shared" si="15"/>
        <v>111</v>
      </c>
      <c r="AA31" s="1485">
        <f t="shared" si="3"/>
        <v>1</v>
      </c>
      <c r="AB31" s="1485">
        <f t="shared" si="4"/>
        <v>1</v>
      </c>
      <c r="AC31" s="1485">
        <f t="shared" si="5"/>
        <v>1</v>
      </c>
    </row>
    <row r="32" spans="1:29" ht="1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818" t="s">
        <v>528</v>
      </c>
      <c r="Q32" s="1481" t="str">
        <f t="shared" si="11"/>
        <v>建筑类型</v>
      </c>
      <c r="R32" s="1482" t="s">
        <v>11</v>
      </c>
      <c r="S32" s="1483">
        <f t="shared" si="12"/>
        <v>100</v>
      </c>
      <c r="T32" s="1482" t="s">
        <v>11</v>
      </c>
      <c r="U32" s="1483">
        <f t="shared" si="13"/>
        <v>100</v>
      </c>
      <c r="V32" s="1482" t="s">
        <v>11</v>
      </c>
      <c r="W32" s="1483">
        <f t="shared" si="14"/>
        <v>100</v>
      </c>
      <c r="X32" s="1476"/>
      <c r="Y32" s="3819"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819"/>
      <c r="Q33" s="1510" t="str">
        <f t="shared" si="11"/>
        <v>项目建筑规模</v>
      </c>
      <c r="R33" s="1486" t="s">
        <v>11</v>
      </c>
      <c r="S33" s="1487" t="e">
        <f t="shared" si="12"/>
        <v>#N/A</v>
      </c>
      <c r="T33" s="1486" t="s">
        <v>11</v>
      </c>
      <c r="U33" s="1487" t="e">
        <f t="shared" si="13"/>
        <v>#N/A</v>
      </c>
      <c r="V33" s="1486" t="s">
        <v>11</v>
      </c>
      <c r="W33" s="1487" t="e">
        <f t="shared" si="14"/>
        <v>#N/A</v>
      </c>
      <c r="X33" s="1488"/>
      <c r="Y33" s="3819"/>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819"/>
      <c r="Q34" s="1481" t="str">
        <f t="shared" si="11"/>
        <v>建筑结构</v>
      </c>
      <c r="R34" s="1482" t="s">
        <v>11</v>
      </c>
      <c r="S34" s="1483">
        <f t="shared" si="12"/>
        <v>100</v>
      </c>
      <c r="T34" s="1482" t="s">
        <v>11</v>
      </c>
      <c r="U34" s="1483">
        <f t="shared" si="13"/>
        <v>100</v>
      </c>
      <c r="V34" s="1482" t="s">
        <v>11</v>
      </c>
      <c r="W34" s="1483">
        <f t="shared" si="14"/>
        <v>100</v>
      </c>
      <c r="X34" s="1476"/>
      <c r="Y34" s="3819"/>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819"/>
      <c r="Q35" s="1481" t="str">
        <f t="shared" si="11"/>
        <v>建筑品质</v>
      </c>
      <c r="R35" s="1482" t="s">
        <v>11</v>
      </c>
      <c r="S35" s="1483">
        <f t="shared" si="12"/>
        <v>100</v>
      </c>
      <c r="T35" s="1482" t="s">
        <v>11</v>
      </c>
      <c r="U35" s="1483">
        <f t="shared" si="13"/>
        <v>100</v>
      </c>
      <c r="V35" s="1482" t="s">
        <v>11</v>
      </c>
      <c r="W35" s="1483">
        <f t="shared" si="14"/>
        <v>100</v>
      </c>
      <c r="X35" s="1476"/>
      <c r="Y35" s="3819"/>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819"/>
      <c r="Q36" s="1481" t="str">
        <f t="shared" si="11"/>
        <v>公共部分装修</v>
      </c>
      <c r="R36" s="1482" t="s">
        <v>11</v>
      </c>
      <c r="S36" s="1483">
        <f t="shared" si="12"/>
        <v>100</v>
      </c>
      <c r="T36" s="1482" t="s">
        <v>11</v>
      </c>
      <c r="U36" s="1483">
        <f t="shared" si="13"/>
        <v>100</v>
      </c>
      <c r="V36" s="1482" t="s">
        <v>11</v>
      </c>
      <c r="W36" s="1483">
        <f t="shared" si="14"/>
        <v>100</v>
      </c>
      <c r="X36" s="1476"/>
      <c r="Y36" s="3819"/>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819"/>
      <c r="Q37" s="1116" t="str">
        <f t="shared" si="11"/>
        <v>成新度</v>
      </c>
      <c r="R37" s="1477" t="s">
        <v>11</v>
      </c>
      <c r="S37" s="1478" t="e">
        <f t="shared" si="12"/>
        <v>#N/A</v>
      </c>
      <c r="T37" s="1477" t="s">
        <v>11</v>
      </c>
      <c r="U37" s="1478" t="e">
        <f t="shared" si="13"/>
        <v>#N/A</v>
      </c>
      <c r="V37" s="1477" t="s">
        <v>11</v>
      </c>
      <c r="W37" s="1478" t="e">
        <f t="shared" si="14"/>
        <v>#N/A</v>
      </c>
      <c r="X37" s="1479"/>
      <c r="Y37" s="3819"/>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819" t="s">
        <v>528</v>
      </c>
      <c r="Q38" s="1481" t="str">
        <f t="shared" si="11"/>
        <v>物业管理</v>
      </c>
      <c r="R38" s="1482" t="s">
        <v>11</v>
      </c>
      <c r="S38" s="1483">
        <f t="shared" si="12"/>
        <v>100</v>
      </c>
      <c r="T38" s="1482" t="s">
        <v>11</v>
      </c>
      <c r="U38" s="1483">
        <f t="shared" si="13"/>
        <v>100</v>
      </c>
      <c r="V38" s="1482" t="s">
        <v>11</v>
      </c>
      <c r="W38" s="1483">
        <f t="shared" si="14"/>
        <v>100</v>
      </c>
      <c r="X38" s="1476"/>
      <c r="Y38" s="3819" t="s">
        <v>528</v>
      </c>
      <c r="Z38" s="1484" t="str">
        <f t="shared" si="15"/>
        <v>物业管理</v>
      </c>
      <c r="AA38" s="1485">
        <f t="shared" si="3"/>
        <v>1</v>
      </c>
      <c r="AB38" s="1485">
        <f t="shared" si="4"/>
        <v>1</v>
      </c>
      <c r="AC38" s="1485">
        <f t="shared" si="5"/>
        <v>1</v>
      </c>
    </row>
    <row r="39" spans="1:29" ht="1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819"/>
      <c r="Q39" s="1481" t="str">
        <f t="shared" si="11"/>
        <v>市政基础设施</v>
      </c>
      <c r="R39" s="1482" t="s">
        <v>11</v>
      </c>
      <c r="S39" s="1483">
        <f t="shared" si="12"/>
        <v>100</v>
      </c>
      <c r="T39" s="1482" t="s">
        <v>11</v>
      </c>
      <c r="U39" s="1483">
        <f t="shared" si="13"/>
        <v>100</v>
      </c>
      <c r="V39" s="1482" t="s">
        <v>11</v>
      </c>
      <c r="W39" s="1483">
        <f t="shared" si="14"/>
        <v>100</v>
      </c>
      <c r="X39" s="1476"/>
      <c r="Y39" s="3819"/>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819"/>
      <c r="Q40" s="1481" t="str">
        <f t="shared" si="11"/>
        <v>房型</v>
      </c>
      <c r="R40" s="1482" t="s">
        <v>11</v>
      </c>
      <c r="S40" s="1483">
        <f t="shared" si="12"/>
        <v>100</v>
      </c>
      <c r="T40" s="1482" t="s">
        <v>11</v>
      </c>
      <c r="U40" s="1483">
        <f t="shared" si="13"/>
        <v>100</v>
      </c>
      <c r="V40" s="1482" t="s">
        <v>11</v>
      </c>
      <c r="W40" s="1483">
        <f t="shared" si="14"/>
        <v>100</v>
      </c>
      <c r="X40" s="1476"/>
      <c r="Y40" s="3819"/>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819"/>
      <c r="Q41" s="1510" t="str">
        <f t="shared" si="11"/>
        <v>单套/主力户型建筑面积</v>
      </c>
      <c r="R41" s="1486" t="s">
        <v>11</v>
      </c>
      <c r="S41" s="1487">
        <f t="shared" si="12"/>
        <v>100</v>
      </c>
      <c r="T41" s="1486" t="s">
        <v>11</v>
      </c>
      <c r="U41" s="1487">
        <f t="shared" si="13"/>
        <v>100</v>
      </c>
      <c r="V41" s="1486" t="s">
        <v>11</v>
      </c>
      <c r="W41" s="1487">
        <f t="shared" si="14"/>
        <v>100</v>
      </c>
      <c r="X41" s="1488"/>
      <c r="Y41" s="3819"/>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819"/>
      <c r="Q42" s="1481" t="str">
        <f t="shared" si="11"/>
        <v>内部装修</v>
      </c>
      <c r="R42" s="1482" t="s">
        <v>11</v>
      </c>
      <c r="S42" s="1483">
        <f t="shared" si="12"/>
        <v>100</v>
      </c>
      <c r="T42" s="1482" t="s">
        <v>11</v>
      </c>
      <c r="U42" s="1483">
        <f t="shared" si="13"/>
        <v>100</v>
      </c>
      <c r="V42" s="1482" t="s">
        <v>11</v>
      </c>
      <c r="W42" s="1483">
        <f t="shared" si="14"/>
        <v>100</v>
      </c>
      <c r="X42" s="1476"/>
      <c r="Y42" s="3819"/>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819"/>
      <c r="Q43" s="1481" t="str">
        <f t="shared" si="11"/>
        <v>内部装修维护情况</v>
      </c>
      <c r="R43" s="1482" t="s">
        <v>11</v>
      </c>
      <c r="S43" s="1483">
        <f t="shared" si="12"/>
        <v>100</v>
      </c>
      <c r="T43" s="1482" t="s">
        <v>11</v>
      </c>
      <c r="U43" s="1483">
        <f t="shared" si="13"/>
        <v>100</v>
      </c>
      <c r="V43" s="1482" t="s">
        <v>11</v>
      </c>
      <c r="W43" s="1483">
        <f t="shared" si="14"/>
        <v>100</v>
      </c>
      <c r="X43" s="1476"/>
      <c r="Y43" s="3819"/>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819"/>
      <c r="Q44" s="1116">
        <f t="shared" si="11"/>
        <v>111</v>
      </c>
      <c r="R44" s="1477" t="s">
        <v>11</v>
      </c>
      <c r="S44" s="1478">
        <f t="shared" si="12"/>
        <v>100</v>
      </c>
      <c r="T44" s="1477" t="s">
        <v>11</v>
      </c>
      <c r="U44" s="1478">
        <f t="shared" si="13"/>
        <v>100</v>
      </c>
      <c r="V44" s="1477" t="s">
        <v>11</v>
      </c>
      <c r="W44" s="1478">
        <f t="shared" si="14"/>
        <v>100</v>
      </c>
      <c r="X44" s="1479"/>
      <c r="Y44" s="3819"/>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819"/>
      <c r="Q45" s="1481">
        <f t="shared" si="11"/>
        <v>111</v>
      </c>
      <c r="R45" s="1482" t="s">
        <v>11</v>
      </c>
      <c r="S45" s="1483">
        <f t="shared" si="12"/>
        <v>100</v>
      </c>
      <c r="T45" s="1482" t="s">
        <v>11</v>
      </c>
      <c r="U45" s="1483">
        <f t="shared" si="13"/>
        <v>100</v>
      </c>
      <c r="V45" s="1482" t="s">
        <v>11</v>
      </c>
      <c r="W45" s="1483">
        <f t="shared" si="14"/>
        <v>100</v>
      </c>
      <c r="X45" s="1476"/>
      <c r="Y45" s="3819"/>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928"/>
      <c r="Q46" s="1481">
        <f t="shared" si="11"/>
        <v>111</v>
      </c>
      <c r="R46" s="1482" t="s">
        <v>10</v>
      </c>
      <c r="S46" s="1483">
        <f t="shared" si="12"/>
        <v>100</v>
      </c>
      <c r="T46" s="1482" t="s">
        <v>10</v>
      </c>
      <c r="U46" s="1483">
        <f t="shared" si="13"/>
        <v>100</v>
      </c>
      <c r="V46" s="1482" t="s">
        <v>10</v>
      </c>
      <c r="W46" s="1483">
        <f t="shared" si="14"/>
        <v>100</v>
      </c>
      <c r="X46" s="1476"/>
      <c r="Y46" s="3928"/>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3782" t="str">
        <f>A47</f>
        <v>成交单价（元/平方米）</v>
      </c>
      <c r="Q47" s="3782"/>
      <c r="R47" s="3927">
        <f>E47</f>
        <v>0</v>
      </c>
      <c r="S47" s="3927"/>
      <c r="T47" s="3927">
        <f>G47</f>
        <v>0</v>
      </c>
      <c r="U47" s="3927"/>
      <c r="V47" s="3927">
        <f>I47</f>
        <v>0</v>
      </c>
      <c r="W47" s="3927"/>
      <c r="X47" s="1471"/>
      <c r="Y47" s="1490"/>
      <c r="Z47" s="1471"/>
      <c r="AA47" s="1471"/>
      <c r="AB47" s="1471"/>
      <c r="AC47" s="1471"/>
    </row>
    <row r="48" spans="1:29" ht="15.75" thickBot="1">
      <c r="A48" s="591" t="s">
        <v>2713</v>
      </c>
      <c r="B48" s="859"/>
      <c r="C48" s="2444" t="e">
        <f>R49</f>
        <v>#DIV/0!</v>
      </c>
      <c r="D48" s="2980" t="s">
        <v>2928</v>
      </c>
      <c r="E48" s="2445" t="e">
        <f>R48</f>
        <v>#DIV/0!</v>
      </c>
      <c r="F48" s="2981"/>
      <c r="G48" s="2444" t="e">
        <f>T48</f>
        <v>#DIV/0!</v>
      </c>
      <c r="H48" s="2981"/>
      <c r="I48" s="2445" t="e">
        <f>V48</f>
        <v>#DIV/0!</v>
      </c>
      <c r="J48" s="2981"/>
      <c r="K48" s="2989">
        <f>F48+H48+J48</f>
        <v>0</v>
      </c>
      <c r="L48" s="1997"/>
      <c r="M48" s="1998"/>
      <c r="N48" s="1998"/>
      <c r="O48" s="1998"/>
      <c r="P48" s="3782" t="str">
        <f>A48</f>
        <v>比较价格（元/平方米）</v>
      </c>
      <c r="Q48" s="3782"/>
      <c r="R48" s="3927" t="e">
        <f>IF(F1="售价",ROUND(PRODUCT(R47,AA7:AA46),0),ROUND(PRODUCT(R47,AA7:AA46),1))</f>
        <v>#DIV/0!</v>
      </c>
      <c r="S48" s="3927"/>
      <c r="T48" s="3927" t="e">
        <f>IF(F1="售价",ROUND(PRODUCT(T47,AB7:AB46),0),ROUND(PRODUCT(T47,AB7:AB46),1))</f>
        <v>#DIV/0!</v>
      </c>
      <c r="U48" s="3927"/>
      <c r="V48" s="3927" t="e">
        <f>IF(F1="售价",ROUND(PRODUCT(V47,AC7:AC46),0),ROUND(PRODUCT(V47,AC7:AC46),1))</f>
        <v>#DIV/0!</v>
      </c>
      <c r="W48" s="3927"/>
      <c r="X48" s="1471"/>
      <c r="Y48" s="1471"/>
      <c r="Z48" s="1471"/>
      <c r="AA48" s="1471"/>
      <c r="AB48" s="1471"/>
      <c r="AC48" s="1471"/>
    </row>
    <row r="49" spans="1:29" ht="15.75" thickBot="1">
      <c r="A49" s="595" t="s">
        <v>2864</v>
      </c>
      <c r="B49" s="596"/>
      <c r="C49" s="2446" t="e">
        <f>R49</f>
        <v>#DIV/0!</v>
      </c>
      <c r="D49" s="2446"/>
      <c r="E49" s="2446"/>
      <c r="F49" s="2446"/>
      <c r="G49" s="2446"/>
      <c r="H49" s="2446"/>
      <c r="I49" s="2446"/>
      <c r="J49" s="2446"/>
      <c r="K49" s="1512"/>
      <c r="L49" s="1997"/>
      <c r="M49" s="1998"/>
      <c r="N49" s="1998"/>
      <c r="O49" s="1998"/>
      <c r="P49" s="3779" t="str">
        <f>A49</f>
        <v>估价对象XX用房的比较价格（楼面单价，元/平方米）</v>
      </c>
      <c r="Q49" s="3780"/>
      <c r="R49" s="3926" t="e">
        <f>IF(F1="售价",ROUND(IF(D48="简单平均",AVERAGE(R48:V48),R48*F48+T48*H48+V48*J48),0),ROUND(IF(D48="简单平均",AVERAGE(R48:V48),R48*F48+T48*H48+V48*J48),1))</f>
        <v>#DIV/0!</v>
      </c>
      <c r="S49" s="3926"/>
      <c r="T49" s="3926"/>
      <c r="U49" s="3926"/>
      <c r="V49" s="3926"/>
      <c r="W49" s="3926"/>
      <c r="X49" s="1471"/>
      <c r="Y49" s="1471"/>
      <c r="Z49" s="1471"/>
      <c r="AA49" s="1471"/>
      <c r="AB49" s="1471"/>
      <c r="AC49" s="1471"/>
    </row>
    <row r="50" spans="1:29">
      <c r="A50" s="3173"/>
      <c r="B50" s="3173"/>
      <c r="C50" s="3173"/>
      <c r="D50" s="3173"/>
      <c r="E50" s="3173"/>
      <c r="F50" s="3173"/>
      <c r="G50" s="3175"/>
      <c r="H50" s="3173"/>
      <c r="I50" s="3173"/>
      <c r="J50" s="3173"/>
      <c r="K50" s="3176"/>
      <c r="L50" s="2002"/>
      <c r="M50" s="1998"/>
      <c r="N50" s="1998"/>
      <c r="O50" s="1998"/>
      <c r="P50" s="1998"/>
      <c r="Q50" s="1998"/>
      <c r="R50" s="1998"/>
      <c r="S50" s="1998"/>
      <c r="T50" s="1998"/>
      <c r="U50" s="1998"/>
      <c r="V50" s="1998"/>
      <c r="W50" s="1998"/>
      <c r="X50" s="1998"/>
      <c r="Y50" s="1998"/>
      <c r="Z50" s="1998"/>
      <c r="AA50" s="1998"/>
      <c r="AB50" s="1998"/>
      <c r="AC50" s="1998"/>
    </row>
    <row r="51" spans="1:29">
      <c r="A51" s="3173"/>
      <c r="B51" s="3173"/>
      <c r="C51" s="3173"/>
      <c r="D51" s="3173"/>
      <c r="E51" s="3173"/>
      <c r="F51" s="3173"/>
      <c r="G51" s="3173"/>
      <c r="H51" s="3173"/>
      <c r="I51" s="3173"/>
      <c r="J51" s="3173"/>
      <c r="K51" s="3176"/>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3"/>
      <c r="B52" s="3173"/>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6"/>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6"/>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4"/>
      <c r="B54" s="3174"/>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77"/>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2022-2</v>
      </c>
      <c r="D58" s="2489">
        <f>EDATE(C58,-1)</f>
        <v>44562</v>
      </c>
      <c r="E58" s="2489">
        <f t="shared" ref="E58:O58" si="16">EDATE(D58,-1)</f>
        <v>44531</v>
      </c>
      <c r="F58" s="2489">
        <f t="shared" si="16"/>
        <v>44501</v>
      </c>
      <c r="G58" s="2489">
        <f t="shared" si="16"/>
        <v>44470</v>
      </c>
      <c r="H58" s="2489">
        <f t="shared" si="16"/>
        <v>44440</v>
      </c>
      <c r="I58" s="2489">
        <f t="shared" si="16"/>
        <v>44409</v>
      </c>
      <c r="J58" s="2489">
        <f t="shared" si="16"/>
        <v>44378</v>
      </c>
      <c r="K58" s="2489">
        <f t="shared" si="16"/>
        <v>44348</v>
      </c>
      <c r="L58" s="2489">
        <f t="shared" si="16"/>
        <v>44317</v>
      </c>
      <c r="M58" s="2489">
        <f t="shared" si="16"/>
        <v>44287</v>
      </c>
      <c r="N58" s="2489">
        <f t="shared" si="16"/>
        <v>44256</v>
      </c>
      <c r="O58" s="2489">
        <f t="shared" si="16"/>
        <v>44228</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3788" t="s">
        <v>500</v>
      </c>
      <c r="D4" s="3789"/>
      <c r="E4" s="3829" t="s">
        <v>501</v>
      </c>
      <c r="F4" s="3830"/>
      <c r="G4" s="3788" t="s">
        <v>502</v>
      </c>
      <c r="H4" s="3789"/>
      <c r="I4" s="3788" t="s">
        <v>503</v>
      </c>
      <c r="J4" s="3789"/>
      <c r="K4" s="490" t="s">
        <v>504</v>
      </c>
      <c r="L4" s="1986"/>
      <c r="M4" s="1987"/>
      <c r="N4" s="1987"/>
      <c r="O4" s="1987"/>
      <c r="P4" s="3790" t="s">
        <v>505</v>
      </c>
      <c r="Q4" s="3791"/>
      <c r="R4" s="3796" t="s">
        <v>501</v>
      </c>
      <c r="S4" s="3797"/>
      <c r="T4" s="3796" t="s">
        <v>502</v>
      </c>
      <c r="U4" s="3797"/>
      <c r="V4" s="3783" t="s">
        <v>503</v>
      </c>
      <c r="W4" s="3783"/>
      <c r="X4" s="1476"/>
      <c r="Y4" s="3796" t="s">
        <v>505</v>
      </c>
      <c r="Z4" s="3797"/>
      <c r="AA4" s="3785" t="s">
        <v>501</v>
      </c>
      <c r="AB4" s="3783" t="s">
        <v>502</v>
      </c>
      <c r="AC4" s="3785" t="s">
        <v>503</v>
      </c>
    </row>
    <row r="5" spans="1:29" ht="15">
      <c r="A5" s="491"/>
      <c r="B5" s="492"/>
      <c r="C5" s="3804" t="s">
        <v>2858</v>
      </c>
      <c r="D5" s="3805"/>
      <c r="E5" s="3831" t="s">
        <v>2859</v>
      </c>
      <c r="F5" s="3832"/>
      <c r="G5" s="3804" t="s">
        <v>2860</v>
      </c>
      <c r="H5" s="3805"/>
      <c r="I5" s="3804" t="s">
        <v>2861</v>
      </c>
      <c r="J5" s="3805"/>
      <c r="K5" s="490"/>
      <c r="L5" s="1986"/>
      <c r="M5" s="1987"/>
      <c r="N5" s="1987"/>
      <c r="O5" s="1987"/>
      <c r="P5" s="3792"/>
      <c r="Q5" s="3793"/>
      <c r="R5" s="3798"/>
      <c r="S5" s="3799"/>
      <c r="T5" s="3798"/>
      <c r="U5" s="3799"/>
      <c r="V5" s="3783"/>
      <c r="W5" s="3783"/>
      <c r="X5" s="1476"/>
      <c r="Y5" s="3798"/>
      <c r="Z5" s="3799"/>
      <c r="AA5" s="3786"/>
      <c r="AB5" s="3783"/>
      <c r="AC5" s="3786"/>
    </row>
    <row r="6" spans="1:29" ht="15.75" thickBot="1">
      <c r="A6" s="493"/>
      <c r="B6" s="494"/>
      <c r="C6" s="3802" t="s">
        <v>2862</v>
      </c>
      <c r="D6" s="3803"/>
      <c r="E6" s="3827" t="s">
        <v>2862</v>
      </c>
      <c r="F6" s="3828"/>
      <c r="G6" s="3802" t="s">
        <v>2862</v>
      </c>
      <c r="H6" s="3803"/>
      <c r="I6" s="3802" t="s">
        <v>2862</v>
      </c>
      <c r="J6" s="3803"/>
      <c r="K6" s="490" t="s">
        <v>506</v>
      </c>
      <c r="L6" s="1986"/>
      <c r="M6" s="1987"/>
      <c r="N6" s="1987"/>
      <c r="O6" s="1987"/>
      <c r="P6" s="3794"/>
      <c r="Q6" s="3795"/>
      <c r="R6" s="3798"/>
      <c r="S6" s="3799"/>
      <c r="T6" s="3800"/>
      <c r="U6" s="3801"/>
      <c r="V6" s="3783"/>
      <c r="W6" s="3783"/>
      <c r="X6" s="1476"/>
      <c r="Y6" s="3800"/>
      <c r="Z6" s="3801"/>
      <c r="AA6" s="3787"/>
      <c r="AB6" s="3783"/>
      <c r="AC6" s="3787"/>
    </row>
    <row r="7" spans="1:29" s="1185" customFormat="1" ht="15.75" thickBot="1">
      <c r="A7" s="2597"/>
      <c r="B7" s="2604" t="s">
        <v>507</v>
      </c>
      <c r="C7" s="495">
        <f>'数据-取费表'!B2</f>
        <v>44614</v>
      </c>
      <c r="D7" s="496">
        <v>100</v>
      </c>
      <c r="E7" s="497"/>
      <c r="F7" s="498">
        <f>SUMIF(58:58,YEAR(E7)&amp;"-"&amp;MONTH(E7),59:59)</f>
        <v>0</v>
      </c>
      <c r="G7" s="497"/>
      <c r="H7" s="496">
        <f>SUMIF(58:58,YEAR(G7)&amp;"-"&amp;MONTH(G7),59:59)</f>
        <v>0</v>
      </c>
      <c r="I7" s="497"/>
      <c r="J7" s="496">
        <f>SUMIF(58:58,YEAR(I7)&amp;"-"&amp;MONTH(I7),59:59)</f>
        <v>0</v>
      </c>
      <c r="K7" s="500"/>
      <c r="L7" s="1988"/>
      <c r="M7" s="1989"/>
      <c r="N7" s="1989"/>
      <c r="O7" s="1989"/>
      <c r="P7" s="3813" t="s">
        <v>508</v>
      </c>
      <c r="Q7" s="3815"/>
      <c r="R7" s="1477" t="s">
        <v>8</v>
      </c>
      <c r="S7" s="1478">
        <f t="shared" ref="S7:S15" si="0">F7</f>
        <v>0</v>
      </c>
      <c r="T7" s="1477" t="s">
        <v>8</v>
      </c>
      <c r="U7" s="1478">
        <f t="shared" ref="U7:U15" si="1">H7</f>
        <v>0</v>
      </c>
      <c r="V7" s="1477" t="s">
        <v>8</v>
      </c>
      <c r="W7" s="1478">
        <f t="shared" ref="W7:W15" si="2">J7</f>
        <v>0</v>
      </c>
      <c r="X7" s="1479"/>
      <c r="Y7" s="3813" t="s">
        <v>508</v>
      </c>
      <c r="Z7" s="3814"/>
      <c r="AA7" s="1480" t="e">
        <f>D7/F7</f>
        <v>#DIV/0!</v>
      </c>
      <c r="AB7" s="1480" t="e">
        <f>D7/H7</f>
        <v>#DIV/0!</v>
      </c>
      <c r="AC7" s="1480" t="e">
        <f>D7/J7</f>
        <v>#DIV/0!</v>
      </c>
    </row>
    <row r="8" spans="1:29" s="1185" customFormat="1" ht="15.7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813" t="s">
        <v>511</v>
      </c>
      <c r="Q8" s="3814"/>
      <c r="R8" s="1477" t="s">
        <v>8</v>
      </c>
      <c r="S8" s="1478">
        <f t="shared" si="0"/>
        <v>0</v>
      </c>
      <c r="T8" s="1477" t="s">
        <v>8</v>
      </c>
      <c r="U8" s="1478">
        <f t="shared" si="1"/>
        <v>0</v>
      </c>
      <c r="V8" s="1477" t="s">
        <v>8</v>
      </c>
      <c r="W8" s="1478">
        <f t="shared" si="2"/>
        <v>0</v>
      </c>
      <c r="X8" s="1479"/>
      <c r="Y8" s="3813" t="s">
        <v>511</v>
      </c>
      <c r="Z8" s="3814"/>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782" t="s">
        <v>513</v>
      </c>
      <c r="Q9" s="1116" t="str">
        <f t="shared" ref="Q9:Q15" si="6">B9</f>
        <v>用途</v>
      </c>
      <c r="R9" s="1477" t="s">
        <v>8</v>
      </c>
      <c r="S9" s="1478">
        <f t="shared" si="0"/>
        <v>100</v>
      </c>
      <c r="T9" s="1477" t="s">
        <v>8</v>
      </c>
      <c r="U9" s="1478">
        <f t="shared" si="1"/>
        <v>100</v>
      </c>
      <c r="V9" s="1477" t="s">
        <v>8</v>
      </c>
      <c r="W9" s="1478">
        <f t="shared" si="2"/>
        <v>100</v>
      </c>
      <c r="X9" s="1479"/>
      <c r="Y9" s="3701"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782"/>
      <c r="Q10" s="1116" t="str">
        <f t="shared" si="6"/>
        <v>土地使用年限（年）</v>
      </c>
      <c r="R10" s="1477" t="s">
        <v>8</v>
      </c>
      <c r="S10" s="1478">
        <f t="shared" si="0"/>
        <v>100</v>
      </c>
      <c r="T10" s="1477" t="s">
        <v>8</v>
      </c>
      <c r="U10" s="1478">
        <f t="shared" si="1"/>
        <v>100</v>
      </c>
      <c r="V10" s="1477" t="s">
        <v>8</v>
      </c>
      <c r="W10" s="1478">
        <f t="shared" si="2"/>
        <v>100</v>
      </c>
      <c r="X10" s="1479"/>
      <c r="Y10" s="3701"/>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782"/>
      <c r="Q11" s="1116" t="str">
        <f t="shared" si="6"/>
        <v>容积率</v>
      </c>
      <c r="R11" s="1477" t="s">
        <v>8</v>
      </c>
      <c r="S11" s="1478" t="e">
        <f t="shared" si="0"/>
        <v>#N/A</v>
      </c>
      <c r="T11" s="1477" t="s">
        <v>8</v>
      </c>
      <c r="U11" s="1478" t="e">
        <f t="shared" si="1"/>
        <v>#N/A</v>
      </c>
      <c r="V11" s="1477" t="s">
        <v>8</v>
      </c>
      <c r="W11" s="1478" t="e">
        <f t="shared" si="2"/>
        <v>#N/A</v>
      </c>
      <c r="X11" s="1479"/>
      <c r="Y11" s="3701"/>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782"/>
      <c r="Q12" s="1116">
        <f t="shared" si="6"/>
        <v>111</v>
      </c>
      <c r="R12" s="1477" t="s">
        <v>8</v>
      </c>
      <c r="S12" s="1478">
        <f t="shared" si="0"/>
        <v>100</v>
      </c>
      <c r="T12" s="1477" t="s">
        <v>8</v>
      </c>
      <c r="U12" s="1478">
        <f t="shared" si="1"/>
        <v>100</v>
      </c>
      <c r="V12" s="1477" t="s">
        <v>8</v>
      </c>
      <c r="W12" s="1478">
        <f t="shared" si="2"/>
        <v>100</v>
      </c>
      <c r="X12" s="1479"/>
      <c r="Y12" s="3701"/>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782"/>
      <c r="Q13" s="1116">
        <f t="shared" si="6"/>
        <v>111</v>
      </c>
      <c r="R13" s="1477" t="s">
        <v>8</v>
      </c>
      <c r="S13" s="1478">
        <f t="shared" si="0"/>
        <v>100</v>
      </c>
      <c r="T13" s="1477" t="s">
        <v>8</v>
      </c>
      <c r="U13" s="1478">
        <f t="shared" si="1"/>
        <v>100</v>
      </c>
      <c r="V13" s="1477" t="s">
        <v>8</v>
      </c>
      <c r="W13" s="1478">
        <f t="shared" si="2"/>
        <v>100</v>
      </c>
      <c r="X13" s="1479"/>
      <c r="Y13" s="3701"/>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782"/>
      <c r="Q14" s="1116">
        <f t="shared" si="6"/>
        <v>111</v>
      </c>
      <c r="R14" s="1477" t="s">
        <v>8</v>
      </c>
      <c r="S14" s="1478">
        <f t="shared" si="0"/>
        <v>100</v>
      </c>
      <c r="T14" s="1477" t="s">
        <v>8</v>
      </c>
      <c r="U14" s="1478">
        <f t="shared" si="1"/>
        <v>100</v>
      </c>
      <c r="V14" s="1477" t="s">
        <v>8</v>
      </c>
      <c r="W14" s="1478">
        <f t="shared" si="2"/>
        <v>100</v>
      </c>
      <c r="X14" s="1479"/>
      <c r="Y14" s="3701"/>
      <c r="Z14" s="1115">
        <f t="shared" si="7"/>
        <v>111</v>
      </c>
      <c r="AA14" s="1480">
        <f t="shared" si="3"/>
        <v>1</v>
      </c>
      <c r="AB14" s="1480">
        <f t="shared" si="4"/>
        <v>1</v>
      </c>
      <c r="AC14" s="1480">
        <f t="shared" si="5"/>
        <v>1</v>
      </c>
    </row>
    <row r="15" spans="1:29" ht="71.25">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816" t="s">
        <v>518</v>
      </c>
      <c r="Q15" s="1481" t="str">
        <f t="shared" si="6"/>
        <v>商业繁华度</v>
      </c>
      <c r="R15" s="1482" t="s">
        <v>8</v>
      </c>
      <c r="S15" s="1483">
        <f t="shared" si="0"/>
        <v>100</v>
      </c>
      <c r="T15" s="1482" t="s">
        <v>8</v>
      </c>
      <c r="U15" s="1483">
        <f t="shared" si="1"/>
        <v>100</v>
      </c>
      <c r="V15" s="1482" t="s">
        <v>8</v>
      </c>
      <c r="W15" s="1483">
        <f t="shared" si="2"/>
        <v>100</v>
      </c>
      <c r="X15" s="1476"/>
      <c r="Y15" s="3816"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817"/>
      <c r="Q16" s="1481"/>
      <c r="R16" s="1482"/>
      <c r="S16" s="1483"/>
      <c r="T16" s="1482"/>
      <c r="U16" s="1483"/>
      <c r="V16" s="1482"/>
      <c r="W16" s="1483"/>
      <c r="X16" s="1476"/>
      <c r="Y16" s="3817"/>
      <c r="Z16" s="1484"/>
      <c r="AA16" s="1485">
        <v>1</v>
      </c>
      <c r="AB16" s="1485">
        <v>1</v>
      </c>
      <c r="AC16" s="1485">
        <v>1</v>
      </c>
    </row>
    <row r="17" spans="1:29" ht="156.75">
      <c r="A17" s="508"/>
      <c r="B17" s="842" t="s">
        <v>296</v>
      </c>
      <c r="C17" s="843" t="str">
        <f>估价对象房地状况!C6</f>
        <v>估价对象周边有顺2路、顺27路、顺28路、顺38路、顺43路、顺59路、顺60路等多条公交线路，距地铁15号线（南法信站）约500米，综合评价交通便捷度较好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817"/>
      <c r="Q17" s="1481" t="str">
        <f>B17</f>
        <v>交通便捷度</v>
      </c>
      <c r="R17" s="1482" t="s">
        <v>8</v>
      </c>
      <c r="S17" s="1483">
        <f>F17</f>
        <v>100</v>
      </c>
      <c r="T17" s="1482" t="s">
        <v>8</v>
      </c>
      <c r="U17" s="1483">
        <f>H17</f>
        <v>100</v>
      </c>
      <c r="V17" s="1482" t="s">
        <v>8</v>
      </c>
      <c r="W17" s="1483">
        <f>J17</f>
        <v>100</v>
      </c>
      <c r="X17" s="1476"/>
      <c r="Y17" s="381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817"/>
      <c r="Q18" s="1481"/>
      <c r="R18" s="1482"/>
      <c r="S18" s="1483"/>
      <c r="T18" s="1482"/>
      <c r="U18" s="1483"/>
      <c r="V18" s="1482"/>
      <c r="W18" s="1483"/>
      <c r="X18" s="1476"/>
      <c r="Y18" s="3817"/>
      <c r="Z18" s="1484"/>
      <c r="AA18" s="1485">
        <v>1</v>
      </c>
      <c r="AB18" s="1485">
        <v>1</v>
      </c>
      <c r="AC18" s="1485">
        <v>1</v>
      </c>
    </row>
    <row r="19" spans="1:29" ht="42.75">
      <c r="A19" s="508"/>
      <c r="B19" s="2412" t="s">
        <v>2500</v>
      </c>
      <c r="C19" s="843" t="str">
        <f>估价对象房地状况!C7</f>
        <v>估价对象所在区域公共配套设施齐备情况一般</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817"/>
      <c r="Q19" s="1481" t="str">
        <f>B19</f>
        <v>公共配套设施</v>
      </c>
      <c r="R19" s="1482" t="s">
        <v>8</v>
      </c>
      <c r="S19" s="1483">
        <f>F19</f>
        <v>100</v>
      </c>
      <c r="T19" s="1482" t="s">
        <v>8</v>
      </c>
      <c r="U19" s="1483">
        <f>H19</f>
        <v>100</v>
      </c>
      <c r="V19" s="1482" t="s">
        <v>8</v>
      </c>
      <c r="W19" s="1483">
        <f>J19</f>
        <v>100</v>
      </c>
      <c r="X19" s="1476"/>
      <c r="Y19" s="3817"/>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3817"/>
      <c r="Q20" s="1481"/>
      <c r="R20" s="1482"/>
      <c r="S20" s="1483"/>
      <c r="T20" s="1482"/>
      <c r="U20" s="1483"/>
      <c r="V20" s="1482"/>
      <c r="W20" s="1483"/>
      <c r="X20" s="1476"/>
      <c r="Y20" s="3817"/>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817"/>
      <c r="Q21" s="2397" t="str">
        <f>B21</f>
        <v>基础设施水平</v>
      </c>
      <c r="R21" s="1482" t="s">
        <v>8</v>
      </c>
      <c r="S21" s="1483">
        <f>F21</f>
        <v>100</v>
      </c>
      <c r="T21" s="1482" t="s">
        <v>8</v>
      </c>
      <c r="U21" s="1483">
        <f>H21</f>
        <v>100</v>
      </c>
      <c r="V21" s="1482" t="s">
        <v>8</v>
      </c>
      <c r="W21" s="1483">
        <f>J21</f>
        <v>100</v>
      </c>
      <c r="X21" s="2399"/>
      <c r="Y21" s="3817"/>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3817"/>
      <c r="Q22" s="2397"/>
      <c r="R22" s="1482"/>
      <c r="S22" s="1483"/>
      <c r="T22" s="1482"/>
      <c r="U22" s="1483"/>
      <c r="V22" s="1482"/>
      <c r="W22" s="1483"/>
      <c r="X22" s="2399"/>
      <c r="Y22" s="3817"/>
      <c r="Z22" s="2398"/>
      <c r="AA22" s="1485">
        <v>1</v>
      </c>
      <c r="AB22" s="1485">
        <v>1</v>
      </c>
      <c r="AC22" s="1485">
        <v>1</v>
      </c>
    </row>
    <row r="23" spans="1:29" ht="85.5">
      <c r="A23" s="508"/>
      <c r="B23" s="842" t="s">
        <v>297</v>
      </c>
      <c r="C23" s="871" t="str">
        <f>估价对象房地状况!C9</f>
        <v>区域自然环境：小众和；人文环境：国家新闻出版广电总局研修学院；综合评价环境状况一般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817"/>
      <c r="Q23" s="1481" t="str">
        <f>B23</f>
        <v>自然及人文环境</v>
      </c>
      <c r="R23" s="1482" t="s">
        <v>8</v>
      </c>
      <c r="S23" s="1483">
        <f>F23</f>
        <v>100</v>
      </c>
      <c r="T23" s="1482" t="s">
        <v>8</v>
      </c>
      <c r="U23" s="1483">
        <f>H23</f>
        <v>100</v>
      </c>
      <c r="V23" s="1482" t="s">
        <v>8</v>
      </c>
      <c r="W23" s="1483">
        <f>J23</f>
        <v>100</v>
      </c>
      <c r="X23" s="1476"/>
      <c r="Y23" s="3817"/>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3817"/>
      <c r="Q24" s="1481"/>
      <c r="R24" s="1482"/>
      <c r="S24" s="1483"/>
      <c r="T24" s="1482"/>
      <c r="U24" s="1483"/>
      <c r="V24" s="1482"/>
      <c r="W24" s="1483"/>
      <c r="X24" s="1476"/>
      <c r="Y24" s="3817"/>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817"/>
      <c r="Q25" s="1481" t="str">
        <f t="shared" ref="Q25:Q46" si="11">B25</f>
        <v>临街状况</v>
      </c>
      <c r="R25" s="1482" t="s">
        <v>8</v>
      </c>
      <c r="S25" s="1483">
        <f>F25</f>
        <v>100</v>
      </c>
      <c r="T25" s="1482" t="s">
        <v>8</v>
      </c>
      <c r="U25" s="1483">
        <f>H25</f>
        <v>100</v>
      </c>
      <c r="V25" s="1482" t="s">
        <v>8</v>
      </c>
      <c r="W25" s="1483">
        <f>J25</f>
        <v>100</v>
      </c>
      <c r="X25" s="1476"/>
      <c r="Y25" s="3817"/>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817"/>
      <c r="Q26" s="1481" t="str">
        <f t="shared" si="11"/>
        <v>平面位置/可视性</v>
      </c>
      <c r="R26" s="1482" t="s">
        <v>8</v>
      </c>
      <c r="S26" s="1483">
        <f>F26</f>
        <v>100</v>
      </c>
      <c r="T26" s="1482" t="s">
        <v>8</v>
      </c>
      <c r="U26" s="1483">
        <f>H26</f>
        <v>100</v>
      </c>
      <c r="V26" s="1482" t="s">
        <v>8</v>
      </c>
      <c r="W26" s="1483">
        <f>J26</f>
        <v>100</v>
      </c>
      <c r="X26" s="1476"/>
      <c r="Y26" s="3817"/>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817"/>
      <c r="Q27" s="1116" t="str">
        <f t="shared" si="11"/>
        <v>人流量</v>
      </c>
      <c r="R27" s="1477" t="s">
        <v>8</v>
      </c>
      <c r="S27" s="1478">
        <f>F27</f>
        <v>100</v>
      </c>
      <c r="T27" s="1477" t="s">
        <v>8</v>
      </c>
      <c r="U27" s="1478">
        <f>H27</f>
        <v>100</v>
      </c>
      <c r="V27" s="1477" t="s">
        <v>8</v>
      </c>
      <c r="W27" s="1478">
        <f>J27</f>
        <v>100</v>
      </c>
      <c r="X27" s="1479"/>
      <c r="Y27" s="3817"/>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817"/>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817"/>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817"/>
      <c r="Q29" s="1481">
        <f t="shared" si="11"/>
        <v>111</v>
      </c>
      <c r="R29" s="1482" t="s">
        <v>8</v>
      </c>
      <c r="S29" s="1483">
        <f t="shared" si="12"/>
        <v>100</v>
      </c>
      <c r="T29" s="1482" t="s">
        <v>8</v>
      </c>
      <c r="U29" s="1483">
        <f t="shared" si="13"/>
        <v>100</v>
      </c>
      <c r="V29" s="1482" t="s">
        <v>8</v>
      </c>
      <c r="W29" s="1483">
        <f t="shared" si="14"/>
        <v>100</v>
      </c>
      <c r="X29" s="1476"/>
      <c r="Y29" s="3817"/>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817"/>
      <c r="Q30" s="1481">
        <f t="shared" si="11"/>
        <v>111</v>
      </c>
      <c r="R30" s="1482" t="s">
        <v>8</v>
      </c>
      <c r="S30" s="1483">
        <f t="shared" si="12"/>
        <v>100</v>
      </c>
      <c r="T30" s="1482" t="s">
        <v>8</v>
      </c>
      <c r="U30" s="1483">
        <f t="shared" si="13"/>
        <v>100</v>
      </c>
      <c r="V30" s="1482" t="s">
        <v>8</v>
      </c>
      <c r="W30" s="1483">
        <f t="shared" si="14"/>
        <v>100</v>
      </c>
      <c r="X30" s="1476"/>
      <c r="Y30" s="3817"/>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817"/>
      <c r="Q31" s="1481">
        <f t="shared" si="11"/>
        <v>111</v>
      </c>
      <c r="R31" s="1482" t="s">
        <v>8</v>
      </c>
      <c r="S31" s="1483">
        <f t="shared" si="12"/>
        <v>100</v>
      </c>
      <c r="T31" s="1482" t="s">
        <v>8</v>
      </c>
      <c r="U31" s="1483">
        <f t="shared" si="13"/>
        <v>100</v>
      </c>
      <c r="V31" s="1482" t="s">
        <v>8</v>
      </c>
      <c r="W31" s="1483">
        <f t="shared" si="14"/>
        <v>100</v>
      </c>
      <c r="X31" s="1476"/>
      <c r="Y31" s="3817"/>
      <c r="Z31" s="1484">
        <f t="shared" si="15"/>
        <v>111</v>
      </c>
      <c r="AA31" s="1485">
        <f t="shared" si="3"/>
        <v>1</v>
      </c>
      <c r="AB31" s="1485">
        <f t="shared" si="4"/>
        <v>1</v>
      </c>
      <c r="AC31" s="1485">
        <f t="shared" si="5"/>
        <v>1</v>
      </c>
    </row>
    <row r="32" spans="1:29" ht="1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818" t="s">
        <v>528</v>
      </c>
      <c r="Q32" s="1481" t="str">
        <f t="shared" si="11"/>
        <v>商业类型</v>
      </c>
      <c r="R32" s="1482" t="s">
        <v>8</v>
      </c>
      <c r="S32" s="1483">
        <f t="shared" si="12"/>
        <v>100</v>
      </c>
      <c r="T32" s="1482" t="s">
        <v>8</v>
      </c>
      <c r="U32" s="1483">
        <f t="shared" si="13"/>
        <v>100</v>
      </c>
      <c r="V32" s="1482" t="s">
        <v>8</v>
      </c>
      <c r="W32" s="1483">
        <f t="shared" si="14"/>
        <v>100</v>
      </c>
      <c r="X32" s="1476"/>
      <c r="Y32" s="3819"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819"/>
      <c r="Q33" s="1510" t="str">
        <f t="shared" si="11"/>
        <v>项目建筑规模</v>
      </c>
      <c r="R33" s="1486" t="s">
        <v>8</v>
      </c>
      <c r="S33" s="1487" t="e">
        <f t="shared" si="12"/>
        <v>#N/A</v>
      </c>
      <c r="T33" s="1486" t="s">
        <v>8</v>
      </c>
      <c r="U33" s="1487" t="e">
        <f t="shared" si="13"/>
        <v>#N/A</v>
      </c>
      <c r="V33" s="1486" t="s">
        <v>8</v>
      </c>
      <c r="W33" s="1487" t="e">
        <f t="shared" si="14"/>
        <v>#N/A</v>
      </c>
      <c r="X33" s="1488"/>
      <c r="Y33" s="3819"/>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819"/>
      <c r="Q34" s="1481" t="str">
        <f t="shared" si="11"/>
        <v>建筑结构</v>
      </c>
      <c r="R34" s="1482" t="s">
        <v>8</v>
      </c>
      <c r="S34" s="1483">
        <f t="shared" si="12"/>
        <v>100</v>
      </c>
      <c r="T34" s="1482" t="s">
        <v>8</v>
      </c>
      <c r="U34" s="1483">
        <f t="shared" si="13"/>
        <v>100</v>
      </c>
      <c r="V34" s="1482" t="s">
        <v>8</v>
      </c>
      <c r="W34" s="1483">
        <f t="shared" si="14"/>
        <v>100</v>
      </c>
      <c r="X34" s="1476"/>
      <c r="Y34" s="3819"/>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819"/>
      <c r="Q35" s="1481" t="str">
        <f t="shared" si="11"/>
        <v>公共部分装修</v>
      </c>
      <c r="R35" s="1482" t="s">
        <v>8</v>
      </c>
      <c r="S35" s="1483">
        <f t="shared" si="12"/>
        <v>100</v>
      </c>
      <c r="T35" s="1482" t="s">
        <v>8</v>
      </c>
      <c r="U35" s="1483">
        <f t="shared" si="13"/>
        <v>100</v>
      </c>
      <c r="V35" s="1482" t="s">
        <v>8</v>
      </c>
      <c r="W35" s="1483">
        <f t="shared" si="14"/>
        <v>100</v>
      </c>
      <c r="X35" s="1476"/>
      <c r="Y35" s="3819"/>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819"/>
      <c r="Q36" s="1481" t="str">
        <f t="shared" si="11"/>
        <v>成新度</v>
      </c>
      <c r="R36" s="1482" t="s">
        <v>8</v>
      </c>
      <c r="S36" s="1483" t="e">
        <f t="shared" si="12"/>
        <v>#N/A</v>
      </c>
      <c r="T36" s="1482" t="s">
        <v>8</v>
      </c>
      <c r="U36" s="1483" t="e">
        <f t="shared" si="13"/>
        <v>#N/A</v>
      </c>
      <c r="V36" s="1482" t="s">
        <v>8</v>
      </c>
      <c r="W36" s="1483" t="e">
        <f t="shared" si="14"/>
        <v>#N/A</v>
      </c>
      <c r="X36" s="1476"/>
      <c r="Y36" s="3819"/>
      <c r="Z36" s="1484" t="str">
        <f t="shared" si="15"/>
        <v>成新度</v>
      </c>
      <c r="AA36" s="1485" t="e">
        <f t="shared" si="3"/>
        <v>#N/A</v>
      </c>
      <c r="AB36" s="1485" t="e">
        <f t="shared" si="4"/>
        <v>#N/A</v>
      </c>
      <c r="AC36" s="1485" t="e">
        <f t="shared" si="5"/>
        <v>#N/A</v>
      </c>
    </row>
    <row r="37" spans="1:29" s="1185" customFormat="1" ht="1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819"/>
      <c r="Q37" s="1116" t="str">
        <f t="shared" si="11"/>
        <v>市政基础设施</v>
      </c>
      <c r="R37" s="1477" t="s">
        <v>8</v>
      </c>
      <c r="S37" s="1478">
        <f t="shared" si="12"/>
        <v>100</v>
      </c>
      <c r="T37" s="1477" t="s">
        <v>8</v>
      </c>
      <c r="U37" s="1478">
        <f t="shared" si="13"/>
        <v>100</v>
      </c>
      <c r="V37" s="1477" t="s">
        <v>8</v>
      </c>
      <c r="W37" s="1478">
        <f t="shared" si="14"/>
        <v>100</v>
      </c>
      <c r="X37" s="1479"/>
      <c r="Y37" s="3819"/>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819" t="s">
        <v>744</v>
      </c>
      <c r="Q38" s="1481" t="str">
        <f t="shared" si="11"/>
        <v>业态</v>
      </c>
      <c r="R38" s="1482" t="s">
        <v>8</v>
      </c>
      <c r="S38" s="1483">
        <f t="shared" si="12"/>
        <v>100</v>
      </c>
      <c r="T38" s="1482" t="s">
        <v>8</v>
      </c>
      <c r="U38" s="1483">
        <f t="shared" si="13"/>
        <v>100</v>
      </c>
      <c r="V38" s="1482" t="s">
        <v>8</v>
      </c>
      <c r="W38" s="1483">
        <f t="shared" si="14"/>
        <v>100</v>
      </c>
      <c r="X38" s="1476"/>
      <c r="Y38" s="3819"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819"/>
      <c r="Q39" s="1481" t="str">
        <f t="shared" si="11"/>
        <v>层高</v>
      </c>
      <c r="R39" s="1482" t="s">
        <v>8</v>
      </c>
      <c r="S39" s="1483">
        <f t="shared" si="12"/>
        <v>100</v>
      </c>
      <c r="T39" s="1482" t="s">
        <v>8</v>
      </c>
      <c r="U39" s="1483">
        <f t="shared" si="13"/>
        <v>100</v>
      </c>
      <c r="V39" s="1482" t="s">
        <v>8</v>
      </c>
      <c r="W39" s="1483">
        <f t="shared" si="14"/>
        <v>100</v>
      </c>
      <c r="X39" s="1476"/>
      <c r="Y39" s="3819"/>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819"/>
      <c r="Q40" s="1481" t="str">
        <f t="shared" si="11"/>
        <v>单套建筑面积</v>
      </c>
      <c r="R40" s="1482" t="s">
        <v>8</v>
      </c>
      <c r="S40" s="1483">
        <f t="shared" si="12"/>
        <v>100</v>
      </c>
      <c r="T40" s="1482" t="s">
        <v>8</v>
      </c>
      <c r="U40" s="1483">
        <f t="shared" si="13"/>
        <v>100</v>
      </c>
      <c r="V40" s="1482" t="s">
        <v>8</v>
      </c>
      <c r="W40" s="1483">
        <f t="shared" si="14"/>
        <v>100</v>
      </c>
      <c r="X40" s="1476"/>
      <c r="Y40" s="3819"/>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819"/>
      <c r="Q41" s="1510" t="str">
        <f t="shared" si="11"/>
        <v>进深比</v>
      </c>
      <c r="R41" s="1486" t="s">
        <v>8</v>
      </c>
      <c r="S41" s="1487">
        <f t="shared" si="12"/>
        <v>100</v>
      </c>
      <c r="T41" s="1486" t="s">
        <v>8</v>
      </c>
      <c r="U41" s="1487">
        <f t="shared" si="13"/>
        <v>100</v>
      </c>
      <c r="V41" s="1486" t="s">
        <v>8</v>
      </c>
      <c r="W41" s="1487">
        <f t="shared" si="14"/>
        <v>100</v>
      </c>
      <c r="X41" s="1488"/>
      <c r="Y41" s="3819"/>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819"/>
      <c r="Q42" s="1481" t="str">
        <f t="shared" si="11"/>
        <v>内部装修</v>
      </c>
      <c r="R42" s="1482" t="s">
        <v>8</v>
      </c>
      <c r="S42" s="1483">
        <f t="shared" si="12"/>
        <v>100</v>
      </c>
      <c r="T42" s="1482" t="s">
        <v>8</v>
      </c>
      <c r="U42" s="1483">
        <f t="shared" si="13"/>
        <v>100</v>
      </c>
      <c r="V42" s="1482" t="s">
        <v>8</v>
      </c>
      <c r="W42" s="1483">
        <f t="shared" si="14"/>
        <v>100</v>
      </c>
      <c r="X42" s="1476"/>
      <c r="Y42" s="3819"/>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819"/>
      <c r="Q43" s="1481" t="str">
        <f t="shared" si="11"/>
        <v>内部装修维护情况</v>
      </c>
      <c r="R43" s="1482" t="s">
        <v>8</v>
      </c>
      <c r="S43" s="1483">
        <f t="shared" si="12"/>
        <v>100</v>
      </c>
      <c r="T43" s="1482" t="s">
        <v>8</v>
      </c>
      <c r="U43" s="1483">
        <f t="shared" si="13"/>
        <v>100</v>
      </c>
      <c r="V43" s="1482" t="s">
        <v>8</v>
      </c>
      <c r="W43" s="1483">
        <f t="shared" si="14"/>
        <v>100</v>
      </c>
      <c r="X43" s="1476"/>
      <c r="Y43" s="3819"/>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819"/>
      <c r="Q44" s="1116">
        <f t="shared" si="11"/>
        <v>111</v>
      </c>
      <c r="R44" s="1477" t="s">
        <v>8</v>
      </c>
      <c r="S44" s="1478">
        <f t="shared" si="12"/>
        <v>100</v>
      </c>
      <c r="T44" s="1477" t="s">
        <v>8</v>
      </c>
      <c r="U44" s="1478">
        <f t="shared" si="13"/>
        <v>100</v>
      </c>
      <c r="V44" s="1477" t="s">
        <v>8</v>
      </c>
      <c r="W44" s="1478">
        <f t="shared" si="14"/>
        <v>100</v>
      </c>
      <c r="X44" s="1479"/>
      <c r="Y44" s="3819"/>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819"/>
      <c r="Q45" s="1481">
        <f t="shared" si="11"/>
        <v>111</v>
      </c>
      <c r="R45" s="1482" t="s">
        <v>8</v>
      </c>
      <c r="S45" s="1483">
        <f t="shared" si="12"/>
        <v>100</v>
      </c>
      <c r="T45" s="1482" t="s">
        <v>8</v>
      </c>
      <c r="U45" s="1483">
        <f t="shared" si="13"/>
        <v>100</v>
      </c>
      <c r="V45" s="1482" t="s">
        <v>8</v>
      </c>
      <c r="W45" s="1483">
        <f t="shared" si="14"/>
        <v>100</v>
      </c>
      <c r="X45" s="1476"/>
      <c r="Y45" s="3819"/>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928"/>
      <c r="Q46" s="1481">
        <f t="shared" si="11"/>
        <v>111</v>
      </c>
      <c r="R46" s="1482" t="s">
        <v>8</v>
      </c>
      <c r="S46" s="1483">
        <f t="shared" si="12"/>
        <v>100</v>
      </c>
      <c r="T46" s="1482" t="s">
        <v>8</v>
      </c>
      <c r="U46" s="1483">
        <f t="shared" si="13"/>
        <v>100</v>
      </c>
      <c r="V46" s="1482" t="s">
        <v>8</v>
      </c>
      <c r="W46" s="1483">
        <f t="shared" si="14"/>
        <v>100</v>
      </c>
      <c r="X46" s="1476"/>
      <c r="Y46" s="3928"/>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3782" t="str">
        <f>A47</f>
        <v>成交单价（元/平方米）</v>
      </c>
      <c r="Q47" s="3782"/>
      <c r="R47" s="3927">
        <f>E47</f>
        <v>0</v>
      </c>
      <c r="S47" s="3927"/>
      <c r="T47" s="3927">
        <f>G47</f>
        <v>0</v>
      </c>
      <c r="U47" s="3927"/>
      <c r="V47" s="3927">
        <f>I47</f>
        <v>0</v>
      </c>
      <c r="W47" s="3927"/>
      <c r="X47" s="1471"/>
      <c r="Y47" s="1490"/>
      <c r="Z47" s="1471"/>
      <c r="AA47" s="1471"/>
      <c r="AB47" s="1471"/>
      <c r="AC47" s="1471"/>
    </row>
    <row r="48" spans="1:29" ht="15.75" thickBot="1">
      <c r="A48" s="591" t="s">
        <v>2713</v>
      </c>
      <c r="B48" s="859"/>
      <c r="C48" s="2444" t="e">
        <f>R49</f>
        <v>#DIV/0!</v>
      </c>
      <c r="D48" s="2980" t="s">
        <v>2928</v>
      </c>
      <c r="E48" s="2445" t="e">
        <f>R48</f>
        <v>#DIV/0!</v>
      </c>
      <c r="F48" s="2981"/>
      <c r="G48" s="2444" t="e">
        <f>T48</f>
        <v>#DIV/0!</v>
      </c>
      <c r="H48" s="2981"/>
      <c r="I48" s="2445" t="e">
        <f>V48</f>
        <v>#DIV/0!</v>
      </c>
      <c r="J48" s="2981"/>
      <c r="K48" s="2989">
        <f>F48+H48+J48</f>
        <v>0</v>
      </c>
      <c r="L48" s="1997"/>
      <c r="M48" s="1998"/>
      <c r="N48" s="1987"/>
      <c r="O48" s="1998"/>
      <c r="P48" s="3782" t="str">
        <f>A48</f>
        <v>比较价格（元/平方米）</v>
      </c>
      <c r="Q48" s="3782"/>
      <c r="R48" s="3927" t="e">
        <f>IF(F1="售价",ROUND(PRODUCT(R47,AA7:AA46),0),ROUND(PRODUCT(R47,AA7:AA46),1))</f>
        <v>#DIV/0!</v>
      </c>
      <c r="S48" s="3927"/>
      <c r="T48" s="3927" t="e">
        <f>IF(F1="售价",ROUND(PRODUCT(T47,AB7:AB46),0),ROUND(PRODUCT(T47,AB7:AB46),1))</f>
        <v>#DIV/0!</v>
      </c>
      <c r="U48" s="3927"/>
      <c r="V48" s="3927" t="e">
        <f>IF(F1="售价",ROUND(PRODUCT(V47,AC7:AC46),0),ROUND(PRODUCT(V47,AC7:AC46),1))</f>
        <v>#DIV/0!</v>
      </c>
      <c r="W48" s="3927"/>
      <c r="X48" s="1471"/>
      <c r="Y48" s="1471"/>
      <c r="Z48" s="1471"/>
      <c r="AA48" s="1471"/>
      <c r="AB48" s="1471"/>
      <c r="AC48" s="1471"/>
    </row>
    <row r="49" spans="1:29" ht="15.75" thickBot="1">
      <c r="A49" s="595" t="s">
        <v>2864</v>
      </c>
      <c r="B49" s="596"/>
      <c r="C49" s="2446" t="e">
        <f>R49</f>
        <v>#DIV/0!</v>
      </c>
      <c r="D49" s="2446"/>
      <c r="E49" s="2446"/>
      <c r="F49" s="2446"/>
      <c r="G49" s="2446"/>
      <c r="H49" s="2446"/>
      <c r="I49" s="2446"/>
      <c r="J49" s="2446"/>
      <c r="K49" s="1516"/>
      <c r="L49" s="1997"/>
      <c r="M49" s="1998"/>
      <c r="N49" s="1987"/>
      <c r="O49" s="1998"/>
      <c r="P49" s="3779" t="str">
        <f>A49</f>
        <v>估价对象XX用房的比较价格（楼面单价，元/平方米）</v>
      </c>
      <c r="Q49" s="3780"/>
      <c r="R49" s="3926" t="e">
        <f>IF(F1="售价",ROUND(IF(D48="简单平均",AVERAGE(R48:V48),R48*F48+T48*H48+V48*J48),0),ROUND(IF(D48="简单平均",AVERAGE(R48:V48),R48*F48+T48*H48+V48*J48),1))</f>
        <v>#DIV/0!</v>
      </c>
      <c r="S49" s="3926"/>
      <c r="T49" s="3926"/>
      <c r="U49" s="3926"/>
      <c r="V49" s="3926"/>
      <c r="W49" s="3926"/>
      <c r="X49" s="1471"/>
      <c r="Y49" s="1471"/>
      <c r="Z49" s="1471"/>
      <c r="AA49" s="1471"/>
      <c r="AB49" s="1471"/>
      <c r="AC49" s="1471"/>
    </row>
    <row r="50" spans="1:29">
      <c r="A50" s="3173"/>
      <c r="B50" s="3173"/>
      <c r="C50" s="3173"/>
      <c r="D50" s="3173"/>
      <c r="E50" s="3173"/>
      <c r="F50" s="3173"/>
      <c r="G50" s="3175"/>
      <c r="H50" s="3173"/>
      <c r="I50" s="3173"/>
      <c r="J50" s="3173"/>
      <c r="K50" s="3176"/>
      <c r="L50" s="2002"/>
      <c r="M50" s="1998"/>
      <c r="N50" s="1998"/>
      <c r="O50" s="1998"/>
      <c r="P50" s="1998"/>
      <c r="Q50" s="1998"/>
      <c r="R50" s="1998"/>
      <c r="S50" s="1998"/>
      <c r="T50" s="1998"/>
      <c r="U50" s="1998"/>
      <c r="V50" s="1998"/>
      <c r="W50" s="1998"/>
      <c r="X50" s="1998"/>
      <c r="Y50" s="1998"/>
      <c r="Z50" s="1998"/>
      <c r="AA50" s="1998"/>
      <c r="AB50" s="1998"/>
      <c r="AC50" s="1998"/>
    </row>
    <row r="51" spans="1:29">
      <c r="A51" s="3173"/>
      <c r="B51" s="3173"/>
      <c r="C51" s="3173"/>
      <c r="D51" s="3173"/>
      <c r="E51" s="3173"/>
      <c r="F51" s="3173"/>
      <c r="G51" s="3173"/>
      <c r="H51" s="3173"/>
      <c r="I51" s="3173"/>
      <c r="J51" s="3173"/>
      <c r="K51" s="3176"/>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3"/>
      <c r="B52" s="3173"/>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6"/>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6"/>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4"/>
      <c r="B54" s="3174"/>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77"/>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2022-2</v>
      </c>
      <c r="D58" s="2489">
        <f>EDATE(C58,-1)</f>
        <v>44562</v>
      </c>
      <c r="E58" s="2489">
        <f t="shared" ref="E58:O58" si="16">EDATE(D58,-1)</f>
        <v>44531</v>
      </c>
      <c r="F58" s="2489">
        <f t="shared" si="16"/>
        <v>44501</v>
      </c>
      <c r="G58" s="2489">
        <f t="shared" si="16"/>
        <v>44470</v>
      </c>
      <c r="H58" s="2489">
        <f t="shared" si="16"/>
        <v>44440</v>
      </c>
      <c r="I58" s="2489">
        <f t="shared" si="16"/>
        <v>44409</v>
      </c>
      <c r="J58" s="2489">
        <f t="shared" si="16"/>
        <v>44378</v>
      </c>
      <c r="K58" s="2489">
        <f t="shared" si="16"/>
        <v>44348</v>
      </c>
      <c r="L58" s="2489">
        <f t="shared" si="16"/>
        <v>44317</v>
      </c>
      <c r="M58" s="2489">
        <f t="shared" si="16"/>
        <v>44287</v>
      </c>
      <c r="N58" s="2489">
        <f t="shared" si="16"/>
        <v>44256</v>
      </c>
      <c r="O58" s="2489">
        <f t="shared" si="16"/>
        <v>44228</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69"/>
      <c r="M1" s="3170"/>
      <c r="N1" s="3170"/>
      <c r="O1" s="3170"/>
      <c r="P1" s="3233"/>
      <c r="Q1" s="1985"/>
      <c r="R1" s="1985"/>
      <c r="S1" s="1985"/>
      <c r="T1" s="1985"/>
      <c r="U1" s="1985"/>
      <c r="V1" s="1985"/>
      <c r="W1" s="1985"/>
      <c r="X1" s="1985"/>
      <c r="Y1" s="1985"/>
      <c r="Z1" s="1985"/>
      <c r="AA1" s="1985"/>
      <c r="AB1" s="1985"/>
      <c r="AC1" s="3171"/>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3"/>
      <c r="Q2" s="1985"/>
      <c r="R2" s="1985"/>
      <c r="S2" s="1985"/>
      <c r="T2" s="1985"/>
      <c r="U2" s="1985"/>
      <c r="V2" s="1985"/>
      <c r="W2" s="1985"/>
      <c r="X2" s="1985"/>
      <c r="Y2" s="1985"/>
      <c r="Z2" s="1985"/>
      <c r="AA2" s="1985"/>
      <c r="AB2" s="1985"/>
      <c r="AC2" s="3171"/>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3"/>
      <c r="Q3" s="1985"/>
      <c r="R3" s="1985"/>
      <c r="S3" s="1985"/>
      <c r="T3" s="1985"/>
      <c r="U3" s="1985"/>
      <c r="V3" s="1985"/>
      <c r="W3" s="1985"/>
      <c r="X3" s="1985"/>
      <c r="Y3" s="1985"/>
      <c r="Z3" s="1985"/>
      <c r="AA3" s="1985"/>
      <c r="AB3" s="1985"/>
      <c r="AC3" s="3171"/>
    </row>
    <row r="4" spans="1:29" ht="15">
      <c r="A4" s="488" t="s">
        <v>499</v>
      </c>
      <c r="B4" s="489"/>
      <c r="C4" s="3788" t="s">
        <v>500</v>
      </c>
      <c r="D4" s="3789"/>
      <c r="E4" s="3829" t="s">
        <v>501</v>
      </c>
      <c r="F4" s="3830"/>
      <c r="G4" s="3788" t="s">
        <v>502</v>
      </c>
      <c r="H4" s="3789"/>
      <c r="I4" s="3788" t="s">
        <v>503</v>
      </c>
      <c r="J4" s="3789"/>
      <c r="K4" s="490" t="s">
        <v>504</v>
      </c>
      <c r="L4" s="1986"/>
      <c r="M4" s="1987"/>
      <c r="N4" s="1987"/>
      <c r="O4" s="1987"/>
      <c r="P4" s="3930" t="s">
        <v>505</v>
      </c>
      <c r="Q4" s="3791"/>
      <c r="R4" s="3796" t="s">
        <v>501</v>
      </c>
      <c r="S4" s="3797"/>
      <c r="T4" s="3796" t="s">
        <v>502</v>
      </c>
      <c r="U4" s="3797"/>
      <c r="V4" s="3783" t="s">
        <v>503</v>
      </c>
      <c r="W4" s="3783"/>
      <c r="X4" s="1476"/>
      <c r="Y4" s="3796" t="s">
        <v>505</v>
      </c>
      <c r="Z4" s="3797"/>
      <c r="AA4" s="3785" t="s">
        <v>501</v>
      </c>
      <c r="AB4" s="3785" t="s">
        <v>502</v>
      </c>
      <c r="AC4" s="3785" t="s">
        <v>503</v>
      </c>
    </row>
    <row r="5" spans="1:29" ht="15">
      <c r="A5" s="491"/>
      <c r="B5" s="492"/>
      <c r="C5" s="3804" t="s">
        <v>2858</v>
      </c>
      <c r="D5" s="3805"/>
      <c r="E5" s="3831" t="s">
        <v>2859</v>
      </c>
      <c r="F5" s="3832"/>
      <c r="G5" s="3804" t="s">
        <v>2860</v>
      </c>
      <c r="H5" s="3805"/>
      <c r="I5" s="3804" t="s">
        <v>2861</v>
      </c>
      <c r="J5" s="3805"/>
      <c r="K5" s="490"/>
      <c r="L5" s="1986"/>
      <c r="M5" s="1987"/>
      <c r="N5" s="1987"/>
      <c r="O5" s="1987"/>
      <c r="P5" s="3931"/>
      <c r="Q5" s="3793"/>
      <c r="R5" s="3798"/>
      <c r="S5" s="3799"/>
      <c r="T5" s="3798"/>
      <c r="U5" s="3799"/>
      <c r="V5" s="3783"/>
      <c r="W5" s="3783"/>
      <c r="X5" s="1476"/>
      <c r="Y5" s="3798"/>
      <c r="Z5" s="3799"/>
      <c r="AA5" s="3786"/>
      <c r="AB5" s="3786"/>
      <c r="AC5" s="3786"/>
    </row>
    <row r="6" spans="1:29" ht="15.75" thickBot="1">
      <c r="A6" s="493"/>
      <c r="B6" s="494"/>
      <c r="C6" s="3802" t="s">
        <v>2862</v>
      </c>
      <c r="D6" s="3803"/>
      <c r="E6" s="3827" t="s">
        <v>2862</v>
      </c>
      <c r="F6" s="3828"/>
      <c r="G6" s="3802" t="s">
        <v>2862</v>
      </c>
      <c r="H6" s="3803"/>
      <c r="I6" s="3802" t="s">
        <v>2862</v>
      </c>
      <c r="J6" s="3803"/>
      <c r="K6" s="490" t="s">
        <v>506</v>
      </c>
      <c r="L6" s="1986"/>
      <c r="M6" s="1987"/>
      <c r="N6" s="1987"/>
      <c r="O6" s="1987"/>
      <c r="P6" s="3932"/>
      <c r="Q6" s="3795"/>
      <c r="R6" s="3798"/>
      <c r="S6" s="3799"/>
      <c r="T6" s="3800"/>
      <c r="U6" s="3801"/>
      <c r="V6" s="3783"/>
      <c r="W6" s="3783"/>
      <c r="X6" s="1476"/>
      <c r="Y6" s="3800"/>
      <c r="Z6" s="3801"/>
      <c r="AA6" s="3787"/>
      <c r="AB6" s="3787"/>
      <c r="AC6" s="3787"/>
    </row>
    <row r="7" spans="1:29" s="1185" customFormat="1" ht="15.75" thickBot="1">
      <c r="A7" s="2597"/>
      <c r="B7" s="2604" t="s">
        <v>507</v>
      </c>
      <c r="C7" s="495">
        <f>'数据-取费表'!B2</f>
        <v>44614</v>
      </c>
      <c r="D7" s="496">
        <v>100</v>
      </c>
      <c r="E7" s="497"/>
      <c r="F7" s="498">
        <f>SUMIF(59:59,YEAR(E7)&amp;"-"&amp;MONTH(E7),60:60)</f>
        <v>0</v>
      </c>
      <c r="G7" s="497"/>
      <c r="H7" s="496">
        <f>SUMIF(59:59,YEAR(G7)&amp;"-"&amp;MONTH(G7),60:60)</f>
        <v>0</v>
      </c>
      <c r="I7" s="497"/>
      <c r="J7" s="496">
        <f>SUMIF(59:59,YEAR(I7)&amp;"-"&amp;MONTH(I7),60:60)</f>
        <v>0</v>
      </c>
      <c r="K7" s="500"/>
      <c r="L7" s="1988"/>
      <c r="M7" s="1989"/>
      <c r="N7" s="1989"/>
      <c r="O7" s="1989"/>
      <c r="P7" s="3815" t="s">
        <v>508</v>
      </c>
      <c r="Q7" s="3815"/>
      <c r="R7" s="1477" t="s">
        <v>8</v>
      </c>
      <c r="S7" s="1478">
        <f t="shared" ref="S7:S15" si="0">F7</f>
        <v>0</v>
      </c>
      <c r="T7" s="1477" t="s">
        <v>8</v>
      </c>
      <c r="U7" s="1478">
        <f t="shared" ref="U7:U15" si="1">H7</f>
        <v>0</v>
      </c>
      <c r="V7" s="1477" t="s">
        <v>8</v>
      </c>
      <c r="W7" s="1478">
        <f t="shared" ref="W7:W15" si="2">J7</f>
        <v>0</v>
      </c>
      <c r="X7" s="1479"/>
      <c r="Y7" s="3813" t="s">
        <v>508</v>
      </c>
      <c r="Z7" s="3814"/>
      <c r="AA7" s="1480" t="e">
        <f>D7/F7</f>
        <v>#DIV/0!</v>
      </c>
      <c r="AB7" s="1480" t="e">
        <f>D7/H7</f>
        <v>#DIV/0!</v>
      </c>
      <c r="AC7" s="1480" t="e">
        <f>D7/J7</f>
        <v>#DIV/0!</v>
      </c>
    </row>
    <row r="8" spans="1:29" s="1185" customFormat="1" ht="15.7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815" t="s">
        <v>511</v>
      </c>
      <c r="Q8" s="3814"/>
      <c r="R8" s="1477" t="s">
        <v>8</v>
      </c>
      <c r="S8" s="1478">
        <f t="shared" si="0"/>
        <v>0</v>
      </c>
      <c r="T8" s="1477" t="s">
        <v>8</v>
      </c>
      <c r="U8" s="1478">
        <f t="shared" si="1"/>
        <v>0</v>
      </c>
      <c r="V8" s="1477" t="s">
        <v>8</v>
      </c>
      <c r="W8" s="1478">
        <f t="shared" si="2"/>
        <v>0</v>
      </c>
      <c r="X8" s="1479"/>
      <c r="Y8" s="3813" t="s">
        <v>511</v>
      </c>
      <c r="Z8" s="3814"/>
      <c r="AA8" s="1480" t="e">
        <f t="shared" ref="AA8:AA47" si="3">D8/F8</f>
        <v>#DIV/0!</v>
      </c>
      <c r="AB8" s="1480" t="e">
        <f t="shared" ref="AB8:AB47" si="4">D8/H8</f>
        <v>#DIV/0!</v>
      </c>
      <c r="AC8" s="1480" t="e">
        <f t="shared" ref="AC8:AC47" si="5">D8/J8</f>
        <v>#DIV/0!</v>
      </c>
    </row>
    <row r="9" spans="1:29" s="1185" customFormat="1" ht="15">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782" t="s">
        <v>513</v>
      </c>
      <c r="Q9" s="1116" t="str">
        <f t="shared" ref="Q9:Q15" si="6">B9</f>
        <v>用途</v>
      </c>
      <c r="R9" s="1477" t="s">
        <v>8</v>
      </c>
      <c r="S9" s="1478">
        <f t="shared" si="0"/>
        <v>100</v>
      </c>
      <c r="T9" s="1477" t="s">
        <v>8</v>
      </c>
      <c r="U9" s="1478">
        <f t="shared" si="1"/>
        <v>100</v>
      </c>
      <c r="V9" s="1477" t="s">
        <v>8</v>
      </c>
      <c r="W9" s="1478">
        <f t="shared" si="2"/>
        <v>100</v>
      </c>
      <c r="X9" s="1479"/>
      <c r="Y9" s="3701"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782"/>
      <c r="Q10" s="1116" t="str">
        <f t="shared" si="6"/>
        <v>土地使用年限（年）</v>
      </c>
      <c r="R10" s="1477" t="s">
        <v>8</v>
      </c>
      <c r="S10" s="1478">
        <f t="shared" si="0"/>
        <v>100</v>
      </c>
      <c r="T10" s="1477" t="s">
        <v>8</v>
      </c>
      <c r="U10" s="1478">
        <f t="shared" si="1"/>
        <v>100</v>
      </c>
      <c r="V10" s="1477" t="s">
        <v>8</v>
      </c>
      <c r="W10" s="1478">
        <f t="shared" si="2"/>
        <v>100</v>
      </c>
      <c r="X10" s="1479"/>
      <c r="Y10" s="3701"/>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782"/>
      <c r="Q11" s="1116" t="str">
        <f t="shared" si="6"/>
        <v>容积率</v>
      </c>
      <c r="R11" s="1477" t="s">
        <v>8</v>
      </c>
      <c r="S11" s="1478" t="e">
        <f t="shared" si="0"/>
        <v>#N/A</v>
      </c>
      <c r="T11" s="1477" t="s">
        <v>8</v>
      </c>
      <c r="U11" s="1478" t="e">
        <f t="shared" si="1"/>
        <v>#N/A</v>
      </c>
      <c r="V11" s="1477" t="s">
        <v>8</v>
      </c>
      <c r="W11" s="1478" t="e">
        <f t="shared" si="2"/>
        <v>#N/A</v>
      </c>
      <c r="X11" s="1479"/>
      <c r="Y11" s="3701"/>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782"/>
      <c r="Q12" s="1116">
        <f t="shared" si="6"/>
        <v>111</v>
      </c>
      <c r="R12" s="1477" t="s">
        <v>8</v>
      </c>
      <c r="S12" s="1478">
        <f t="shared" si="0"/>
        <v>100</v>
      </c>
      <c r="T12" s="1477" t="s">
        <v>8</v>
      </c>
      <c r="U12" s="1478">
        <f t="shared" si="1"/>
        <v>100</v>
      </c>
      <c r="V12" s="1477" t="s">
        <v>8</v>
      </c>
      <c r="W12" s="1478">
        <f t="shared" si="2"/>
        <v>100</v>
      </c>
      <c r="X12" s="1479"/>
      <c r="Y12" s="3701"/>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782"/>
      <c r="Q13" s="1116">
        <f t="shared" si="6"/>
        <v>111</v>
      </c>
      <c r="R13" s="1477" t="s">
        <v>8</v>
      </c>
      <c r="S13" s="1478">
        <f t="shared" si="0"/>
        <v>100</v>
      </c>
      <c r="T13" s="1477" t="s">
        <v>8</v>
      </c>
      <c r="U13" s="1478">
        <f t="shared" si="1"/>
        <v>100</v>
      </c>
      <c r="V13" s="1477" t="s">
        <v>8</v>
      </c>
      <c r="W13" s="1478">
        <f t="shared" si="2"/>
        <v>100</v>
      </c>
      <c r="X13" s="1479"/>
      <c r="Y13" s="3701"/>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782"/>
      <c r="Q14" s="1116">
        <f t="shared" si="6"/>
        <v>111</v>
      </c>
      <c r="R14" s="1477" t="s">
        <v>8</v>
      </c>
      <c r="S14" s="1478">
        <f t="shared" si="0"/>
        <v>100</v>
      </c>
      <c r="T14" s="1477" t="s">
        <v>8</v>
      </c>
      <c r="U14" s="1478">
        <f t="shared" si="1"/>
        <v>100</v>
      </c>
      <c r="V14" s="1477" t="s">
        <v>8</v>
      </c>
      <c r="W14" s="1478">
        <f t="shared" si="2"/>
        <v>100</v>
      </c>
      <c r="X14" s="1479"/>
      <c r="Y14" s="3701"/>
      <c r="Z14" s="1115">
        <f t="shared" si="7"/>
        <v>111</v>
      </c>
      <c r="AA14" s="1480">
        <f t="shared" si="3"/>
        <v>1</v>
      </c>
      <c r="AB14" s="1480">
        <f t="shared" si="4"/>
        <v>1</v>
      </c>
      <c r="AC14" s="1480">
        <f t="shared" si="5"/>
        <v>1</v>
      </c>
    </row>
    <row r="15" spans="1:29" ht="71.25">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816" t="s">
        <v>518</v>
      </c>
      <c r="Q15" s="1481" t="str">
        <f t="shared" si="6"/>
        <v>办公集聚程度</v>
      </c>
      <c r="R15" s="1482" t="s">
        <v>8</v>
      </c>
      <c r="S15" s="1483">
        <f t="shared" si="0"/>
        <v>100</v>
      </c>
      <c r="T15" s="1482" t="s">
        <v>8</v>
      </c>
      <c r="U15" s="1483">
        <f t="shared" si="1"/>
        <v>100</v>
      </c>
      <c r="V15" s="1482" t="s">
        <v>8</v>
      </c>
      <c r="W15" s="1483">
        <f t="shared" si="2"/>
        <v>100</v>
      </c>
      <c r="X15" s="1476"/>
      <c r="Y15" s="3816"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3817"/>
      <c r="Q16" s="1481"/>
      <c r="R16" s="1482"/>
      <c r="S16" s="1483"/>
      <c r="T16" s="1482"/>
      <c r="U16" s="1483"/>
      <c r="V16" s="1482"/>
      <c r="W16" s="1483"/>
      <c r="X16" s="1476"/>
      <c r="Y16" s="3817"/>
      <c r="Z16" s="1484"/>
      <c r="AA16" s="1485">
        <v>1</v>
      </c>
      <c r="AB16" s="1485">
        <v>1</v>
      </c>
      <c r="AC16" s="1485">
        <v>1</v>
      </c>
    </row>
    <row r="17" spans="1:29" ht="156.75">
      <c r="A17" s="508"/>
      <c r="B17" s="536" t="s">
        <v>296</v>
      </c>
      <c r="C17" s="549" t="str">
        <f>估价对象房地状况!C6</f>
        <v>估价对象周边有顺2路、顺27路、顺28路、顺38路、顺43路、顺59路、顺60路等多条公交线路，距地铁15号线（南法信站）约500米，综合评价交通便捷度较好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817"/>
      <c r="Q17" s="1481" t="str">
        <f>B17</f>
        <v>交通便捷度</v>
      </c>
      <c r="R17" s="1482" t="s">
        <v>8</v>
      </c>
      <c r="S17" s="1483">
        <f>F17</f>
        <v>100</v>
      </c>
      <c r="T17" s="1482" t="s">
        <v>8</v>
      </c>
      <c r="U17" s="1483">
        <f>H17</f>
        <v>100</v>
      </c>
      <c r="V17" s="1482" t="s">
        <v>8</v>
      </c>
      <c r="W17" s="1483">
        <f>J17</f>
        <v>100</v>
      </c>
      <c r="X17" s="1476"/>
      <c r="Y17" s="3817"/>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3817"/>
      <c r="Q18" s="1481"/>
      <c r="R18" s="1482"/>
      <c r="S18" s="1483"/>
      <c r="T18" s="1482"/>
      <c r="U18" s="1483"/>
      <c r="V18" s="1482"/>
      <c r="W18" s="1483"/>
      <c r="X18" s="1476"/>
      <c r="Y18" s="3817"/>
      <c r="Z18" s="1484"/>
      <c r="AA18" s="1485">
        <v>1</v>
      </c>
      <c r="AB18" s="1485">
        <v>1</v>
      </c>
      <c r="AC18" s="1485">
        <v>1</v>
      </c>
    </row>
    <row r="19" spans="1:29" ht="42.75">
      <c r="A19" s="508"/>
      <c r="B19" s="2415" t="s">
        <v>2500</v>
      </c>
      <c r="C19" s="549" t="str">
        <f>估价对象房地状况!C7</f>
        <v>估价对象所在区域公共配套设施齐备情况一般</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817"/>
      <c r="Q19" s="1481" t="str">
        <f>B19</f>
        <v>公共配套设施</v>
      </c>
      <c r="R19" s="1482" t="s">
        <v>8</v>
      </c>
      <c r="S19" s="1483">
        <f>F19</f>
        <v>100</v>
      </c>
      <c r="T19" s="1482" t="s">
        <v>8</v>
      </c>
      <c r="U19" s="1483">
        <f>H19</f>
        <v>100</v>
      </c>
      <c r="V19" s="1482" t="s">
        <v>8</v>
      </c>
      <c r="W19" s="1483">
        <f>J19</f>
        <v>100</v>
      </c>
      <c r="X19" s="1476"/>
      <c r="Y19" s="3817"/>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3817"/>
      <c r="Q20" s="1481"/>
      <c r="R20" s="1482"/>
      <c r="S20" s="1483"/>
      <c r="T20" s="1482"/>
      <c r="U20" s="1483"/>
      <c r="V20" s="1482"/>
      <c r="W20" s="1483"/>
      <c r="X20" s="1476"/>
      <c r="Y20" s="3817"/>
      <c r="Z20" s="1484"/>
      <c r="AA20" s="1485">
        <v>1</v>
      </c>
      <c r="AB20" s="1485">
        <v>1</v>
      </c>
      <c r="AC20" s="1485">
        <v>1</v>
      </c>
    </row>
    <row r="21" spans="1:29" ht="28.5">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817"/>
      <c r="Q21" s="2397" t="str">
        <f>B21</f>
        <v>基础设施水平</v>
      </c>
      <c r="R21" s="1482" t="s">
        <v>8</v>
      </c>
      <c r="S21" s="1483">
        <f>F21</f>
        <v>100</v>
      </c>
      <c r="T21" s="1482" t="s">
        <v>8</v>
      </c>
      <c r="U21" s="1483">
        <f>H21</f>
        <v>100</v>
      </c>
      <c r="V21" s="1482" t="s">
        <v>8</v>
      </c>
      <c r="W21" s="1483">
        <f>J21</f>
        <v>100</v>
      </c>
      <c r="X21" s="2399"/>
      <c r="Y21" s="3817"/>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3817"/>
      <c r="Q22" s="2397"/>
      <c r="R22" s="1482"/>
      <c r="S22" s="1483"/>
      <c r="T22" s="1482"/>
      <c r="U22" s="1483"/>
      <c r="V22" s="1482"/>
      <c r="W22" s="1483"/>
      <c r="X22" s="2399"/>
      <c r="Y22" s="3817"/>
      <c r="Z22" s="2398"/>
      <c r="AA22" s="1485">
        <v>1</v>
      </c>
      <c r="AB22" s="1485">
        <v>1</v>
      </c>
      <c r="AC22" s="1485">
        <v>1</v>
      </c>
    </row>
    <row r="23" spans="1:29" ht="85.5">
      <c r="A23" s="508"/>
      <c r="B23" s="536" t="s">
        <v>756</v>
      </c>
      <c r="C23" s="549" t="str">
        <f>估价对象房地状况!C9</f>
        <v>区域自然环境：小众和；人文环境：国家新闻出版广电总局研修学院；综合评价环境状况一般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817"/>
      <c r="Q23" s="1481" t="str">
        <f>B23</f>
        <v>环境质量</v>
      </c>
      <c r="R23" s="1482" t="s">
        <v>8</v>
      </c>
      <c r="S23" s="1483">
        <f>F23</f>
        <v>100</v>
      </c>
      <c r="T23" s="1482" t="s">
        <v>8</v>
      </c>
      <c r="U23" s="1483">
        <f>H23</f>
        <v>100</v>
      </c>
      <c r="V23" s="1482" t="s">
        <v>8</v>
      </c>
      <c r="W23" s="1483">
        <f>J23</f>
        <v>100</v>
      </c>
      <c r="X23" s="1476"/>
      <c r="Y23" s="3817"/>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3817"/>
      <c r="Q24" s="1481"/>
      <c r="R24" s="1482"/>
      <c r="S24" s="1483"/>
      <c r="T24" s="1482"/>
      <c r="U24" s="1483"/>
      <c r="V24" s="1482"/>
      <c r="W24" s="1483"/>
      <c r="X24" s="1476"/>
      <c r="Y24" s="3817"/>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817"/>
      <c r="Q25" s="1481" t="str">
        <f>B25</f>
        <v>毗邻道路的类型与等级</v>
      </c>
      <c r="R25" s="1482" t="s">
        <v>8</v>
      </c>
      <c r="S25" s="1483">
        <f>F25</f>
        <v>100</v>
      </c>
      <c r="T25" s="1482" t="s">
        <v>8</v>
      </c>
      <c r="U25" s="1483">
        <f>H25</f>
        <v>100</v>
      </c>
      <c r="V25" s="1482" t="s">
        <v>8</v>
      </c>
      <c r="W25" s="1483">
        <f>J25</f>
        <v>100</v>
      </c>
      <c r="X25" s="1476"/>
      <c r="Y25" s="3817"/>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3817"/>
      <c r="Q26" s="1481"/>
      <c r="R26" s="1482"/>
      <c r="S26" s="1483"/>
      <c r="T26" s="1482"/>
      <c r="U26" s="1483"/>
      <c r="V26" s="1482"/>
      <c r="W26" s="1483"/>
      <c r="X26" s="1476"/>
      <c r="Y26" s="3817"/>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817"/>
      <c r="Q27" s="1481" t="str">
        <f t="shared" ref="Q27:Q47" si="11">B27</f>
        <v>楼层</v>
      </c>
      <c r="R27" s="1482" t="s">
        <v>8</v>
      </c>
      <c r="S27" s="1483">
        <f>F27</f>
        <v>100</v>
      </c>
      <c r="T27" s="1482" t="s">
        <v>8</v>
      </c>
      <c r="U27" s="1483">
        <f>H27</f>
        <v>100</v>
      </c>
      <c r="V27" s="1482" t="s">
        <v>8</v>
      </c>
      <c r="W27" s="1483">
        <f>J27</f>
        <v>100</v>
      </c>
      <c r="X27" s="1476"/>
      <c r="Y27" s="3817"/>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817"/>
      <c r="Q28" s="1116" t="str">
        <f t="shared" si="11"/>
        <v>朝向</v>
      </c>
      <c r="R28" s="1477" t="s">
        <v>8</v>
      </c>
      <c r="S28" s="1478">
        <f>F28</f>
        <v>100</v>
      </c>
      <c r="T28" s="1477" t="s">
        <v>8</v>
      </c>
      <c r="U28" s="1478">
        <f>H28</f>
        <v>100</v>
      </c>
      <c r="V28" s="1477" t="s">
        <v>8</v>
      </c>
      <c r="W28" s="1478">
        <f>J28</f>
        <v>100</v>
      </c>
      <c r="X28" s="1479"/>
      <c r="Y28" s="3817"/>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817"/>
      <c r="Q29" s="1481">
        <f t="shared" si="11"/>
        <v>111</v>
      </c>
      <c r="R29" s="1482" t="s">
        <v>8</v>
      </c>
      <c r="S29" s="1483">
        <f t="shared" ref="S29:S47" si="12">F29</f>
        <v>100</v>
      </c>
      <c r="T29" s="1482" t="s">
        <v>8</v>
      </c>
      <c r="U29" s="1483">
        <f t="shared" ref="U29:U47" si="13">H29</f>
        <v>100</v>
      </c>
      <c r="V29" s="1482" t="s">
        <v>8</v>
      </c>
      <c r="W29" s="1483">
        <f t="shared" ref="W29:W47" si="14">J29</f>
        <v>100</v>
      </c>
      <c r="X29" s="1476"/>
      <c r="Y29" s="3817"/>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817"/>
      <c r="Q30" s="1481">
        <f t="shared" si="11"/>
        <v>111</v>
      </c>
      <c r="R30" s="1482" t="s">
        <v>8</v>
      </c>
      <c r="S30" s="1483">
        <f t="shared" si="12"/>
        <v>100</v>
      </c>
      <c r="T30" s="1482" t="s">
        <v>8</v>
      </c>
      <c r="U30" s="1483">
        <f t="shared" si="13"/>
        <v>100</v>
      </c>
      <c r="V30" s="1482" t="s">
        <v>8</v>
      </c>
      <c r="W30" s="1483">
        <f t="shared" si="14"/>
        <v>100</v>
      </c>
      <c r="X30" s="1476"/>
      <c r="Y30" s="3817"/>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817"/>
      <c r="Q31" s="1481">
        <f t="shared" si="11"/>
        <v>111</v>
      </c>
      <c r="R31" s="1482" t="s">
        <v>8</v>
      </c>
      <c r="S31" s="1483">
        <f t="shared" si="12"/>
        <v>100</v>
      </c>
      <c r="T31" s="1482" t="s">
        <v>8</v>
      </c>
      <c r="U31" s="1483">
        <f t="shared" si="13"/>
        <v>100</v>
      </c>
      <c r="V31" s="1482" t="s">
        <v>8</v>
      </c>
      <c r="W31" s="1483">
        <f t="shared" si="14"/>
        <v>100</v>
      </c>
      <c r="X31" s="1476"/>
      <c r="Y31" s="3817"/>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817"/>
      <c r="Q32" s="1481">
        <f t="shared" si="11"/>
        <v>111</v>
      </c>
      <c r="R32" s="1482" t="s">
        <v>8</v>
      </c>
      <c r="S32" s="1483">
        <f t="shared" si="12"/>
        <v>100</v>
      </c>
      <c r="T32" s="1482" t="s">
        <v>8</v>
      </c>
      <c r="U32" s="1483">
        <f t="shared" si="13"/>
        <v>100</v>
      </c>
      <c r="V32" s="1482" t="s">
        <v>8</v>
      </c>
      <c r="W32" s="1483">
        <f t="shared" si="14"/>
        <v>100</v>
      </c>
      <c r="X32" s="1476"/>
      <c r="Y32" s="3817"/>
      <c r="Z32" s="1484">
        <f t="shared" si="15"/>
        <v>111</v>
      </c>
      <c r="AA32" s="1485">
        <f t="shared" si="3"/>
        <v>1</v>
      </c>
      <c r="AB32" s="1485">
        <f t="shared" si="4"/>
        <v>1</v>
      </c>
      <c r="AC32" s="1485">
        <f t="shared" si="5"/>
        <v>1</v>
      </c>
    </row>
    <row r="33" spans="1:29" ht="1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818" t="s">
        <v>528</v>
      </c>
      <c r="Q33" s="1481" t="str">
        <f t="shared" si="11"/>
        <v>建筑类型</v>
      </c>
      <c r="R33" s="1482" t="s">
        <v>8</v>
      </c>
      <c r="S33" s="1483">
        <f t="shared" si="12"/>
        <v>100</v>
      </c>
      <c r="T33" s="1482" t="s">
        <v>8</v>
      </c>
      <c r="U33" s="1483">
        <f t="shared" si="13"/>
        <v>100</v>
      </c>
      <c r="V33" s="1482" t="s">
        <v>8</v>
      </c>
      <c r="W33" s="1483">
        <f t="shared" si="14"/>
        <v>100</v>
      </c>
      <c r="X33" s="1476"/>
      <c r="Y33" s="3819"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819"/>
      <c r="Q34" s="1510" t="str">
        <f t="shared" si="11"/>
        <v>项目建筑规模</v>
      </c>
      <c r="R34" s="1486" t="s">
        <v>8</v>
      </c>
      <c r="S34" s="1487" t="e">
        <f t="shared" si="12"/>
        <v>#N/A</v>
      </c>
      <c r="T34" s="1486" t="s">
        <v>8</v>
      </c>
      <c r="U34" s="1487" t="e">
        <f t="shared" si="13"/>
        <v>#N/A</v>
      </c>
      <c r="V34" s="1486" t="s">
        <v>8</v>
      </c>
      <c r="W34" s="1487" t="e">
        <f t="shared" si="14"/>
        <v>#N/A</v>
      </c>
      <c r="X34" s="1488"/>
      <c r="Y34" s="3819"/>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819"/>
      <c r="Q35" s="1481" t="str">
        <f t="shared" si="11"/>
        <v>建筑结构</v>
      </c>
      <c r="R35" s="1482" t="s">
        <v>8</v>
      </c>
      <c r="S35" s="1483">
        <f t="shared" si="12"/>
        <v>100</v>
      </c>
      <c r="T35" s="1482" t="s">
        <v>8</v>
      </c>
      <c r="U35" s="1483">
        <f t="shared" si="13"/>
        <v>100</v>
      </c>
      <c r="V35" s="1482" t="s">
        <v>8</v>
      </c>
      <c r="W35" s="1483">
        <f t="shared" si="14"/>
        <v>100</v>
      </c>
      <c r="X35" s="1476"/>
      <c r="Y35" s="3819"/>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819"/>
      <c r="Q36" s="1481" t="str">
        <f t="shared" si="11"/>
        <v>公共部分装修</v>
      </c>
      <c r="R36" s="1482" t="s">
        <v>8</v>
      </c>
      <c r="S36" s="1483">
        <f t="shared" si="12"/>
        <v>100</v>
      </c>
      <c r="T36" s="1482" t="s">
        <v>8</v>
      </c>
      <c r="U36" s="1483">
        <f t="shared" si="13"/>
        <v>100</v>
      </c>
      <c r="V36" s="1482" t="s">
        <v>8</v>
      </c>
      <c r="W36" s="1483">
        <f t="shared" si="14"/>
        <v>100</v>
      </c>
      <c r="X36" s="1476"/>
      <c r="Y36" s="3819"/>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819"/>
      <c r="Q37" s="1481" t="str">
        <f t="shared" si="11"/>
        <v>成新度</v>
      </c>
      <c r="R37" s="1482" t="s">
        <v>8</v>
      </c>
      <c r="S37" s="1483" t="e">
        <f t="shared" si="12"/>
        <v>#N/A</v>
      </c>
      <c r="T37" s="1482" t="s">
        <v>8</v>
      </c>
      <c r="U37" s="1483" t="e">
        <f t="shared" si="13"/>
        <v>#N/A</v>
      </c>
      <c r="V37" s="1482" t="s">
        <v>8</v>
      </c>
      <c r="W37" s="1483" t="e">
        <f t="shared" si="14"/>
        <v>#N/A</v>
      </c>
      <c r="X37" s="1476"/>
      <c r="Y37" s="3819"/>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819"/>
      <c r="Q38" s="1116" t="str">
        <f t="shared" si="11"/>
        <v>写字楼等级</v>
      </c>
      <c r="R38" s="1477" t="s">
        <v>8</v>
      </c>
      <c r="S38" s="1478">
        <f t="shared" si="12"/>
        <v>100</v>
      </c>
      <c r="T38" s="1477" t="s">
        <v>8</v>
      </c>
      <c r="U38" s="1478">
        <f t="shared" si="13"/>
        <v>100</v>
      </c>
      <c r="V38" s="1477" t="s">
        <v>8</v>
      </c>
      <c r="W38" s="1478">
        <f t="shared" si="14"/>
        <v>100</v>
      </c>
      <c r="X38" s="1479"/>
      <c r="Y38" s="3819"/>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819" t="s">
        <v>528</v>
      </c>
      <c r="Q39" s="1481" t="str">
        <f t="shared" si="11"/>
        <v>物业管理</v>
      </c>
      <c r="R39" s="1482" t="s">
        <v>8</v>
      </c>
      <c r="S39" s="1483">
        <f t="shared" si="12"/>
        <v>100</v>
      </c>
      <c r="T39" s="1482" t="s">
        <v>8</v>
      </c>
      <c r="U39" s="1483">
        <f t="shared" si="13"/>
        <v>100</v>
      </c>
      <c r="V39" s="1482" t="s">
        <v>8</v>
      </c>
      <c r="W39" s="1483">
        <f t="shared" si="14"/>
        <v>100</v>
      </c>
      <c r="X39" s="1476"/>
      <c r="Y39" s="3819" t="s">
        <v>528</v>
      </c>
      <c r="Z39" s="1484" t="str">
        <f t="shared" si="15"/>
        <v>物业管理</v>
      </c>
      <c r="AA39" s="1485">
        <f t="shared" si="3"/>
        <v>1</v>
      </c>
      <c r="AB39" s="1485">
        <f t="shared" si="4"/>
        <v>1</v>
      </c>
      <c r="AC39" s="1485">
        <f t="shared" si="5"/>
        <v>1</v>
      </c>
    </row>
    <row r="40" spans="1:29" ht="1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819"/>
      <c r="Q40" s="1481" t="str">
        <f t="shared" si="11"/>
        <v>市政基础设施</v>
      </c>
      <c r="R40" s="1482" t="s">
        <v>8</v>
      </c>
      <c r="S40" s="1483">
        <f t="shared" si="12"/>
        <v>100</v>
      </c>
      <c r="T40" s="1482" t="s">
        <v>8</v>
      </c>
      <c r="U40" s="1483">
        <f t="shared" si="13"/>
        <v>100</v>
      </c>
      <c r="V40" s="1482" t="s">
        <v>8</v>
      </c>
      <c r="W40" s="1483">
        <f t="shared" si="14"/>
        <v>100</v>
      </c>
      <c r="X40" s="1476"/>
      <c r="Y40" s="3819"/>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819"/>
      <c r="Q41" s="1481" t="str">
        <f t="shared" si="11"/>
        <v>层高</v>
      </c>
      <c r="R41" s="1482" t="s">
        <v>8</v>
      </c>
      <c r="S41" s="1483">
        <f t="shared" si="12"/>
        <v>100</v>
      </c>
      <c r="T41" s="1482" t="s">
        <v>8</v>
      </c>
      <c r="U41" s="1483">
        <f t="shared" si="13"/>
        <v>100</v>
      </c>
      <c r="V41" s="1482" t="s">
        <v>8</v>
      </c>
      <c r="W41" s="1483">
        <f t="shared" si="14"/>
        <v>100</v>
      </c>
      <c r="X41" s="1476"/>
      <c r="Y41" s="3819"/>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819"/>
      <c r="Q42" s="1510" t="str">
        <f t="shared" si="11"/>
        <v>单套建筑面积</v>
      </c>
      <c r="R42" s="1486" t="s">
        <v>8</v>
      </c>
      <c r="S42" s="1487">
        <f t="shared" si="12"/>
        <v>100</v>
      </c>
      <c r="T42" s="1486" t="s">
        <v>8</v>
      </c>
      <c r="U42" s="1487">
        <f t="shared" si="13"/>
        <v>100</v>
      </c>
      <c r="V42" s="1486" t="s">
        <v>8</v>
      </c>
      <c r="W42" s="1487">
        <f t="shared" si="14"/>
        <v>100</v>
      </c>
      <c r="X42" s="1488"/>
      <c r="Y42" s="3819"/>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819"/>
      <c r="Q43" s="1481" t="str">
        <f t="shared" si="11"/>
        <v>内部装修</v>
      </c>
      <c r="R43" s="1482" t="s">
        <v>8</v>
      </c>
      <c r="S43" s="1483">
        <f t="shared" si="12"/>
        <v>100</v>
      </c>
      <c r="T43" s="1482" t="s">
        <v>8</v>
      </c>
      <c r="U43" s="1483">
        <f t="shared" si="13"/>
        <v>100</v>
      </c>
      <c r="V43" s="1482" t="s">
        <v>8</v>
      </c>
      <c r="W43" s="1483">
        <f t="shared" si="14"/>
        <v>100</v>
      </c>
      <c r="X43" s="1476"/>
      <c r="Y43" s="3819"/>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819"/>
      <c r="Q44" s="1481" t="str">
        <f t="shared" si="11"/>
        <v>内部装修维护情况</v>
      </c>
      <c r="R44" s="1482" t="s">
        <v>8</v>
      </c>
      <c r="S44" s="1483">
        <f t="shared" si="12"/>
        <v>100</v>
      </c>
      <c r="T44" s="1482" t="s">
        <v>8</v>
      </c>
      <c r="U44" s="1483">
        <f t="shared" si="13"/>
        <v>100</v>
      </c>
      <c r="V44" s="1482" t="s">
        <v>8</v>
      </c>
      <c r="W44" s="1483">
        <f t="shared" si="14"/>
        <v>100</v>
      </c>
      <c r="X44" s="1476"/>
      <c r="Y44" s="3819"/>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819"/>
      <c r="Q45" s="1116">
        <f t="shared" si="11"/>
        <v>111</v>
      </c>
      <c r="R45" s="1477" t="s">
        <v>8</v>
      </c>
      <c r="S45" s="1478">
        <f t="shared" si="12"/>
        <v>100</v>
      </c>
      <c r="T45" s="1477" t="s">
        <v>8</v>
      </c>
      <c r="U45" s="1478">
        <f t="shared" si="13"/>
        <v>100</v>
      </c>
      <c r="V45" s="1477" t="s">
        <v>8</v>
      </c>
      <c r="W45" s="1478">
        <f t="shared" si="14"/>
        <v>100</v>
      </c>
      <c r="X45" s="1479"/>
      <c r="Y45" s="3819"/>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819"/>
      <c r="Q46" s="1481">
        <f t="shared" si="11"/>
        <v>111</v>
      </c>
      <c r="R46" s="1482" t="s">
        <v>8</v>
      </c>
      <c r="S46" s="1483">
        <f t="shared" si="12"/>
        <v>100</v>
      </c>
      <c r="T46" s="1482" t="s">
        <v>8</v>
      </c>
      <c r="U46" s="1483">
        <f t="shared" si="13"/>
        <v>100</v>
      </c>
      <c r="V46" s="1482" t="s">
        <v>8</v>
      </c>
      <c r="W46" s="1483">
        <f t="shared" si="14"/>
        <v>100</v>
      </c>
      <c r="X46" s="1476"/>
      <c r="Y46" s="3819"/>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928"/>
      <c r="Q47" s="1481">
        <f t="shared" si="11"/>
        <v>111</v>
      </c>
      <c r="R47" s="1482" t="s">
        <v>8</v>
      </c>
      <c r="S47" s="1483">
        <f t="shared" si="12"/>
        <v>100</v>
      </c>
      <c r="T47" s="1482" t="s">
        <v>8</v>
      </c>
      <c r="U47" s="1483">
        <f t="shared" si="13"/>
        <v>100</v>
      </c>
      <c r="V47" s="1482" t="s">
        <v>8</v>
      </c>
      <c r="W47" s="1483">
        <f t="shared" si="14"/>
        <v>100</v>
      </c>
      <c r="X47" s="1476"/>
      <c r="Y47" s="3928"/>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3780" t="str">
        <f>A48</f>
        <v>成交单价（元/平方米）</v>
      </c>
      <c r="Q48" s="3782"/>
      <c r="R48" s="3927">
        <f>E48</f>
        <v>0</v>
      </c>
      <c r="S48" s="3927"/>
      <c r="T48" s="3927">
        <f>G48</f>
        <v>0</v>
      </c>
      <c r="U48" s="3927"/>
      <c r="V48" s="3927">
        <f>I48</f>
        <v>0</v>
      </c>
      <c r="W48" s="3927"/>
      <c r="X48" s="1471"/>
      <c r="Y48" s="1490"/>
      <c r="Z48" s="1471"/>
      <c r="AA48" s="1471"/>
      <c r="AB48" s="1471"/>
      <c r="AC48" s="1471"/>
    </row>
    <row r="49" spans="1:29" ht="15.75" thickBot="1">
      <c r="A49" s="591" t="s">
        <v>2713</v>
      </c>
      <c r="B49" s="859"/>
      <c r="C49" s="2444" t="e">
        <f>R50</f>
        <v>#DIV/0!</v>
      </c>
      <c r="D49" s="2980" t="s">
        <v>2928</v>
      </c>
      <c r="E49" s="2445" t="e">
        <f>R49</f>
        <v>#DIV/0!</v>
      </c>
      <c r="F49" s="2981"/>
      <c r="G49" s="2444" t="e">
        <f>T49</f>
        <v>#DIV/0!</v>
      </c>
      <c r="H49" s="2981"/>
      <c r="I49" s="2445" t="e">
        <f>V49</f>
        <v>#DIV/0!</v>
      </c>
      <c r="J49" s="2981"/>
      <c r="K49" s="2989">
        <f>F49+H49+J49</f>
        <v>0</v>
      </c>
      <c r="L49" s="1997"/>
      <c r="M49" s="1987"/>
      <c r="N49" s="1987"/>
      <c r="O49" s="1987"/>
      <c r="P49" s="3780" t="str">
        <f>A49</f>
        <v>比较价格（元/平方米）</v>
      </c>
      <c r="Q49" s="3782"/>
      <c r="R49" s="3927" t="e">
        <f>IF(F1="售价",ROUND(PRODUCT(R48,AA7:AA47),0),ROUND(PRODUCT(R48,AA7:AA47),1))</f>
        <v>#DIV/0!</v>
      </c>
      <c r="S49" s="3927"/>
      <c r="T49" s="3927" t="e">
        <f>IF(F1="售价",ROUND(PRODUCT(T48,AB7:AB47),0),ROUND(PRODUCT(T48,AB7:AB47),1))</f>
        <v>#DIV/0!</v>
      </c>
      <c r="U49" s="3927"/>
      <c r="V49" s="3927" t="e">
        <f>IF(F1="售价",ROUND(PRODUCT(V48,AC7:AC47),0),ROUND(PRODUCT(V48,AC7:AC47),1))</f>
        <v>#DIV/0!</v>
      </c>
      <c r="W49" s="3927"/>
      <c r="X49" s="1471"/>
      <c r="Y49" s="1471"/>
      <c r="Z49" s="1471"/>
      <c r="AA49" s="1471"/>
      <c r="AB49" s="1471"/>
      <c r="AC49" s="1471"/>
    </row>
    <row r="50" spans="1:29" ht="15.75" thickBot="1">
      <c r="A50" s="595" t="s">
        <v>2864</v>
      </c>
      <c r="B50" s="596"/>
      <c r="C50" s="2446" t="e">
        <f>R50</f>
        <v>#DIV/0!</v>
      </c>
      <c r="D50" s="2446"/>
      <c r="E50" s="2446"/>
      <c r="F50" s="2446"/>
      <c r="G50" s="2446"/>
      <c r="H50" s="2446"/>
      <c r="I50" s="2446"/>
      <c r="J50" s="2446"/>
      <c r="K50" s="1516"/>
      <c r="L50" s="1997"/>
      <c r="M50" s="1987"/>
      <c r="N50" s="1987"/>
      <c r="O50" s="1987"/>
      <c r="P50" s="3929" t="str">
        <f>A50</f>
        <v>估价对象XX用房的比较价格（楼面单价，元/平方米）</v>
      </c>
      <c r="Q50" s="3780"/>
      <c r="R50" s="3926" t="e">
        <f>IF(F1="售价",ROUND(IF(D49="简单平均",AVERAGE(R49:V49),R49*F49+T49*H49+V49*J49),0),ROUND(IF(D49="简单平均",AVERAGE(R49:V49),R49*F49+T49*H49+V49*J49),1))</f>
        <v>#DIV/0!</v>
      </c>
      <c r="S50" s="3926"/>
      <c r="T50" s="3926"/>
      <c r="U50" s="3926"/>
      <c r="V50" s="3926"/>
      <c r="W50" s="3926"/>
      <c r="X50" s="1471"/>
      <c r="Y50" s="1471"/>
      <c r="Z50" s="1471"/>
      <c r="AA50" s="1471"/>
      <c r="AB50" s="1471"/>
      <c r="AC50" s="1471"/>
    </row>
    <row r="51" spans="1:29">
      <c r="A51" s="3173"/>
      <c r="B51" s="3173"/>
      <c r="C51" s="3173"/>
      <c r="D51" s="3173"/>
      <c r="E51" s="3173"/>
      <c r="F51" s="3173"/>
      <c r="G51" s="3175"/>
      <c r="H51" s="3173"/>
      <c r="I51" s="3173"/>
      <c r="J51" s="3173"/>
      <c r="K51" s="3176"/>
      <c r="L51" s="2002"/>
      <c r="M51" s="1998"/>
      <c r="N51" s="1998"/>
      <c r="O51" s="1998"/>
      <c r="P51" s="2059"/>
      <c r="Q51" s="1998"/>
      <c r="R51" s="1998"/>
      <c r="S51" s="1998"/>
      <c r="T51" s="1998"/>
      <c r="U51" s="1998"/>
      <c r="V51" s="1998"/>
      <c r="W51" s="1998"/>
      <c r="X51" s="1998"/>
      <c r="Y51" s="1998"/>
      <c r="Z51" s="1998"/>
      <c r="AA51" s="1998"/>
      <c r="AB51" s="1998"/>
      <c r="AC51" s="1998"/>
    </row>
    <row r="52" spans="1:29">
      <c r="A52" s="3173"/>
      <c r="B52" s="3173"/>
      <c r="C52" s="3173"/>
      <c r="D52" s="3173"/>
      <c r="E52" s="3173"/>
      <c r="F52" s="3173"/>
      <c r="G52" s="3173"/>
      <c r="H52" s="3173"/>
      <c r="I52" s="3173"/>
      <c r="J52" s="3173"/>
      <c r="K52" s="3176"/>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3"/>
      <c r="B53" s="3173"/>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6"/>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3"/>
      <c r="B54" s="3173"/>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6"/>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74"/>
      <c r="B55" s="3174"/>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77"/>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2022-2</v>
      </c>
      <c r="D59" s="2489">
        <f>EDATE(C59,-1)</f>
        <v>44562</v>
      </c>
      <c r="E59" s="2489">
        <f t="shared" ref="E59:O59" si="16">EDATE(D59,-1)</f>
        <v>44531</v>
      </c>
      <c r="F59" s="2489">
        <f t="shared" si="16"/>
        <v>44501</v>
      </c>
      <c r="G59" s="2489">
        <f t="shared" si="16"/>
        <v>44470</v>
      </c>
      <c r="H59" s="2489">
        <f t="shared" si="16"/>
        <v>44440</v>
      </c>
      <c r="I59" s="2489">
        <f t="shared" si="16"/>
        <v>44409</v>
      </c>
      <c r="J59" s="2489">
        <f t="shared" si="16"/>
        <v>44378</v>
      </c>
      <c r="K59" s="2489">
        <f t="shared" si="16"/>
        <v>44348</v>
      </c>
      <c r="L59" s="2489">
        <f t="shared" si="16"/>
        <v>44317</v>
      </c>
      <c r="M59" s="2489">
        <f t="shared" si="16"/>
        <v>44287</v>
      </c>
      <c r="N59" s="2489">
        <f t="shared" si="16"/>
        <v>44256</v>
      </c>
      <c r="O59" s="2489">
        <f t="shared" si="16"/>
        <v>44228</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受贵公司委托，我公司对北京市划拨国有建设用地使用权市场价格进行了预评估。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558" t="s">
        <v>2701</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5" t="s">
        <v>1993</v>
      </c>
    </row>
    <row r="11" spans="1:4" ht="18.75">
      <c r="A11" s="1668" t="str">
        <f>TEXT(项目基本情况!D3,"yyyy年m月d日;;")&amp;IF(项目基本情况!B3=项目基本情况!D3,"（评估专业人员勘察现场之日）","")</f>
        <v>2022年2月22日（评估专业人员勘察现场之日）</v>
      </c>
    </row>
    <row r="12" spans="1:4" ht="18.75">
      <c r="A12" s="1685" t="s">
        <v>1992</v>
      </c>
    </row>
    <row r="13" spans="1:4" ht="18.75">
      <c r="A13" s="1679" t="s">
        <v>2038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2041</v>
      </c>
    </row>
    <row r="23" spans="1:1" ht="18.75">
      <c r="A23" s="2560" t="s">
        <v>2702</v>
      </c>
    </row>
    <row r="24" spans="1:1" ht="18.75">
      <c r="A24" s="1679" t="s">
        <v>2042</v>
      </c>
    </row>
    <row r="25" spans="1:1" ht="75">
      <c r="A25" s="1679" t="str">
        <f>定义!C53</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row>
    <row r="26" spans="1:1" ht="56.25">
      <c r="A26" s="1679" t="str">
        <f>IF(项目基本情况!E8="抵押价格",定义!C54,IF(项目基本情况!E8="已注销",定义!C55,定义!C56))</f>
        <v>本次估价的“抵押担保权已注销时的抵押价格”是指估价对象在估价期日的“划拨国有建设用地使用权价格”扣减估价师于估价期日所知悉的除抵押担保权以外的其他法定优先受偿款后的余额。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69"/>
      <c r="M1" s="3170"/>
      <c r="N1" s="3170"/>
      <c r="O1" s="3170"/>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499</v>
      </c>
      <c r="B4" s="489"/>
      <c r="C4" s="3788" t="s">
        <v>500</v>
      </c>
      <c r="D4" s="3789"/>
      <c r="E4" s="3829" t="s">
        <v>501</v>
      </c>
      <c r="F4" s="3830"/>
      <c r="G4" s="3788" t="s">
        <v>502</v>
      </c>
      <c r="H4" s="3789"/>
      <c r="I4" s="3788" t="s">
        <v>503</v>
      </c>
      <c r="J4" s="3789"/>
      <c r="K4" s="490" t="s">
        <v>504</v>
      </c>
      <c r="L4" s="1986"/>
      <c r="M4" s="1987"/>
      <c r="N4" s="1987"/>
      <c r="O4" s="1987"/>
      <c r="P4" s="3790" t="s">
        <v>505</v>
      </c>
      <c r="Q4" s="3791"/>
      <c r="R4" s="3796" t="s">
        <v>501</v>
      </c>
      <c r="S4" s="3797"/>
      <c r="T4" s="3796" t="s">
        <v>502</v>
      </c>
      <c r="U4" s="3797"/>
      <c r="V4" s="3783" t="s">
        <v>503</v>
      </c>
      <c r="W4" s="3783"/>
      <c r="X4" s="1476"/>
      <c r="Y4" s="3796" t="s">
        <v>505</v>
      </c>
      <c r="Z4" s="3797"/>
      <c r="AA4" s="3785" t="s">
        <v>501</v>
      </c>
      <c r="AB4" s="3786" t="s">
        <v>502</v>
      </c>
      <c r="AC4" s="3785" t="s">
        <v>503</v>
      </c>
    </row>
    <row r="5" spans="1:29" ht="15">
      <c r="A5" s="491"/>
      <c r="B5" s="492"/>
      <c r="C5" s="3804" t="s">
        <v>2858</v>
      </c>
      <c r="D5" s="3805"/>
      <c r="E5" s="3831" t="s">
        <v>2859</v>
      </c>
      <c r="F5" s="3832"/>
      <c r="G5" s="3804" t="s">
        <v>2860</v>
      </c>
      <c r="H5" s="3805"/>
      <c r="I5" s="3804" t="s">
        <v>2861</v>
      </c>
      <c r="J5" s="3805"/>
      <c r="K5" s="490"/>
      <c r="L5" s="1986"/>
      <c r="M5" s="1987"/>
      <c r="N5" s="1987"/>
      <c r="O5" s="1987"/>
      <c r="P5" s="3792"/>
      <c r="Q5" s="3793"/>
      <c r="R5" s="3798"/>
      <c r="S5" s="3799"/>
      <c r="T5" s="3798"/>
      <c r="U5" s="3799"/>
      <c r="V5" s="3783"/>
      <c r="W5" s="3783"/>
      <c r="X5" s="1476"/>
      <c r="Y5" s="3798"/>
      <c r="Z5" s="3799"/>
      <c r="AA5" s="3786"/>
      <c r="AB5" s="3786"/>
      <c r="AC5" s="3786"/>
    </row>
    <row r="6" spans="1:29" ht="15.75" thickBot="1">
      <c r="A6" s="493"/>
      <c r="B6" s="494"/>
      <c r="C6" s="3802" t="s">
        <v>2862</v>
      </c>
      <c r="D6" s="3803"/>
      <c r="E6" s="3827" t="s">
        <v>2862</v>
      </c>
      <c r="F6" s="3828"/>
      <c r="G6" s="3802" t="s">
        <v>2862</v>
      </c>
      <c r="H6" s="3803"/>
      <c r="I6" s="3802" t="s">
        <v>2862</v>
      </c>
      <c r="J6" s="3803"/>
      <c r="K6" s="490" t="s">
        <v>506</v>
      </c>
      <c r="L6" s="1986"/>
      <c r="M6" s="1987"/>
      <c r="N6" s="1987"/>
      <c r="O6" s="1987"/>
      <c r="P6" s="3794"/>
      <c r="Q6" s="3795"/>
      <c r="R6" s="3798"/>
      <c r="S6" s="3799"/>
      <c r="T6" s="3800"/>
      <c r="U6" s="3801"/>
      <c r="V6" s="3783"/>
      <c r="W6" s="3783"/>
      <c r="X6" s="1476"/>
      <c r="Y6" s="3800"/>
      <c r="Z6" s="3801"/>
      <c r="AA6" s="3787"/>
      <c r="AB6" s="3787"/>
      <c r="AC6" s="3787"/>
    </row>
    <row r="7" spans="1:29" s="1185" customFormat="1" ht="15.75" thickBot="1">
      <c r="A7" s="2597"/>
      <c r="B7" s="2604" t="s">
        <v>507</v>
      </c>
      <c r="C7" s="495">
        <f>'数据-取费表'!B2</f>
        <v>44614</v>
      </c>
      <c r="D7" s="496">
        <v>100</v>
      </c>
      <c r="E7" s="497"/>
      <c r="F7" s="498">
        <f>SUMIF(52:52,YEAR(E7)&amp;"-"&amp;MONTH(E7),53:53)</f>
        <v>0</v>
      </c>
      <c r="G7" s="497"/>
      <c r="H7" s="496">
        <f>SUMIF(52:52,YEAR(G7)&amp;"-"&amp;MONTH(G7),53:53)</f>
        <v>0</v>
      </c>
      <c r="I7" s="497"/>
      <c r="J7" s="496">
        <f>SUMIF(52:52,YEAR(I7)&amp;"-"&amp;MONTH(I7),53:53)</f>
        <v>0</v>
      </c>
      <c r="K7" s="500"/>
      <c r="L7" s="1988"/>
      <c r="M7" s="1989"/>
      <c r="N7" s="1989"/>
      <c r="O7" s="1989"/>
      <c r="P7" s="3813" t="s">
        <v>508</v>
      </c>
      <c r="Q7" s="3815"/>
      <c r="R7" s="1477" t="s">
        <v>8</v>
      </c>
      <c r="S7" s="1478">
        <f t="shared" ref="S7:S15" si="0">F7</f>
        <v>0</v>
      </c>
      <c r="T7" s="1477" t="s">
        <v>8</v>
      </c>
      <c r="U7" s="1478">
        <f t="shared" ref="U7:U15" si="1">H7</f>
        <v>0</v>
      </c>
      <c r="V7" s="1477" t="s">
        <v>8</v>
      </c>
      <c r="W7" s="1478">
        <f t="shared" ref="W7:W15" si="2">J7</f>
        <v>0</v>
      </c>
      <c r="X7" s="1479"/>
      <c r="Y7" s="3813" t="s">
        <v>508</v>
      </c>
      <c r="Z7" s="3814"/>
      <c r="AA7" s="1480" t="e">
        <f>D7/F7</f>
        <v>#DIV/0!</v>
      </c>
      <c r="AB7" s="1480" t="e">
        <f>D7/H7</f>
        <v>#DIV/0!</v>
      </c>
      <c r="AC7" s="1480" t="e">
        <f>D7/J7</f>
        <v>#DIV/0!</v>
      </c>
    </row>
    <row r="8" spans="1:29" s="1185" customFormat="1" ht="15.7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813" t="s">
        <v>511</v>
      </c>
      <c r="Q8" s="3814"/>
      <c r="R8" s="1477" t="s">
        <v>8</v>
      </c>
      <c r="S8" s="1478">
        <f t="shared" si="0"/>
        <v>0</v>
      </c>
      <c r="T8" s="1477" t="s">
        <v>8</v>
      </c>
      <c r="U8" s="1478">
        <f t="shared" si="1"/>
        <v>0</v>
      </c>
      <c r="V8" s="1477" t="s">
        <v>8</v>
      </c>
      <c r="W8" s="1478">
        <f t="shared" si="2"/>
        <v>0</v>
      </c>
      <c r="X8" s="1479"/>
      <c r="Y8" s="3813" t="s">
        <v>511</v>
      </c>
      <c r="Z8" s="3814"/>
      <c r="AA8" s="1480" t="e">
        <f t="shared" ref="AA8:AA40" si="3">D8/F8</f>
        <v>#DIV/0!</v>
      </c>
      <c r="AB8" s="1480" t="e">
        <f t="shared" ref="AB8:AB40" si="4">D8/H8</f>
        <v>#DIV/0!</v>
      </c>
      <c r="AC8" s="1480" t="e">
        <f t="shared" ref="AC8:AC40" si="5">D8/J8</f>
        <v>#DIV/0!</v>
      </c>
    </row>
    <row r="9" spans="1:29" s="1185" customFormat="1" ht="15">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782" t="s">
        <v>513</v>
      </c>
      <c r="Q9" s="1116" t="str">
        <f t="shared" ref="Q9:Q15" si="6">B9</f>
        <v>用途</v>
      </c>
      <c r="R9" s="1477" t="s">
        <v>8</v>
      </c>
      <c r="S9" s="1478">
        <f t="shared" si="0"/>
        <v>100</v>
      </c>
      <c r="T9" s="1477" t="s">
        <v>8</v>
      </c>
      <c r="U9" s="1478">
        <f t="shared" si="1"/>
        <v>100</v>
      </c>
      <c r="V9" s="1477" t="s">
        <v>8</v>
      </c>
      <c r="W9" s="1478">
        <f t="shared" si="2"/>
        <v>100</v>
      </c>
      <c r="X9" s="1479"/>
      <c r="Y9" s="3701"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782"/>
      <c r="Q10" s="1116" t="str">
        <f t="shared" si="6"/>
        <v>土地使用年限（年）</v>
      </c>
      <c r="R10" s="1477" t="s">
        <v>8</v>
      </c>
      <c r="S10" s="1478">
        <f t="shared" si="0"/>
        <v>100</v>
      </c>
      <c r="T10" s="1477" t="s">
        <v>8</v>
      </c>
      <c r="U10" s="1478">
        <f t="shared" si="1"/>
        <v>100</v>
      </c>
      <c r="V10" s="1477" t="s">
        <v>8</v>
      </c>
      <c r="W10" s="1478">
        <f t="shared" si="2"/>
        <v>100</v>
      </c>
      <c r="X10" s="1479"/>
      <c r="Y10" s="3701"/>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782"/>
      <c r="Q11" s="1116" t="str">
        <f t="shared" si="6"/>
        <v>容积率</v>
      </c>
      <c r="R11" s="1477" t="s">
        <v>8</v>
      </c>
      <c r="S11" s="1478" t="e">
        <f t="shared" si="0"/>
        <v>#N/A</v>
      </c>
      <c r="T11" s="1477" t="s">
        <v>8</v>
      </c>
      <c r="U11" s="1478" t="e">
        <f t="shared" si="1"/>
        <v>#N/A</v>
      </c>
      <c r="V11" s="1477" t="s">
        <v>8</v>
      </c>
      <c r="W11" s="1478" t="e">
        <f t="shared" si="2"/>
        <v>#N/A</v>
      </c>
      <c r="X11" s="1479"/>
      <c r="Y11" s="3701"/>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782"/>
      <c r="Q12" s="1116">
        <f t="shared" si="6"/>
        <v>111</v>
      </c>
      <c r="R12" s="1477" t="s">
        <v>8</v>
      </c>
      <c r="S12" s="1478">
        <f t="shared" si="0"/>
        <v>100</v>
      </c>
      <c r="T12" s="1477" t="s">
        <v>8</v>
      </c>
      <c r="U12" s="1478">
        <f t="shared" si="1"/>
        <v>100</v>
      </c>
      <c r="V12" s="1477" t="s">
        <v>8</v>
      </c>
      <c r="W12" s="1478">
        <f t="shared" si="2"/>
        <v>100</v>
      </c>
      <c r="X12" s="1479"/>
      <c r="Y12" s="3701"/>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782"/>
      <c r="Q13" s="1116">
        <f t="shared" si="6"/>
        <v>111</v>
      </c>
      <c r="R13" s="1477" t="s">
        <v>8</v>
      </c>
      <c r="S13" s="1478">
        <f t="shared" si="0"/>
        <v>100</v>
      </c>
      <c r="T13" s="1477" t="s">
        <v>8</v>
      </c>
      <c r="U13" s="1478">
        <f t="shared" si="1"/>
        <v>100</v>
      </c>
      <c r="V13" s="1477" t="s">
        <v>8</v>
      </c>
      <c r="W13" s="1478">
        <f t="shared" si="2"/>
        <v>100</v>
      </c>
      <c r="X13" s="1479"/>
      <c r="Y13" s="3701"/>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782"/>
      <c r="Q14" s="1116">
        <f t="shared" si="6"/>
        <v>111</v>
      </c>
      <c r="R14" s="1477" t="s">
        <v>8</v>
      </c>
      <c r="S14" s="1478">
        <f t="shared" si="0"/>
        <v>100</v>
      </c>
      <c r="T14" s="1477" t="s">
        <v>8</v>
      </c>
      <c r="U14" s="1478">
        <f t="shared" si="1"/>
        <v>100</v>
      </c>
      <c r="V14" s="1477" t="s">
        <v>8</v>
      </c>
      <c r="W14" s="1478">
        <f t="shared" si="2"/>
        <v>100</v>
      </c>
      <c r="X14" s="1479"/>
      <c r="Y14" s="3701"/>
      <c r="Z14" s="1115">
        <f t="shared" si="7"/>
        <v>111</v>
      </c>
      <c r="AA14" s="1480">
        <f t="shared" si="3"/>
        <v>1</v>
      </c>
      <c r="AB14" s="1480">
        <f t="shared" si="4"/>
        <v>1</v>
      </c>
      <c r="AC14" s="1480">
        <f t="shared" si="5"/>
        <v>1</v>
      </c>
    </row>
    <row r="15" spans="1:29" ht="171">
      <c r="A15" s="2595" t="s">
        <v>2707</v>
      </c>
      <c r="B15" s="164" t="s">
        <v>767</v>
      </c>
      <c r="C15" s="892" t="str">
        <f>估价对象房地状况!G3</f>
        <v>估价对象现状周边以产业用地为主，邻近周边有乐铁设备(北京)有限公司、综合信兴物流(南法信卫生院东北)、安博北京首都机场第二物流中心等，物流企业较多，产业集聚程度较好。</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816" t="s">
        <v>518</v>
      </c>
      <c r="Q15" s="1481" t="str">
        <f t="shared" si="6"/>
        <v>产业集聚程度</v>
      </c>
      <c r="R15" s="1482" t="s">
        <v>8</v>
      </c>
      <c r="S15" s="1483">
        <f t="shared" si="0"/>
        <v>100</v>
      </c>
      <c r="T15" s="1482" t="s">
        <v>8</v>
      </c>
      <c r="U15" s="1483">
        <f t="shared" si="1"/>
        <v>100</v>
      </c>
      <c r="V15" s="1482" t="s">
        <v>8</v>
      </c>
      <c r="W15" s="1483">
        <f t="shared" si="2"/>
        <v>100</v>
      </c>
      <c r="X15" s="1476"/>
      <c r="Y15" s="3816"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817"/>
      <c r="Q16" s="1481"/>
      <c r="R16" s="1482"/>
      <c r="S16" s="1483"/>
      <c r="T16" s="1482"/>
      <c r="U16" s="1483"/>
      <c r="V16" s="1482"/>
      <c r="W16" s="1483"/>
      <c r="X16" s="1476"/>
      <c r="Y16" s="3817"/>
      <c r="Z16" s="1484"/>
      <c r="AA16" s="1485">
        <v>1</v>
      </c>
      <c r="AB16" s="1485">
        <v>1</v>
      </c>
      <c r="AC16" s="1485">
        <v>1</v>
      </c>
    </row>
    <row r="17" spans="1:29" ht="156.75">
      <c r="A17" s="508"/>
      <c r="B17" s="842" t="s">
        <v>296</v>
      </c>
      <c r="C17" s="843" t="str">
        <f>估价对象房地状况!G4</f>
        <v>估价对象周边有顺2路、顺27路、顺28路、顺38路、顺43路、顺59路、顺60路等多条公交线路，距地铁15号线（南法信站）约500米，综合评价交通便捷度较好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817"/>
      <c r="Q17" s="1481" t="str">
        <f>B17</f>
        <v>交通便捷度</v>
      </c>
      <c r="R17" s="1482" t="s">
        <v>8</v>
      </c>
      <c r="S17" s="1483">
        <f>F17</f>
        <v>100</v>
      </c>
      <c r="T17" s="1482" t="s">
        <v>8</v>
      </c>
      <c r="U17" s="1483">
        <f>H17</f>
        <v>100</v>
      </c>
      <c r="V17" s="1482" t="s">
        <v>8</v>
      </c>
      <c r="W17" s="1483">
        <f>J17</f>
        <v>100</v>
      </c>
      <c r="X17" s="1476"/>
      <c r="Y17" s="381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817"/>
      <c r="Q18" s="1481"/>
      <c r="R18" s="1482"/>
      <c r="S18" s="1483"/>
      <c r="T18" s="1482"/>
      <c r="U18" s="1483"/>
      <c r="V18" s="1482"/>
      <c r="W18" s="1483"/>
      <c r="X18" s="1476"/>
      <c r="Y18" s="3817"/>
      <c r="Z18" s="1484"/>
      <c r="AA18" s="1485">
        <v>1</v>
      </c>
      <c r="AB18" s="1485">
        <v>1</v>
      </c>
      <c r="AC18" s="1485">
        <v>1</v>
      </c>
    </row>
    <row r="19" spans="1:29" ht="42.75">
      <c r="A19" s="508"/>
      <c r="B19" s="2415" t="s">
        <v>2500</v>
      </c>
      <c r="C19" s="843" t="str">
        <f>估价对象房地状况!G5</f>
        <v>估价对象所在区域公共配套设施齐备情况一般</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817"/>
      <c r="Q19" s="1481" t="str">
        <f>B19</f>
        <v>公共配套设施</v>
      </c>
      <c r="R19" s="1482" t="s">
        <v>8</v>
      </c>
      <c r="S19" s="1483">
        <f>F19</f>
        <v>100</v>
      </c>
      <c r="T19" s="1482" t="s">
        <v>8</v>
      </c>
      <c r="U19" s="1483">
        <f>H19</f>
        <v>100</v>
      </c>
      <c r="V19" s="1482" t="s">
        <v>8</v>
      </c>
      <c r="W19" s="1483">
        <f>J19</f>
        <v>100</v>
      </c>
      <c r="X19" s="1476"/>
      <c r="Y19" s="3817"/>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3817"/>
      <c r="Q20" s="1481"/>
      <c r="R20" s="1482"/>
      <c r="S20" s="1483"/>
      <c r="T20" s="1482"/>
      <c r="U20" s="1483"/>
      <c r="V20" s="1482"/>
      <c r="W20" s="1483"/>
      <c r="X20" s="1476"/>
      <c r="Y20" s="3817"/>
      <c r="Z20" s="1484"/>
      <c r="AA20" s="1485">
        <v>1</v>
      </c>
      <c r="AB20" s="1485">
        <v>1</v>
      </c>
      <c r="AC20" s="1485">
        <v>1</v>
      </c>
    </row>
    <row r="21" spans="1:29" ht="142.5">
      <c r="A21" s="508"/>
      <c r="B21" s="2403" t="s">
        <v>2512</v>
      </c>
      <c r="C21" s="843" t="str">
        <f>估价对象房地状况!G6</f>
        <v>估价对象所在区域内基础设施配套条件达到“五通”（包括通路、通电、通讯、通上水、通下水），基本能够保证工作、生产需要，基础设施配套完善度一般。</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817"/>
      <c r="Q21" s="2397" t="str">
        <f>B21</f>
        <v>基础设施水平</v>
      </c>
      <c r="R21" s="1482" t="s">
        <v>8</v>
      </c>
      <c r="S21" s="1483">
        <f>F21</f>
        <v>100</v>
      </c>
      <c r="T21" s="1482" t="s">
        <v>8</v>
      </c>
      <c r="U21" s="1483">
        <f>H21</f>
        <v>100</v>
      </c>
      <c r="V21" s="1482" t="s">
        <v>8</v>
      </c>
      <c r="W21" s="1483">
        <f>J21</f>
        <v>100</v>
      </c>
      <c r="X21" s="2399"/>
      <c r="Y21" s="3817"/>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3817"/>
      <c r="Q22" s="2397"/>
      <c r="R22" s="1482"/>
      <c r="S22" s="1483"/>
      <c r="T22" s="1482"/>
      <c r="U22" s="1483"/>
      <c r="V22" s="1482"/>
      <c r="W22" s="1483"/>
      <c r="X22" s="2399"/>
      <c r="Y22" s="3817"/>
      <c r="Z22" s="2398"/>
      <c r="AA22" s="1485">
        <v>1</v>
      </c>
      <c r="AB22" s="1485">
        <v>1</v>
      </c>
      <c r="AC22" s="1485">
        <v>1</v>
      </c>
    </row>
    <row r="23" spans="1:29" ht="85.5">
      <c r="A23" s="508"/>
      <c r="B23" s="842" t="s">
        <v>756</v>
      </c>
      <c r="C23" s="843" t="str">
        <f>估价对象房地状况!G7</f>
        <v>区域自然环境：小众河；人文环境：国家新闻出版广电总局研修学院；综合评价环境状况一般</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817"/>
      <c r="Q23" s="1481" t="str">
        <f>B23</f>
        <v>环境质量</v>
      </c>
      <c r="R23" s="1482" t="s">
        <v>8</v>
      </c>
      <c r="S23" s="1483">
        <f>F23</f>
        <v>100</v>
      </c>
      <c r="T23" s="1482" t="s">
        <v>8</v>
      </c>
      <c r="U23" s="1483">
        <f>H23</f>
        <v>100</v>
      </c>
      <c r="V23" s="1482" t="s">
        <v>8</v>
      </c>
      <c r="W23" s="1483">
        <f>J23</f>
        <v>100</v>
      </c>
      <c r="X23" s="1476"/>
      <c r="Y23" s="3817"/>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3817"/>
      <c r="Q24" s="1481"/>
      <c r="R24" s="1482"/>
      <c r="S24" s="1483"/>
      <c r="T24" s="1482"/>
      <c r="U24" s="1483"/>
      <c r="V24" s="1482"/>
      <c r="W24" s="1483"/>
      <c r="X24" s="1476"/>
      <c r="Y24" s="3817"/>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817"/>
      <c r="Q25" s="1481">
        <f>B25</f>
        <v>111</v>
      </c>
      <c r="R25" s="1482" t="s">
        <v>8</v>
      </c>
      <c r="S25" s="1483">
        <f>F25</f>
        <v>100</v>
      </c>
      <c r="T25" s="1482" t="s">
        <v>8</v>
      </c>
      <c r="U25" s="1483">
        <f>H25</f>
        <v>100</v>
      </c>
      <c r="V25" s="1482" t="s">
        <v>8</v>
      </c>
      <c r="W25" s="1483">
        <f>J25</f>
        <v>100</v>
      </c>
      <c r="X25" s="1476"/>
      <c r="Y25" s="3817"/>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817"/>
      <c r="Q26" s="1481">
        <f t="shared" ref="Q26:Q40" si="11">B26</f>
        <v>111</v>
      </c>
      <c r="R26" s="1482" t="s">
        <v>8</v>
      </c>
      <c r="S26" s="1483">
        <f>F26</f>
        <v>100</v>
      </c>
      <c r="T26" s="1482" t="s">
        <v>8</v>
      </c>
      <c r="U26" s="1483">
        <f>H26</f>
        <v>100</v>
      </c>
      <c r="V26" s="1482" t="s">
        <v>8</v>
      </c>
      <c r="W26" s="1483">
        <f>J26</f>
        <v>100</v>
      </c>
      <c r="X26" s="1476"/>
      <c r="Y26" s="3817"/>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817"/>
      <c r="Q27" s="1116">
        <f t="shared" si="11"/>
        <v>111</v>
      </c>
      <c r="R27" s="1477" t="s">
        <v>8</v>
      </c>
      <c r="S27" s="1478">
        <f>F27</f>
        <v>100</v>
      </c>
      <c r="T27" s="1477" t="s">
        <v>8</v>
      </c>
      <c r="U27" s="1478">
        <f>H27</f>
        <v>100</v>
      </c>
      <c r="V27" s="1477" t="s">
        <v>8</v>
      </c>
      <c r="W27" s="1478">
        <f>J27</f>
        <v>100</v>
      </c>
      <c r="X27" s="1479"/>
      <c r="Y27" s="3817"/>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817"/>
      <c r="Q28" s="1481">
        <f t="shared" si="11"/>
        <v>111</v>
      </c>
      <c r="R28" s="1482" t="s">
        <v>8</v>
      </c>
      <c r="S28" s="1483">
        <f t="shared" ref="S28:S40" si="12">F28</f>
        <v>100</v>
      </c>
      <c r="T28" s="1482" t="s">
        <v>8</v>
      </c>
      <c r="U28" s="1483">
        <f t="shared" ref="U28:U40" si="13">H28</f>
        <v>100</v>
      </c>
      <c r="V28" s="1482" t="s">
        <v>8</v>
      </c>
      <c r="W28" s="1483">
        <f t="shared" ref="W28:W40" si="14">J28</f>
        <v>100</v>
      </c>
      <c r="X28" s="1476"/>
      <c r="Y28" s="3817"/>
      <c r="Z28" s="1484">
        <f t="shared" ref="Z28:Z40" si="15">Q28</f>
        <v>111</v>
      </c>
      <c r="AA28" s="1485">
        <f t="shared" si="3"/>
        <v>1</v>
      </c>
      <c r="AB28" s="1485">
        <f t="shared" si="4"/>
        <v>1</v>
      </c>
      <c r="AC28" s="1485">
        <f t="shared" si="5"/>
        <v>1</v>
      </c>
    </row>
    <row r="29" spans="1:29" ht="1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818" t="s">
        <v>528</v>
      </c>
      <c r="Q29" s="1481" t="str">
        <f t="shared" si="11"/>
        <v>建筑类型</v>
      </c>
      <c r="R29" s="1482" t="s">
        <v>8</v>
      </c>
      <c r="S29" s="1483">
        <f t="shared" si="12"/>
        <v>100</v>
      </c>
      <c r="T29" s="1482" t="s">
        <v>8</v>
      </c>
      <c r="U29" s="1483">
        <f t="shared" si="13"/>
        <v>100</v>
      </c>
      <c r="V29" s="1482" t="s">
        <v>8</v>
      </c>
      <c r="W29" s="1483">
        <f t="shared" si="14"/>
        <v>100</v>
      </c>
      <c r="X29" s="1476"/>
      <c r="Y29" s="3819"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819"/>
      <c r="Q30" s="1510" t="str">
        <f t="shared" si="11"/>
        <v>项目建筑规模</v>
      </c>
      <c r="R30" s="1486" t="s">
        <v>8</v>
      </c>
      <c r="S30" s="1487" t="e">
        <f t="shared" si="12"/>
        <v>#N/A</v>
      </c>
      <c r="T30" s="1486" t="s">
        <v>8</v>
      </c>
      <c r="U30" s="1487" t="e">
        <f t="shared" si="13"/>
        <v>#N/A</v>
      </c>
      <c r="V30" s="1486" t="s">
        <v>8</v>
      </c>
      <c r="W30" s="1487" t="e">
        <f t="shared" si="14"/>
        <v>#N/A</v>
      </c>
      <c r="X30" s="1488"/>
      <c r="Y30" s="3819"/>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819"/>
      <c r="Q31" s="1481" t="str">
        <f t="shared" si="11"/>
        <v>建筑结构</v>
      </c>
      <c r="R31" s="1482" t="s">
        <v>8</v>
      </c>
      <c r="S31" s="1483">
        <f t="shared" si="12"/>
        <v>100</v>
      </c>
      <c r="T31" s="1482" t="s">
        <v>8</v>
      </c>
      <c r="U31" s="1483">
        <f t="shared" si="13"/>
        <v>100</v>
      </c>
      <c r="V31" s="1482" t="s">
        <v>8</v>
      </c>
      <c r="W31" s="1483">
        <f t="shared" si="14"/>
        <v>100</v>
      </c>
      <c r="X31" s="1476"/>
      <c r="Y31" s="3819"/>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819"/>
      <c r="Q32" s="1481" t="str">
        <f t="shared" si="11"/>
        <v>公共部分装修</v>
      </c>
      <c r="R32" s="1482" t="s">
        <v>8</v>
      </c>
      <c r="S32" s="1483">
        <f t="shared" si="12"/>
        <v>100</v>
      </c>
      <c r="T32" s="1482" t="s">
        <v>8</v>
      </c>
      <c r="U32" s="1483">
        <f t="shared" si="13"/>
        <v>100</v>
      </c>
      <c r="V32" s="1482" t="s">
        <v>8</v>
      </c>
      <c r="W32" s="1483">
        <f t="shared" si="14"/>
        <v>100</v>
      </c>
      <c r="X32" s="1476"/>
      <c r="Y32" s="3819"/>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819"/>
      <c r="Q33" s="1481" t="str">
        <f t="shared" si="11"/>
        <v>成新度</v>
      </c>
      <c r="R33" s="1482" t="s">
        <v>8</v>
      </c>
      <c r="S33" s="1483" t="e">
        <f t="shared" si="12"/>
        <v>#N/A</v>
      </c>
      <c r="T33" s="1482" t="s">
        <v>8</v>
      </c>
      <c r="U33" s="1483" t="e">
        <f t="shared" si="13"/>
        <v>#N/A</v>
      </c>
      <c r="V33" s="1482" t="s">
        <v>8</v>
      </c>
      <c r="W33" s="1483" t="e">
        <f t="shared" si="14"/>
        <v>#N/A</v>
      </c>
      <c r="X33" s="1476"/>
      <c r="Y33" s="3819"/>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819"/>
      <c r="Q34" s="1116" t="str">
        <f t="shared" si="11"/>
        <v>物业管理</v>
      </c>
      <c r="R34" s="1477" t="s">
        <v>8</v>
      </c>
      <c r="S34" s="1478">
        <f t="shared" si="12"/>
        <v>100</v>
      </c>
      <c r="T34" s="1477" t="s">
        <v>8</v>
      </c>
      <c r="U34" s="1478">
        <f t="shared" si="13"/>
        <v>100</v>
      </c>
      <c r="V34" s="1477" t="s">
        <v>8</v>
      </c>
      <c r="W34" s="1478">
        <f t="shared" si="14"/>
        <v>100</v>
      </c>
      <c r="X34" s="1479"/>
      <c r="Y34" s="3819"/>
      <c r="Z34" s="1115" t="str">
        <f t="shared" si="15"/>
        <v>物业管理</v>
      </c>
      <c r="AA34" s="1480">
        <f t="shared" si="3"/>
        <v>1</v>
      </c>
      <c r="AB34" s="1480">
        <f t="shared" si="4"/>
        <v>1</v>
      </c>
      <c r="AC34" s="1480">
        <f t="shared" si="5"/>
        <v>1</v>
      </c>
    </row>
    <row r="35" spans="1:29" ht="1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819" t="s">
        <v>528</v>
      </c>
      <c r="Q35" s="1481" t="str">
        <f t="shared" si="11"/>
        <v>市政基础设施</v>
      </c>
      <c r="R35" s="1482" t="s">
        <v>8</v>
      </c>
      <c r="S35" s="1483">
        <f t="shared" si="12"/>
        <v>100</v>
      </c>
      <c r="T35" s="1482" t="s">
        <v>8</v>
      </c>
      <c r="U35" s="1483">
        <f t="shared" si="13"/>
        <v>100</v>
      </c>
      <c r="V35" s="1482" t="s">
        <v>8</v>
      </c>
      <c r="W35" s="1483">
        <f t="shared" si="14"/>
        <v>100</v>
      </c>
      <c r="X35" s="1476"/>
      <c r="Y35" s="3819"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819"/>
      <c r="Q36" s="1481" t="str">
        <f t="shared" si="11"/>
        <v>内部装修</v>
      </c>
      <c r="R36" s="1482" t="s">
        <v>8</v>
      </c>
      <c r="S36" s="1483">
        <f t="shared" si="12"/>
        <v>100</v>
      </c>
      <c r="T36" s="1482" t="s">
        <v>8</v>
      </c>
      <c r="U36" s="1483">
        <f t="shared" si="13"/>
        <v>100</v>
      </c>
      <c r="V36" s="1482" t="s">
        <v>8</v>
      </c>
      <c r="W36" s="1483">
        <f t="shared" si="14"/>
        <v>100</v>
      </c>
      <c r="X36" s="1476"/>
      <c r="Y36" s="3819"/>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819"/>
      <c r="Q37" s="1481" t="str">
        <f t="shared" si="11"/>
        <v>内部装修状况</v>
      </c>
      <c r="R37" s="1482" t="s">
        <v>8</v>
      </c>
      <c r="S37" s="1483">
        <f t="shared" si="12"/>
        <v>100</v>
      </c>
      <c r="T37" s="1482" t="s">
        <v>8</v>
      </c>
      <c r="U37" s="1483">
        <f t="shared" si="13"/>
        <v>100</v>
      </c>
      <c r="V37" s="1482" t="s">
        <v>8</v>
      </c>
      <c r="W37" s="1483">
        <f t="shared" si="14"/>
        <v>100</v>
      </c>
      <c r="X37" s="1476"/>
      <c r="Y37" s="3819"/>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819"/>
      <c r="Q38" s="1510">
        <f t="shared" si="11"/>
        <v>111</v>
      </c>
      <c r="R38" s="1486" t="s">
        <v>8</v>
      </c>
      <c r="S38" s="1487">
        <f t="shared" si="12"/>
        <v>100</v>
      </c>
      <c r="T38" s="1486" t="s">
        <v>8</v>
      </c>
      <c r="U38" s="1487">
        <f t="shared" si="13"/>
        <v>100</v>
      </c>
      <c r="V38" s="1486" t="s">
        <v>8</v>
      </c>
      <c r="W38" s="1487">
        <f t="shared" si="14"/>
        <v>100</v>
      </c>
      <c r="X38" s="1488"/>
      <c r="Y38" s="3819"/>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819"/>
      <c r="Q39" s="1481">
        <f t="shared" si="11"/>
        <v>111</v>
      </c>
      <c r="R39" s="1482" t="s">
        <v>8</v>
      </c>
      <c r="S39" s="1483">
        <f t="shared" si="12"/>
        <v>100</v>
      </c>
      <c r="T39" s="1482" t="s">
        <v>8</v>
      </c>
      <c r="U39" s="1483">
        <f t="shared" si="13"/>
        <v>100</v>
      </c>
      <c r="V39" s="1482" t="s">
        <v>8</v>
      </c>
      <c r="W39" s="1483">
        <f t="shared" si="14"/>
        <v>100</v>
      </c>
      <c r="X39" s="1476"/>
      <c r="Y39" s="3819"/>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928"/>
      <c r="Q40" s="1481">
        <f t="shared" si="11"/>
        <v>111</v>
      </c>
      <c r="R40" s="1482" t="s">
        <v>8</v>
      </c>
      <c r="S40" s="1483">
        <f t="shared" si="12"/>
        <v>100</v>
      </c>
      <c r="T40" s="1482" t="s">
        <v>8</v>
      </c>
      <c r="U40" s="1483">
        <f t="shared" si="13"/>
        <v>100</v>
      </c>
      <c r="V40" s="1482" t="s">
        <v>8</v>
      </c>
      <c r="W40" s="1483">
        <f t="shared" si="14"/>
        <v>100</v>
      </c>
      <c r="X40" s="1476"/>
      <c r="Y40" s="3928"/>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3782" t="str">
        <f>A41</f>
        <v>成交单价（元/平方米）</v>
      </c>
      <c r="Q41" s="3782"/>
      <c r="R41" s="3927">
        <f>E41</f>
        <v>0</v>
      </c>
      <c r="S41" s="3927"/>
      <c r="T41" s="3927">
        <f>G41</f>
        <v>0</v>
      </c>
      <c r="U41" s="3927"/>
      <c r="V41" s="3927">
        <f>I41</f>
        <v>0</v>
      </c>
      <c r="W41" s="3927"/>
      <c r="X41" s="1471"/>
      <c r="Y41" s="1490"/>
      <c r="Z41" s="1471"/>
      <c r="AA41" s="1471"/>
      <c r="AB41" s="1471"/>
      <c r="AC41" s="1471"/>
    </row>
    <row r="42" spans="1:29" ht="15.75" thickBot="1">
      <c r="A42" s="591" t="s">
        <v>2713</v>
      </c>
      <c r="B42" s="859"/>
      <c r="C42" s="2444" t="e">
        <f>R43</f>
        <v>#DIV/0!</v>
      </c>
      <c r="D42" s="2980" t="s">
        <v>2928</v>
      </c>
      <c r="E42" s="2445" t="e">
        <f>R42</f>
        <v>#DIV/0!</v>
      </c>
      <c r="F42" s="2981"/>
      <c r="G42" s="2444" t="e">
        <f>T42</f>
        <v>#DIV/0!</v>
      </c>
      <c r="H42" s="2981"/>
      <c r="I42" s="2445" t="e">
        <f>V42</f>
        <v>#DIV/0!</v>
      </c>
      <c r="J42" s="2981"/>
      <c r="K42" s="2989">
        <f>F42+H42+J42</f>
        <v>0</v>
      </c>
      <c r="L42" s="1997"/>
      <c r="M42" s="1998"/>
      <c r="N42" s="1987"/>
      <c r="O42" s="1998"/>
      <c r="P42" s="3782" t="str">
        <f>A42</f>
        <v>比较价格（元/平方米）</v>
      </c>
      <c r="Q42" s="3782"/>
      <c r="R42" s="3927" t="e">
        <f>IF(F1="售价",ROUND(PRODUCT(R41,AA7:AA40),0),ROUND(PRODUCT(R41,AA7:AA40),1))</f>
        <v>#DIV/0!</v>
      </c>
      <c r="S42" s="3927"/>
      <c r="T42" s="3927" t="e">
        <f>IF(F1="售价",ROUND(PRODUCT(T41,AB7:AB40),0),ROUND(PRODUCT(T41,AB7:AB40),1))</f>
        <v>#DIV/0!</v>
      </c>
      <c r="U42" s="3927"/>
      <c r="V42" s="3927" t="e">
        <f>IF(F1="售价",ROUND(PRODUCT(V41,AC7:AC40),0),ROUND(PRODUCT(V41,AC7:AC40),1))</f>
        <v>#DIV/0!</v>
      </c>
      <c r="W42" s="3927"/>
      <c r="X42" s="1471"/>
      <c r="Y42" s="1471"/>
      <c r="Z42" s="1471"/>
      <c r="AA42" s="1471"/>
      <c r="AB42" s="1471"/>
      <c r="AC42" s="1471"/>
    </row>
    <row r="43" spans="1:29" ht="15.75" thickBot="1">
      <c r="A43" s="595" t="s">
        <v>2864</v>
      </c>
      <c r="B43" s="596"/>
      <c r="C43" s="2446" t="e">
        <f>R43</f>
        <v>#DIV/0!</v>
      </c>
      <c r="D43" s="2446"/>
      <c r="E43" s="2446"/>
      <c r="F43" s="2446"/>
      <c r="G43" s="2446"/>
      <c r="H43" s="2446"/>
      <c r="I43" s="2446"/>
      <c r="J43" s="2446"/>
      <c r="K43" s="1516"/>
      <c r="L43" s="1997"/>
      <c r="M43" s="1998"/>
      <c r="N43" s="1998"/>
      <c r="O43" s="1998"/>
      <c r="P43" s="3779" t="str">
        <f>A43</f>
        <v>估价对象XX用房的比较价格（楼面单价，元/平方米）</v>
      </c>
      <c r="Q43" s="3780"/>
      <c r="R43" s="3926" t="e">
        <f>IF(F1="售价",ROUND(IF(D42="简单平均",AVERAGE(R42:V42),R42*F42+T42*H42+V42*J42),0),ROUND(IF(D42="简单平均",AVERAGE(R42:V42),R42*F42+T42*H42+V42*J42),1))</f>
        <v>#DIV/0!</v>
      </c>
      <c r="S43" s="3926"/>
      <c r="T43" s="3926"/>
      <c r="U43" s="3926"/>
      <c r="V43" s="3926"/>
      <c r="W43" s="3926"/>
      <c r="X43" s="1471"/>
      <c r="Y43" s="1471"/>
      <c r="Z43" s="1471"/>
      <c r="AA43" s="1471"/>
      <c r="AB43" s="1471"/>
      <c r="AC43" s="1471"/>
    </row>
    <row r="44" spans="1:29">
      <c r="A44" s="3173"/>
      <c r="B44" s="3173"/>
      <c r="C44" s="3173"/>
      <c r="D44" s="3173"/>
      <c r="E44" s="3173"/>
      <c r="F44" s="3173"/>
      <c r="G44" s="3175"/>
      <c r="H44" s="3173"/>
      <c r="I44" s="3173"/>
      <c r="J44" s="3173"/>
      <c r="K44" s="3176"/>
      <c r="L44" s="2002"/>
      <c r="M44" s="1998"/>
      <c r="N44" s="1998"/>
      <c r="O44" s="1998"/>
      <c r="P44" s="1998"/>
      <c r="Q44" s="1998"/>
      <c r="R44" s="1998"/>
      <c r="S44" s="1998"/>
      <c r="T44" s="1998"/>
      <c r="U44" s="1998"/>
      <c r="V44" s="1998"/>
      <c r="W44" s="1998"/>
      <c r="X44" s="1998"/>
      <c r="Y44" s="1998"/>
      <c r="Z44" s="1998"/>
      <c r="AA44" s="1998"/>
      <c r="AB44" s="1998"/>
      <c r="AC44" s="1998"/>
    </row>
    <row r="45" spans="1:29">
      <c r="A45" s="3173"/>
      <c r="B45" s="3173"/>
      <c r="C45" s="3173"/>
      <c r="D45" s="3173"/>
      <c r="E45" s="3173"/>
      <c r="F45" s="3173"/>
      <c r="G45" s="3173"/>
      <c r="H45" s="3173"/>
      <c r="I45" s="3173"/>
      <c r="J45" s="3173"/>
      <c r="K45" s="3176"/>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3"/>
      <c r="B46" s="3173"/>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6"/>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3"/>
      <c r="B47" s="3173"/>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6"/>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74"/>
      <c r="B48" s="3174"/>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77"/>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2022-2</v>
      </c>
      <c r="D52" s="2489">
        <f>EDATE(C52,-1)</f>
        <v>44562</v>
      </c>
      <c r="E52" s="2489">
        <f t="shared" ref="E52:O52" si="16">EDATE(D52,-1)</f>
        <v>44531</v>
      </c>
      <c r="F52" s="2489">
        <f t="shared" si="16"/>
        <v>44501</v>
      </c>
      <c r="G52" s="2489">
        <f t="shared" si="16"/>
        <v>44470</v>
      </c>
      <c r="H52" s="2489">
        <f t="shared" si="16"/>
        <v>44440</v>
      </c>
      <c r="I52" s="2489">
        <f t="shared" si="16"/>
        <v>44409</v>
      </c>
      <c r="J52" s="2489">
        <f t="shared" si="16"/>
        <v>44378</v>
      </c>
      <c r="K52" s="2489">
        <f t="shared" si="16"/>
        <v>44348</v>
      </c>
      <c r="L52" s="2489">
        <f t="shared" si="16"/>
        <v>44317</v>
      </c>
      <c r="M52" s="2489">
        <f t="shared" si="16"/>
        <v>44287</v>
      </c>
      <c r="N52" s="2489">
        <f t="shared" si="16"/>
        <v>44256</v>
      </c>
      <c r="O52" s="2489">
        <f t="shared" si="16"/>
        <v>44228</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775</v>
      </c>
      <c r="B4" s="489"/>
      <c r="C4" s="3788" t="s">
        <v>776</v>
      </c>
      <c r="D4" s="3789"/>
      <c r="E4" s="3788" t="s">
        <v>777</v>
      </c>
      <c r="F4" s="3789"/>
      <c r="G4" s="3788" t="s">
        <v>778</v>
      </c>
      <c r="H4" s="3789"/>
      <c r="I4" s="3788" t="s">
        <v>779</v>
      </c>
      <c r="J4" s="3789"/>
      <c r="K4" s="490" t="s">
        <v>780</v>
      </c>
      <c r="L4" s="1986"/>
      <c r="M4" s="1987"/>
      <c r="N4" s="1987"/>
      <c r="O4" s="1987"/>
      <c r="P4" s="3790" t="s">
        <v>781</v>
      </c>
      <c r="Q4" s="3791"/>
      <c r="R4" s="3796" t="s">
        <v>777</v>
      </c>
      <c r="S4" s="3797"/>
      <c r="T4" s="3796" t="s">
        <v>778</v>
      </c>
      <c r="U4" s="3797"/>
      <c r="V4" s="3783" t="s">
        <v>779</v>
      </c>
      <c r="W4" s="3783"/>
      <c r="X4" s="1476"/>
      <c r="Y4" s="3796" t="s">
        <v>781</v>
      </c>
      <c r="Z4" s="3797"/>
      <c r="AA4" s="3785" t="s">
        <v>777</v>
      </c>
      <c r="AB4" s="3786" t="s">
        <v>778</v>
      </c>
      <c r="AC4" s="3785" t="s">
        <v>779</v>
      </c>
    </row>
    <row r="5" spans="1:29" ht="15">
      <c r="A5" s="491"/>
      <c r="B5" s="492"/>
      <c r="C5" s="3804" t="s">
        <v>2858</v>
      </c>
      <c r="D5" s="3805"/>
      <c r="E5" s="3804" t="s">
        <v>2859</v>
      </c>
      <c r="F5" s="3805"/>
      <c r="G5" s="3804" t="s">
        <v>2860</v>
      </c>
      <c r="H5" s="3805"/>
      <c r="I5" s="3804" t="s">
        <v>2861</v>
      </c>
      <c r="J5" s="3805"/>
      <c r="K5" s="490"/>
      <c r="L5" s="1986"/>
      <c r="M5" s="1987"/>
      <c r="N5" s="1987"/>
      <c r="O5" s="1987"/>
      <c r="P5" s="3792"/>
      <c r="Q5" s="3793"/>
      <c r="R5" s="3798"/>
      <c r="S5" s="3799"/>
      <c r="T5" s="3798"/>
      <c r="U5" s="3799"/>
      <c r="V5" s="3783"/>
      <c r="W5" s="3783"/>
      <c r="X5" s="1476"/>
      <c r="Y5" s="3798"/>
      <c r="Z5" s="3799"/>
      <c r="AA5" s="3786"/>
      <c r="AB5" s="3786"/>
      <c r="AC5" s="3786"/>
    </row>
    <row r="6" spans="1:29" ht="15.75" thickBot="1">
      <c r="A6" s="493"/>
      <c r="B6" s="494"/>
      <c r="C6" s="3802" t="s">
        <v>2862</v>
      </c>
      <c r="D6" s="3803"/>
      <c r="E6" s="3806" t="s">
        <v>2862</v>
      </c>
      <c r="F6" s="3807"/>
      <c r="G6" s="3802" t="s">
        <v>2862</v>
      </c>
      <c r="H6" s="3803"/>
      <c r="I6" s="3802" t="s">
        <v>2862</v>
      </c>
      <c r="J6" s="3803"/>
      <c r="K6" s="490" t="s">
        <v>506</v>
      </c>
      <c r="L6" s="1986"/>
      <c r="M6" s="1987"/>
      <c r="N6" s="1987"/>
      <c r="O6" s="1987"/>
      <c r="P6" s="3794"/>
      <c r="Q6" s="3795"/>
      <c r="R6" s="3798"/>
      <c r="S6" s="3799"/>
      <c r="T6" s="3800"/>
      <c r="U6" s="3801"/>
      <c r="V6" s="3783"/>
      <c r="W6" s="3783"/>
      <c r="X6" s="1476"/>
      <c r="Y6" s="3800"/>
      <c r="Z6" s="3801"/>
      <c r="AA6" s="3787"/>
      <c r="AB6" s="3787"/>
      <c r="AC6" s="3787"/>
    </row>
    <row r="7" spans="1:29" s="1185" customFormat="1" ht="15.75" thickBot="1">
      <c r="A7" s="2597"/>
      <c r="B7" s="2604" t="s">
        <v>507</v>
      </c>
      <c r="C7" s="495">
        <f>'数据-取费表'!B2</f>
        <v>44614</v>
      </c>
      <c r="D7" s="496">
        <v>100</v>
      </c>
      <c r="E7" s="497"/>
      <c r="F7" s="498">
        <f>SUMIF(48:48,YEAR(E7)&amp;"-"&amp;MONTH(E7),49:49)</f>
        <v>0</v>
      </c>
      <c r="G7" s="499"/>
      <c r="H7" s="496">
        <f>SUMIF(48:48,YEAR(G7)&amp;"-"&amp;MONTH(G7),49:49)</f>
        <v>0</v>
      </c>
      <c r="I7" s="499"/>
      <c r="J7" s="496">
        <f>SUMIF(48:48,YEAR(I7)&amp;"-"&amp;MONTH(I7),49:49)</f>
        <v>0</v>
      </c>
      <c r="K7" s="500"/>
      <c r="L7" s="1988"/>
      <c r="M7" s="1989"/>
      <c r="N7" s="1989"/>
      <c r="O7" s="1989"/>
      <c r="P7" s="3813" t="s">
        <v>508</v>
      </c>
      <c r="Q7" s="3815"/>
      <c r="R7" s="1477" t="s">
        <v>8</v>
      </c>
      <c r="S7" s="1478">
        <f t="shared" ref="S7:S14" si="0">F7</f>
        <v>0</v>
      </c>
      <c r="T7" s="1477" t="s">
        <v>8</v>
      </c>
      <c r="U7" s="1478">
        <f t="shared" ref="U7:U14" si="1">H7</f>
        <v>0</v>
      </c>
      <c r="V7" s="1477" t="s">
        <v>8</v>
      </c>
      <c r="W7" s="1478">
        <f t="shared" ref="W7:W14" si="2">J7</f>
        <v>0</v>
      </c>
      <c r="X7" s="1479"/>
      <c r="Y7" s="3813" t="s">
        <v>508</v>
      </c>
      <c r="Z7" s="3814"/>
      <c r="AA7" s="1480" t="e">
        <f>D7/F7</f>
        <v>#DIV/0!</v>
      </c>
      <c r="AB7" s="1480" t="e">
        <f>D7/H7</f>
        <v>#DIV/0!</v>
      </c>
      <c r="AC7" s="1480" t="e">
        <f>D7/J7</f>
        <v>#DIV/0!</v>
      </c>
    </row>
    <row r="8" spans="1:29" s="1185" customFormat="1" ht="15.7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813" t="s">
        <v>511</v>
      </c>
      <c r="Q8" s="3814"/>
      <c r="R8" s="1477" t="s">
        <v>8</v>
      </c>
      <c r="S8" s="1478">
        <f t="shared" si="0"/>
        <v>0</v>
      </c>
      <c r="T8" s="1477" t="s">
        <v>8</v>
      </c>
      <c r="U8" s="1478">
        <f t="shared" si="1"/>
        <v>0</v>
      </c>
      <c r="V8" s="1477" t="s">
        <v>8</v>
      </c>
      <c r="W8" s="1478">
        <f t="shared" si="2"/>
        <v>0</v>
      </c>
      <c r="X8" s="1479"/>
      <c r="Y8" s="3813" t="s">
        <v>511</v>
      </c>
      <c r="Z8" s="3814"/>
      <c r="AA8" s="1480" t="e">
        <f t="shared" ref="AA8:AA36" si="3">D8/F8</f>
        <v>#DIV/0!</v>
      </c>
      <c r="AB8" s="1480" t="e">
        <f t="shared" ref="AB8:AB36" si="4">D8/H8</f>
        <v>#DIV/0!</v>
      </c>
      <c r="AC8" s="1480" t="e">
        <f t="shared" ref="AC8:AC36" si="5">D8/J8</f>
        <v>#DIV/0!</v>
      </c>
    </row>
    <row r="9" spans="1:29" s="1185" customFormat="1" ht="15">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782" t="s">
        <v>513</v>
      </c>
      <c r="Q9" s="1116" t="str">
        <f t="shared" ref="Q9:Q14" si="6">B9</f>
        <v>用途</v>
      </c>
      <c r="R9" s="1477" t="s">
        <v>8</v>
      </c>
      <c r="S9" s="1478">
        <f t="shared" si="0"/>
        <v>100</v>
      </c>
      <c r="T9" s="1477" t="s">
        <v>8</v>
      </c>
      <c r="U9" s="1478">
        <f t="shared" si="1"/>
        <v>100</v>
      </c>
      <c r="V9" s="1477" t="s">
        <v>8</v>
      </c>
      <c r="W9" s="1478">
        <f t="shared" si="2"/>
        <v>100</v>
      </c>
      <c r="X9" s="1479"/>
      <c r="Y9" s="3701"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782"/>
      <c r="Q10" s="1116" t="str">
        <f t="shared" si="6"/>
        <v>土地使用年限（年）</v>
      </c>
      <c r="R10" s="1477" t="s">
        <v>8</v>
      </c>
      <c r="S10" s="1478">
        <f t="shared" si="0"/>
        <v>100</v>
      </c>
      <c r="T10" s="1477" t="s">
        <v>8</v>
      </c>
      <c r="U10" s="1478">
        <f t="shared" si="1"/>
        <v>100</v>
      </c>
      <c r="V10" s="1477" t="s">
        <v>8</v>
      </c>
      <c r="W10" s="1478">
        <f t="shared" si="2"/>
        <v>100</v>
      </c>
      <c r="X10" s="1479"/>
      <c r="Y10" s="3701"/>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782"/>
      <c r="Q11" s="1116">
        <f t="shared" si="6"/>
        <v>111</v>
      </c>
      <c r="R11" s="1477" t="s">
        <v>8</v>
      </c>
      <c r="S11" s="1478">
        <f t="shared" si="0"/>
        <v>100</v>
      </c>
      <c r="T11" s="1477" t="s">
        <v>8</v>
      </c>
      <c r="U11" s="1478">
        <f t="shared" si="1"/>
        <v>100</v>
      </c>
      <c r="V11" s="1477" t="s">
        <v>8</v>
      </c>
      <c r="W11" s="1478">
        <f t="shared" si="2"/>
        <v>100</v>
      </c>
      <c r="X11" s="1479"/>
      <c r="Y11" s="3701"/>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782"/>
      <c r="Q12" s="1116">
        <f t="shared" si="6"/>
        <v>111</v>
      </c>
      <c r="R12" s="1477" t="s">
        <v>8</v>
      </c>
      <c r="S12" s="1478">
        <f t="shared" si="0"/>
        <v>100</v>
      </c>
      <c r="T12" s="1477" t="s">
        <v>8</v>
      </c>
      <c r="U12" s="1478">
        <f t="shared" si="1"/>
        <v>100</v>
      </c>
      <c r="V12" s="1477" t="s">
        <v>8</v>
      </c>
      <c r="W12" s="1478">
        <f t="shared" si="2"/>
        <v>100</v>
      </c>
      <c r="X12" s="1479"/>
      <c r="Y12" s="3701"/>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782"/>
      <c r="Q13" s="1116">
        <f t="shared" si="6"/>
        <v>111</v>
      </c>
      <c r="R13" s="1477" t="s">
        <v>8</v>
      </c>
      <c r="S13" s="1478">
        <f t="shared" si="0"/>
        <v>100</v>
      </c>
      <c r="T13" s="1477" t="s">
        <v>8</v>
      </c>
      <c r="U13" s="1478">
        <f t="shared" si="1"/>
        <v>100</v>
      </c>
      <c r="V13" s="1477" t="s">
        <v>8</v>
      </c>
      <c r="W13" s="1478">
        <f t="shared" si="2"/>
        <v>100</v>
      </c>
      <c r="X13" s="1479"/>
      <c r="Y13" s="3701"/>
      <c r="Z13" s="1115">
        <f t="shared" si="7"/>
        <v>111</v>
      </c>
      <c r="AA13" s="1480">
        <f t="shared" si="3"/>
        <v>1</v>
      </c>
      <c r="AB13" s="1480">
        <f t="shared" si="4"/>
        <v>1</v>
      </c>
      <c r="AC13" s="1480">
        <f t="shared" si="5"/>
        <v>1</v>
      </c>
    </row>
    <row r="14" spans="1:29" ht="156.75">
      <c r="A14" s="2595" t="s">
        <v>2707</v>
      </c>
      <c r="B14" s="523" t="s">
        <v>521</v>
      </c>
      <c r="C14" s="892" t="str">
        <f>IF(B1="工业",估价对象房地状况!G4,估价对象房地状况!C6)</f>
        <v>估价对象周边有顺2路、顺27路、顺28路、顺38路、顺43路、顺59路、顺60路等多条公交线路，距地铁15号线（南法信站）约500米，综合评价交通便捷度较好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816" t="s">
        <v>518</v>
      </c>
      <c r="Q14" s="1481" t="str">
        <f t="shared" si="6"/>
        <v>交通便捷度</v>
      </c>
      <c r="R14" s="1482" t="s">
        <v>8</v>
      </c>
      <c r="S14" s="1483">
        <f t="shared" si="0"/>
        <v>100</v>
      </c>
      <c r="T14" s="1482" t="s">
        <v>8</v>
      </c>
      <c r="U14" s="1483">
        <f t="shared" si="1"/>
        <v>100</v>
      </c>
      <c r="V14" s="1482" t="s">
        <v>8</v>
      </c>
      <c r="W14" s="1483">
        <f t="shared" si="2"/>
        <v>100</v>
      </c>
      <c r="X14" s="1476"/>
      <c r="Y14" s="3816"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3817"/>
      <c r="Q15" s="1481"/>
      <c r="R15" s="1482"/>
      <c r="S15" s="1483"/>
      <c r="T15" s="1482"/>
      <c r="U15" s="1483"/>
      <c r="V15" s="1482"/>
      <c r="W15" s="1483"/>
      <c r="X15" s="1476"/>
      <c r="Y15" s="3817"/>
      <c r="Z15" s="1484"/>
      <c r="AA15" s="1485">
        <v>1</v>
      </c>
      <c r="AB15" s="1485">
        <v>1</v>
      </c>
      <c r="AC15" s="1485">
        <v>1</v>
      </c>
    </row>
    <row r="16" spans="1:29" ht="42.75">
      <c r="A16" s="491"/>
      <c r="B16" s="2415" t="s">
        <v>2500</v>
      </c>
      <c r="C16" s="843" t="str">
        <f>IF(B1="工业",估价对象房地状况!G5,估价对象房地状况!C7)</f>
        <v>估价对象所在区域公共配套设施齐备情况一般</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817"/>
      <c r="Q16" s="1481" t="str">
        <f>B16</f>
        <v>公共配套设施</v>
      </c>
      <c r="R16" s="1482" t="s">
        <v>8</v>
      </c>
      <c r="S16" s="1483">
        <f>F16</f>
        <v>100</v>
      </c>
      <c r="T16" s="1482" t="s">
        <v>8</v>
      </c>
      <c r="U16" s="1483">
        <f>H16</f>
        <v>100</v>
      </c>
      <c r="V16" s="1482" t="s">
        <v>8</v>
      </c>
      <c r="W16" s="1483">
        <f>J16</f>
        <v>100</v>
      </c>
      <c r="X16" s="1476"/>
      <c r="Y16" s="3817"/>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3817"/>
      <c r="Q17" s="1481"/>
      <c r="R17" s="1482"/>
      <c r="S17" s="1483"/>
      <c r="T17" s="1482"/>
      <c r="U17" s="1483"/>
      <c r="V17" s="1482"/>
      <c r="W17" s="1483"/>
      <c r="X17" s="1476"/>
      <c r="Y17" s="3817"/>
      <c r="Z17" s="1484"/>
      <c r="AA17" s="1485">
        <v>1</v>
      </c>
      <c r="AB17" s="1485">
        <v>1</v>
      </c>
      <c r="AC17" s="1485">
        <v>1</v>
      </c>
    </row>
    <row r="18" spans="1:29" ht="28.5">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817"/>
      <c r="Q18" s="2397" t="str">
        <f>B18</f>
        <v>基础设施水平</v>
      </c>
      <c r="R18" s="1482" t="s">
        <v>8</v>
      </c>
      <c r="S18" s="1483">
        <f>F18</f>
        <v>100</v>
      </c>
      <c r="T18" s="1482" t="s">
        <v>8</v>
      </c>
      <c r="U18" s="1483">
        <f>H18</f>
        <v>100</v>
      </c>
      <c r="V18" s="1482" t="s">
        <v>8</v>
      </c>
      <c r="W18" s="1483">
        <f>J18</f>
        <v>100</v>
      </c>
      <c r="X18" s="2399"/>
      <c r="Y18" s="3817"/>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3817"/>
      <c r="Q19" s="2397"/>
      <c r="R19" s="1482"/>
      <c r="S19" s="1483"/>
      <c r="T19" s="1482"/>
      <c r="U19" s="1483"/>
      <c r="V19" s="1482"/>
      <c r="W19" s="1483"/>
      <c r="X19" s="2399"/>
      <c r="Y19" s="3817"/>
      <c r="Z19" s="2398"/>
      <c r="AA19" s="1485">
        <v>1</v>
      </c>
      <c r="AB19" s="1485">
        <v>1</v>
      </c>
      <c r="AC19" s="1485">
        <v>1</v>
      </c>
    </row>
    <row r="20" spans="1:29" ht="85.5">
      <c r="A20" s="491"/>
      <c r="B20" s="536" t="s">
        <v>782</v>
      </c>
      <c r="C20" s="843" t="str">
        <f>IF(B1="工业",估价对象房地状况!G7,估价对象房地状况!C9)</f>
        <v>区域自然环境：小众和；人文环境：国家新闻出版广电总局研修学院；综合评价环境状况一般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817"/>
      <c r="Q20" s="1481" t="str">
        <f>B20</f>
        <v>自然及人文环境</v>
      </c>
      <c r="R20" s="1482" t="s">
        <v>8</v>
      </c>
      <c r="S20" s="1483">
        <f>F20</f>
        <v>100</v>
      </c>
      <c r="T20" s="1482" t="s">
        <v>8</v>
      </c>
      <c r="U20" s="1483">
        <f>H20</f>
        <v>100</v>
      </c>
      <c r="V20" s="1482" t="s">
        <v>8</v>
      </c>
      <c r="W20" s="1483">
        <f>J20</f>
        <v>100</v>
      </c>
      <c r="X20" s="1476"/>
      <c r="Y20" s="3817"/>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3817"/>
      <c r="Q21" s="1481"/>
      <c r="R21" s="1482"/>
      <c r="S21" s="1483"/>
      <c r="T21" s="1482"/>
      <c r="U21" s="1483"/>
      <c r="V21" s="1482"/>
      <c r="W21" s="1483"/>
      <c r="X21" s="1476"/>
      <c r="Y21" s="3817"/>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817"/>
      <c r="Q22" s="1481" t="str">
        <f>B22</f>
        <v>楼层</v>
      </c>
      <c r="R22" s="1482" t="s">
        <v>8</v>
      </c>
      <c r="S22" s="1483">
        <f>F22</f>
        <v>100</v>
      </c>
      <c r="T22" s="1482" t="s">
        <v>8</v>
      </c>
      <c r="U22" s="1483">
        <f>H22</f>
        <v>100</v>
      </c>
      <c r="V22" s="1482" t="s">
        <v>8</v>
      </c>
      <c r="W22" s="1483">
        <f>J22</f>
        <v>100</v>
      </c>
      <c r="X22" s="1476"/>
      <c r="Y22" s="3817"/>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817"/>
      <c r="Q23" s="1481">
        <f>B23</f>
        <v>111</v>
      </c>
      <c r="R23" s="1482" t="s">
        <v>8</v>
      </c>
      <c r="S23" s="1483">
        <f>F23</f>
        <v>100</v>
      </c>
      <c r="T23" s="1482" t="s">
        <v>8</v>
      </c>
      <c r="U23" s="1483">
        <f>H23</f>
        <v>100</v>
      </c>
      <c r="V23" s="1482" t="s">
        <v>8</v>
      </c>
      <c r="W23" s="1483">
        <f>J23</f>
        <v>100</v>
      </c>
      <c r="X23" s="1476"/>
      <c r="Y23" s="3817"/>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817"/>
      <c r="Q24" s="1481">
        <f t="shared" ref="Q24:Q36" si="11">B24</f>
        <v>111</v>
      </c>
      <c r="R24" s="1482" t="s">
        <v>8</v>
      </c>
      <c r="S24" s="1483">
        <f>F24</f>
        <v>100</v>
      </c>
      <c r="T24" s="1482" t="s">
        <v>8</v>
      </c>
      <c r="U24" s="1483">
        <f>H24</f>
        <v>100</v>
      </c>
      <c r="V24" s="1482" t="s">
        <v>8</v>
      </c>
      <c r="W24" s="1483">
        <f>J24</f>
        <v>100</v>
      </c>
      <c r="X24" s="1476"/>
      <c r="Y24" s="3817"/>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817"/>
      <c r="Q25" s="1116">
        <f t="shared" si="11"/>
        <v>111</v>
      </c>
      <c r="R25" s="1477" t="s">
        <v>8</v>
      </c>
      <c r="S25" s="1478">
        <f>F25</f>
        <v>100</v>
      </c>
      <c r="T25" s="1477" t="s">
        <v>8</v>
      </c>
      <c r="U25" s="1478">
        <f>H25</f>
        <v>100</v>
      </c>
      <c r="V25" s="1477" t="s">
        <v>8</v>
      </c>
      <c r="W25" s="1478">
        <f>J25</f>
        <v>100</v>
      </c>
      <c r="X25" s="1479"/>
      <c r="Y25" s="3817"/>
      <c r="Z25" s="1115">
        <f>Q25</f>
        <v>111</v>
      </c>
      <c r="AA25" s="1485">
        <f>D25/F25</f>
        <v>1</v>
      </c>
      <c r="AB25" s="1485">
        <f>D25/H25</f>
        <v>1</v>
      </c>
      <c r="AC25" s="1485">
        <f>D25/J25</f>
        <v>1</v>
      </c>
    </row>
    <row r="26" spans="1:29" ht="1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818"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819"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819"/>
      <c r="Q27" s="1510" t="str">
        <f t="shared" si="11"/>
        <v>项目停车位配比</v>
      </c>
      <c r="R27" s="1486" t="s">
        <v>8</v>
      </c>
      <c r="S27" s="1487">
        <f t="shared" si="12"/>
        <v>100</v>
      </c>
      <c r="T27" s="1486" t="s">
        <v>8</v>
      </c>
      <c r="U27" s="1487">
        <f t="shared" si="13"/>
        <v>100</v>
      </c>
      <c r="V27" s="1486" t="s">
        <v>8</v>
      </c>
      <c r="W27" s="1487">
        <f t="shared" si="14"/>
        <v>100</v>
      </c>
      <c r="X27" s="1488"/>
      <c r="Y27" s="3819"/>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819"/>
      <c r="Q28" s="1481" t="str">
        <f t="shared" si="11"/>
        <v>公共部分装修</v>
      </c>
      <c r="R28" s="1482" t="s">
        <v>8</v>
      </c>
      <c r="S28" s="1483">
        <f t="shared" si="12"/>
        <v>100</v>
      </c>
      <c r="T28" s="1482" t="s">
        <v>8</v>
      </c>
      <c r="U28" s="1483">
        <f t="shared" si="13"/>
        <v>100</v>
      </c>
      <c r="V28" s="1482" t="s">
        <v>8</v>
      </c>
      <c r="W28" s="1483">
        <f t="shared" si="14"/>
        <v>100</v>
      </c>
      <c r="X28" s="1476"/>
      <c r="Y28" s="3819"/>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819"/>
      <c r="Q29" s="1481" t="str">
        <f t="shared" si="11"/>
        <v>成新率</v>
      </c>
      <c r="R29" s="1482" t="s">
        <v>8</v>
      </c>
      <c r="S29" s="1483" t="e">
        <f t="shared" si="12"/>
        <v>#N/A</v>
      </c>
      <c r="T29" s="1482" t="s">
        <v>8</v>
      </c>
      <c r="U29" s="1483" t="e">
        <f t="shared" si="13"/>
        <v>#N/A</v>
      </c>
      <c r="V29" s="1482" t="s">
        <v>8</v>
      </c>
      <c r="W29" s="1483" t="e">
        <f t="shared" si="14"/>
        <v>#N/A</v>
      </c>
      <c r="X29" s="1476"/>
      <c r="Y29" s="3819"/>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819"/>
      <c r="Q30" s="1481" t="str">
        <f t="shared" si="11"/>
        <v>物业等级</v>
      </c>
      <c r="R30" s="1482" t="s">
        <v>8</v>
      </c>
      <c r="S30" s="1483">
        <f t="shared" si="12"/>
        <v>100</v>
      </c>
      <c r="T30" s="1482" t="s">
        <v>8</v>
      </c>
      <c r="U30" s="1483">
        <f t="shared" si="13"/>
        <v>100</v>
      </c>
      <c r="V30" s="1482" t="s">
        <v>8</v>
      </c>
      <c r="W30" s="1483">
        <f t="shared" si="14"/>
        <v>100</v>
      </c>
      <c r="X30" s="1476"/>
      <c r="Y30" s="3819"/>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819"/>
      <c r="Q31" s="1116" t="str">
        <f t="shared" si="11"/>
        <v>停车位面积</v>
      </c>
      <c r="R31" s="1477" t="s">
        <v>8</v>
      </c>
      <c r="S31" s="1478" t="e">
        <f t="shared" si="12"/>
        <v>#N/A</v>
      </c>
      <c r="T31" s="1477" t="s">
        <v>8</v>
      </c>
      <c r="U31" s="1478" t="e">
        <f t="shared" si="13"/>
        <v>#N/A</v>
      </c>
      <c r="V31" s="1477" t="s">
        <v>8</v>
      </c>
      <c r="W31" s="1478" t="e">
        <f t="shared" si="14"/>
        <v>#N/A</v>
      </c>
      <c r="X31" s="1479"/>
      <c r="Y31" s="3819"/>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819" t="s">
        <v>528</v>
      </c>
      <c r="Q32" s="1481" t="str">
        <f t="shared" si="11"/>
        <v>车位类型</v>
      </c>
      <c r="R32" s="1482" t="s">
        <v>8</v>
      </c>
      <c r="S32" s="1483">
        <f t="shared" si="12"/>
        <v>100</v>
      </c>
      <c r="T32" s="1482" t="s">
        <v>8</v>
      </c>
      <c r="U32" s="1483">
        <f t="shared" si="13"/>
        <v>100</v>
      </c>
      <c r="V32" s="1482" t="s">
        <v>8</v>
      </c>
      <c r="W32" s="1483">
        <f t="shared" si="14"/>
        <v>100</v>
      </c>
      <c r="X32" s="1476"/>
      <c r="Y32" s="3819"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819"/>
      <c r="Q33" s="1481" t="str">
        <f t="shared" si="11"/>
        <v>是否直接入户</v>
      </c>
      <c r="R33" s="1482" t="s">
        <v>8</v>
      </c>
      <c r="S33" s="1483">
        <f t="shared" si="12"/>
        <v>100</v>
      </c>
      <c r="T33" s="1482" t="s">
        <v>8</v>
      </c>
      <c r="U33" s="1483">
        <f t="shared" si="13"/>
        <v>100</v>
      </c>
      <c r="V33" s="1482" t="s">
        <v>8</v>
      </c>
      <c r="W33" s="1483">
        <f t="shared" si="14"/>
        <v>100</v>
      </c>
      <c r="X33" s="1476"/>
      <c r="Y33" s="3819"/>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819"/>
      <c r="Q34" s="1481">
        <f t="shared" si="11"/>
        <v>111</v>
      </c>
      <c r="R34" s="1482" t="s">
        <v>8</v>
      </c>
      <c r="S34" s="1483">
        <f t="shared" si="12"/>
        <v>100</v>
      </c>
      <c r="T34" s="1482" t="s">
        <v>8</v>
      </c>
      <c r="U34" s="1483">
        <f t="shared" si="13"/>
        <v>100</v>
      </c>
      <c r="V34" s="1482" t="s">
        <v>8</v>
      </c>
      <c r="W34" s="1483">
        <f t="shared" si="14"/>
        <v>100</v>
      </c>
      <c r="X34" s="1476"/>
      <c r="Y34" s="3819"/>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819"/>
      <c r="Q35" s="1510">
        <f t="shared" si="11"/>
        <v>111</v>
      </c>
      <c r="R35" s="1486" t="s">
        <v>8</v>
      </c>
      <c r="S35" s="1487">
        <f t="shared" si="12"/>
        <v>100</v>
      </c>
      <c r="T35" s="1486" t="s">
        <v>8</v>
      </c>
      <c r="U35" s="1487">
        <f t="shared" si="13"/>
        <v>100</v>
      </c>
      <c r="V35" s="1486" t="s">
        <v>8</v>
      </c>
      <c r="W35" s="1487">
        <f t="shared" si="14"/>
        <v>100</v>
      </c>
      <c r="X35" s="1488"/>
      <c r="Y35" s="3819"/>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819"/>
      <c r="Q36" s="1481">
        <f t="shared" si="11"/>
        <v>111</v>
      </c>
      <c r="R36" s="1482" t="s">
        <v>8</v>
      </c>
      <c r="S36" s="1483">
        <f t="shared" si="12"/>
        <v>100</v>
      </c>
      <c r="T36" s="1482" t="s">
        <v>8</v>
      </c>
      <c r="U36" s="1483">
        <f t="shared" si="13"/>
        <v>100</v>
      </c>
      <c r="V36" s="1482" t="s">
        <v>8</v>
      </c>
      <c r="W36" s="1483">
        <f t="shared" si="14"/>
        <v>100</v>
      </c>
      <c r="X36" s="1476"/>
      <c r="Y36" s="3819"/>
      <c r="Z36" s="1484">
        <f t="shared" si="15"/>
        <v>111</v>
      </c>
      <c r="AA36" s="1485">
        <f t="shared" si="3"/>
        <v>1</v>
      </c>
      <c r="AB36" s="1485">
        <f t="shared" si="4"/>
        <v>1</v>
      </c>
      <c r="AC36" s="1485">
        <f t="shared" si="5"/>
        <v>1</v>
      </c>
    </row>
    <row r="37" spans="1:29" ht="15">
      <c r="A37" s="1733" t="s">
        <v>2044</v>
      </c>
      <c r="B37" s="1734" t="s">
        <v>2045</v>
      </c>
      <c r="C37" s="2438" t="s">
        <v>1</v>
      </c>
      <c r="D37" s="2439"/>
      <c r="E37" s="2440"/>
      <c r="F37" s="2441"/>
      <c r="G37" s="2442"/>
      <c r="H37" s="2443"/>
      <c r="I37" s="2440"/>
      <c r="J37" s="2443"/>
      <c r="K37" s="1515"/>
      <c r="L37" s="1997"/>
      <c r="M37" s="1998"/>
      <c r="N37" s="1987"/>
      <c r="O37" s="1998"/>
      <c r="P37" s="3782" t="str">
        <f>A37</f>
        <v>成交单价</v>
      </c>
      <c r="Q37" s="3782"/>
      <c r="R37" s="3927">
        <f>E37</f>
        <v>0</v>
      </c>
      <c r="S37" s="3927"/>
      <c r="T37" s="3927">
        <f>G37</f>
        <v>0</v>
      </c>
      <c r="U37" s="3927"/>
      <c r="V37" s="3927">
        <f>I37</f>
        <v>0</v>
      </c>
      <c r="W37" s="3927"/>
      <c r="X37" s="1471"/>
      <c r="Y37" s="1490"/>
      <c r="Z37" s="1471"/>
      <c r="AA37" s="1471"/>
      <c r="AB37" s="1471"/>
      <c r="AC37" s="1471"/>
    </row>
    <row r="38" spans="1:29" ht="15.75" thickBot="1">
      <c r="A38" s="591" t="s">
        <v>2713</v>
      </c>
      <c r="B38" s="859"/>
      <c r="C38" s="2444" t="e">
        <f>R39</f>
        <v>#DIV/0!</v>
      </c>
      <c r="D38" s="2980" t="s">
        <v>2928</v>
      </c>
      <c r="E38" s="2445" t="e">
        <f>R38</f>
        <v>#DIV/0!</v>
      </c>
      <c r="F38" s="2981"/>
      <c r="G38" s="2444" t="e">
        <f>T38</f>
        <v>#DIV/0!</v>
      </c>
      <c r="H38" s="2981"/>
      <c r="I38" s="2445" t="e">
        <f>V38</f>
        <v>#DIV/0!</v>
      </c>
      <c r="J38" s="2981"/>
      <c r="K38" s="2989">
        <f>F38+H38+J38</f>
        <v>0</v>
      </c>
      <c r="L38" s="1997"/>
      <c r="M38" s="1998"/>
      <c r="N38" s="1998"/>
      <c r="O38" s="1998"/>
      <c r="P38" s="3782" t="str">
        <f>A38</f>
        <v>比较价格（元/平方米）</v>
      </c>
      <c r="Q38" s="3782"/>
      <c r="R38" s="3927" t="e">
        <f>IF(F1="售价",ROUND(PRODUCT(R37,AA7:AA36),0),ROUND(PRODUCT(R37,AA7:AA36),1))</f>
        <v>#DIV/0!</v>
      </c>
      <c r="S38" s="3927"/>
      <c r="T38" s="3927" t="e">
        <f>IF(F1="售价",ROUND(PRODUCT(T37,AB7:AB36),0),ROUND(PRODUCT(T37,AB7:AB36),1))</f>
        <v>#DIV/0!</v>
      </c>
      <c r="U38" s="3927"/>
      <c r="V38" s="3927" t="e">
        <f>IF(F1="售价",ROUND(PRODUCT(V37,AC7:AC36),0),ROUND(PRODUCT(V37,AC7:AC36),1))</f>
        <v>#DIV/0!</v>
      </c>
      <c r="W38" s="3927"/>
      <c r="X38" s="1471"/>
      <c r="Y38" s="1471"/>
      <c r="Z38" s="1471"/>
      <c r="AA38" s="1471"/>
      <c r="AB38" s="1471"/>
      <c r="AC38" s="1471"/>
    </row>
    <row r="39" spans="1:29" ht="15.75" thickBot="1">
      <c r="A39" s="595" t="s">
        <v>2864</v>
      </c>
      <c r="B39" s="596"/>
      <c r="C39" s="2446" t="e">
        <f>R39</f>
        <v>#DIV/0!</v>
      </c>
      <c r="D39" s="2446"/>
      <c r="E39" s="2446"/>
      <c r="F39" s="2446"/>
      <c r="G39" s="2446"/>
      <c r="H39" s="2446"/>
      <c r="I39" s="2446"/>
      <c r="J39" s="2446"/>
      <c r="K39" s="1516"/>
      <c r="L39" s="1997"/>
      <c r="M39" s="1998"/>
      <c r="N39" s="1998"/>
      <c r="O39" s="1998"/>
      <c r="P39" s="3779" t="str">
        <f>A39</f>
        <v>估价对象XX用房的比较价格（楼面单价，元/平方米）</v>
      </c>
      <c r="Q39" s="3780"/>
      <c r="R39" s="3926" t="e">
        <f>IF(F1="售价",ROUND(IF(D38="简单平均",AVERAGE(R38:W38),R38*F38+T38*H38+V38*J38),0),ROUND(IF(D38="简单平均",AVERAGE(R38:V38),R38*F38+T38*H38+V38*J38),1))</f>
        <v>#DIV/0!</v>
      </c>
      <c r="S39" s="3926"/>
      <c r="T39" s="3926"/>
      <c r="U39" s="3926"/>
      <c r="V39" s="3926"/>
      <c r="W39" s="3926"/>
      <c r="X39" s="1471"/>
      <c r="Y39" s="1471"/>
      <c r="Z39" s="1471"/>
      <c r="AA39" s="1471"/>
      <c r="AB39" s="1471"/>
      <c r="AC39" s="1471"/>
    </row>
    <row r="40" spans="1:29">
      <c r="A40" s="3173"/>
      <c r="B40" s="3173"/>
      <c r="C40" s="3173"/>
      <c r="D40" s="3173"/>
      <c r="E40" s="3173"/>
      <c r="F40" s="3173"/>
      <c r="G40" s="3175"/>
      <c r="H40" s="3173"/>
      <c r="I40" s="3173"/>
      <c r="J40" s="3173"/>
      <c r="K40" s="3176"/>
      <c r="L40" s="2002"/>
      <c r="M40" s="1998"/>
      <c r="N40" s="1998"/>
      <c r="O40" s="1998"/>
      <c r="P40" s="1998"/>
      <c r="Q40" s="1998"/>
      <c r="R40" s="1998"/>
      <c r="S40" s="1998"/>
      <c r="T40" s="1998"/>
      <c r="U40" s="1998"/>
      <c r="V40" s="1998"/>
      <c r="W40" s="1998"/>
      <c r="X40" s="1998"/>
      <c r="Y40" s="1998"/>
      <c r="Z40" s="1998"/>
      <c r="AA40" s="1998"/>
      <c r="AB40" s="1998"/>
      <c r="AC40" s="1998"/>
    </row>
    <row r="41" spans="1:29">
      <c r="A41" s="3173"/>
      <c r="B41" s="3173"/>
      <c r="C41" s="3173"/>
      <c r="D41" s="3173"/>
      <c r="E41" s="3173"/>
      <c r="F41" s="3173"/>
      <c r="G41" s="3173"/>
      <c r="H41" s="3173"/>
      <c r="I41" s="3173"/>
      <c r="J41" s="3173"/>
      <c r="K41" s="3176"/>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3"/>
      <c r="B42" s="3173"/>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6"/>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3"/>
      <c r="B43" s="3173"/>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6"/>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74"/>
      <c r="B44" s="3174"/>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77"/>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2022-2</v>
      </c>
      <c r="D48" s="2489">
        <f>EDATE(C48,-1)</f>
        <v>44562</v>
      </c>
      <c r="E48" s="2489">
        <f t="shared" ref="E48:O48" si="16">EDATE(D48,-1)</f>
        <v>44531</v>
      </c>
      <c r="F48" s="2489">
        <f t="shared" si="16"/>
        <v>44501</v>
      </c>
      <c r="G48" s="2489">
        <f t="shared" si="16"/>
        <v>44470</v>
      </c>
      <c r="H48" s="2489">
        <f t="shared" si="16"/>
        <v>44440</v>
      </c>
      <c r="I48" s="2489">
        <f t="shared" si="16"/>
        <v>44409</v>
      </c>
      <c r="J48" s="2489">
        <f t="shared" si="16"/>
        <v>44378</v>
      </c>
      <c r="K48" s="2489">
        <f t="shared" si="16"/>
        <v>44348</v>
      </c>
      <c r="L48" s="2489">
        <f t="shared" si="16"/>
        <v>44317</v>
      </c>
      <c r="M48" s="2489">
        <f t="shared" si="16"/>
        <v>44287</v>
      </c>
      <c r="N48" s="2489">
        <f t="shared" si="16"/>
        <v>44256</v>
      </c>
      <c r="O48" s="2489">
        <f t="shared" si="16"/>
        <v>44228</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775</v>
      </c>
      <c r="B4" s="489"/>
      <c r="C4" s="3788" t="s">
        <v>776</v>
      </c>
      <c r="D4" s="3789"/>
      <c r="E4" s="3829" t="s">
        <v>777</v>
      </c>
      <c r="F4" s="3830"/>
      <c r="G4" s="3788" t="s">
        <v>778</v>
      </c>
      <c r="H4" s="3789"/>
      <c r="I4" s="3788" t="s">
        <v>779</v>
      </c>
      <c r="J4" s="3789"/>
      <c r="K4" s="490" t="s">
        <v>780</v>
      </c>
      <c r="L4" s="1986"/>
      <c r="M4" s="1987"/>
      <c r="N4" s="1987"/>
      <c r="O4" s="1987"/>
      <c r="P4" s="3790" t="s">
        <v>781</v>
      </c>
      <c r="Q4" s="3791"/>
      <c r="R4" s="3796" t="s">
        <v>777</v>
      </c>
      <c r="S4" s="3797"/>
      <c r="T4" s="3796" t="s">
        <v>778</v>
      </c>
      <c r="U4" s="3797"/>
      <c r="V4" s="3783" t="s">
        <v>779</v>
      </c>
      <c r="W4" s="3783"/>
      <c r="X4" s="1476"/>
      <c r="Y4" s="3796" t="s">
        <v>781</v>
      </c>
      <c r="Z4" s="3797"/>
      <c r="AA4" s="3785" t="s">
        <v>777</v>
      </c>
      <c r="AB4" s="3786" t="s">
        <v>778</v>
      </c>
      <c r="AC4" s="3785" t="s">
        <v>779</v>
      </c>
    </row>
    <row r="5" spans="1:29" ht="15">
      <c r="A5" s="491"/>
      <c r="B5" s="492"/>
      <c r="C5" s="3804" t="s">
        <v>2858</v>
      </c>
      <c r="D5" s="3805"/>
      <c r="E5" s="3831" t="s">
        <v>2859</v>
      </c>
      <c r="F5" s="3832"/>
      <c r="G5" s="3804" t="s">
        <v>2860</v>
      </c>
      <c r="H5" s="3805"/>
      <c r="I5" s="3804" t="s">
        <v>2861</v>
      </c>
      <c r="J5" s="3805"/>
      <c r="K5" s="490"/>
      <c r="L5" s="1986"/>
      <c r="M5" s="1987"/>
      <c r="N5" s="1987"/>
      <c r="O5" s="1987"/>
      <c r="P5" s="3792"/>
      <c r="Q5" s="3793"/>
      <c r="R5" s="3798"/>
      <c r="S5" s="3799"/>
      <c r="T5" s="3798"/>
      <c r="U5" s="3799"/>
      <c r="V5" s="3783"/>
      <c r="W5" s="3783"/>
      <c r="X5" s="1476"/>
      <c r="Y5" s="3798"/>
      <c r="Z5" s="3799"/>
      <c r="AA5" s="3786"/>
      <c r="AB5" s="3786"/>
      <c r="AC5" s="3786"/>
    </row>
    <row r="6" spans="1:29" ht="15.75" thickBot="1">
      <c r="A6" s="493"/>
      <c r="B6" s="494"/>
      <c r="C6" s="3802" t="s">
        <v>2862</v>
      </c>
      <c r="D6" s="3803"/>
      <c r="E6" s="3827" t="s">
        <v>2862</v>
      </c>
      <c r="F6" s="3828"/>
      <c r="G6" s="3802" t="s">
        <v>2862</v>
      </c>
      <c r="H6" s="3803"/>
      <c r="I6" s="3802" t="s">
        <v>2862</v>
      </c>
      <c r="J6" s="3803"/>
      <c r="K6" s="490" t="s">
        <v>506</v>
      </c>
      <c r="L6" s="1986"/>
      <c r="M6" s="1987"/>
      <c r="N6" s="1987"/>
      <c r="O6" s="1987"/>
      <c r="P6" s="3794"/>
      <c r="Q6" s="3795"/>
      <c r="R6" s="3798"/>
      <c r="S6" s="3799"/>
      <c r="T6" s="3800"/>
      <c r="U6" s="3801"/>
      <c r="V6" s="3783"/>
      <c r="W6" s="3783"/>
      <c r="X6" s="1476"/>
      <c r="Y6" s="3800"/>
      <c r="Z6" s="3801"/>
      <c r="AA6" s="3787"/>
      <c r="AB6" s="3787"/>
      <c r="AC6" s="3787"/>
    </row>
    <row r="7" spans="1:29" s="1185" customFormat="1" ht="15.75" thickBot="1">
      <c r="A7" s="2597"/>
      <c r="B7" s="2604" t="s">
        <v>507</v>
      </c>
      <c r="C7" s="495">
        <f>'数据-取费表'!B2</f>
        <v>44614</v>
      </c>
      <c r="D7" s="496">
        <v>100</v>
      </c>
      <c r="E7" s="497"/>
      <c r="F7" s="498">
        <f>SUMIF(46:46,YEAR(E7)&amp;"-"&amp;MONTH(E7),47:47)</f>
        <v>0</v>
      </c>
      <c r="G7" s="499"/>
      <c r="H7" s="496">
        <f>SUMIF(46:46,YEAR(G7)&amp;"-"&amp;MONTH(G7),47:47)</f>
        <v>0</v>
      </c>
      <c r="I7" s="499"/>
      <c r="J7" s="496">
        <f>SUMIF(46:46,YEAR(I7)&amp;"-"&amp;MONTH(I7),47:47)</f>
        <v>0</v>
      </c>
      <c r="K7" s="500"/>
      <c r="L7" s="1988"/>
      <c r="M7" s="1989"/>
      <c r="N7" s="1989"/>
      <c r="O7" s="1989"/>
      <c r="P7" s="3813" t="s">
        <v>508</v>
      </c>
      <c r="Q7" s="3815"/>
      <c r="R7" s="1477" t="s">
        <v>8</v>
      </c>
      <c r="S7" s="1478">
        <f t="shared" ref="S7:S14" si="0">F7</f>
        <v>0</v>
      </c>
      <c r="T7" s="1477" t="s">
        <v>8</v>
      </c>
      <c r="U7" s="1478">
        <f t="shared" ref="U7:U14" si="1">H7</f>
        <v>0</v>
      </c>
      <c r="V7" s="1477" t="s">
        <v>8</v>
      </c>
      <c r="W7" s="1478">
        <f t="shared" ref="W7:W14" si="2">J7</f>
        <v>0</v>
      </c>
      <c r="X7" s="1479"/>
      <c r="Y7" s="3813" t="s">
        <v>508</v>
      </c>
      <c r="Z7" s="3814"/>
      <c r="AA7" s="1480" t="e">
        <f>D7/F7</f>
        <v>#DIV/0!</v>
      </c>
      <c r="AB7" s="1480" t="e">
        <f>D7/H7</f>
        <v>#DIV/0!</v>
      </c>
      <c r="AC7" s="1480" t="e">
        <f>D7/J7</f>
        <v>#DIV/0!</v>
      </c>
    </row>
    <row r="8" spans="1:29" s="1185" customFormat="1" ht="15.7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813" t="s">
        <v>511</v>
      </c>
      <c r="Q8" s="3814"/>
      <c r="R8" s="1477" t="s">
        <v>8</v>
      </c>
      <c r="S8" s="1478">
        <f t="shared" si="0"/>
        <v>0</v>
      </c>
      <c r="T8" s="1477" t="s">
        <v>8</v>
      </c>
      <c r="U8" s="1478">
        <f t="shared" si="1"/>
        <v>0</v>
      </c>
      <c r="V8" s="1477" t="s">
        <v>8</v>
      </c>
      <c r="W8" s="1478">
        <f t="shared" si="2"/>
        <v>0</v>
      </c>
      <c r="X8" s="1479"/>
      <c r="Y8" s="3813" t="s">
        <v>511</v>
      </c>
      <c r="Z8" s="3814"/>
      <c r="AA8" s="1480" t="e">
        <f t="shared" ref="AA8:AA34" si="3">D8/F8</f>
        <v>#DIV/0!</v>
      </c>
      <c r="AB8" s="1480" t="e">
        <f t="shared" ref="AB8:AB34" si="4">D8/H8</f>
        <v>#DIV/0!</v>
      </c>
      <c r="AC8" s="1480" t="e">
        <f t="shared" ref="AC8:AC34" si="5">D8/J8</f>
        <v>#DIV/0!</v>
      </c>
    </row>
    <row r="9" spans="1:29" s="1185" customFormat="1" ht="15">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782" t="s">
        <v>513</v>
      </c>
      <c r="Q9" s="1116" t="str">
        <f t="shared" ref="Q9:Q14" si="6">B9</f>
        <v>用途</v>
      </c>
      <c r="R9" s="1477" t="s">
        <v>8</v>
      </c>
      <c r="S9" s="1478">
        <f t="shared" si="0"/>
        <v>100</v>
      </c>
      <c r="T9" s="1477" t="s">
        <v>8</v>
      </c>
      <c r="U9" s="1478">
        <f t="shared" si="1"/>
        <v>100</v>
      </c>
      <c r="V9" s="1477" t="s">
        <v>8</v>
      </c>
      <c r="W9" s="1478">
        <f t="shared" si="2"/>
        <v>100</v>
      </c>
      <c r="X9" s="1479"/>
      <c r="Y9" s="3701"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782"/>
      <c r="Q10" s="1116" t="str">
        <f t="shared" si="6"/>
        <v>土地使用年限（年）</v>
      </c>
      <c r="R10" s="1477" t="s">
        <v>8</v>
      </c>
      <c r="S10" s="1478">
        <f t="shared" si="0"/>
        <v>100</v>
      </c>
      <c r="T10" s="1477" t="s">
        <v>8</v>
      </c>
      <c r="U10" s="1478">
        <f t="shared" si="1"/>
        <v>100</v>
      </c>
      <c r="V10" s="1477" t="s">
        <v>8</v>
      </c>
      <c r="W10" s="1478">
        <f t="shared" si="2"/>
        <v>100</v>
      </c>
      <c r="X10" s="1479"/>
      <c r="Y10" s="3701"/>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782"/>
      <c r="Q11" s="1116">
        <f t="shared" si="6"/>
        <v>111</v>
      </c>
      <c r="R11" s="1477" t="s">
        <v>8</v>
      </c>
      <c r="S11" s="1478">
        <f t="shared" si="0"/>
        <v>100</v>
      </c>
      <c r="T11" s="1477" t="s">
        <v>8</v>
      </c>
      <c r="U11" s="1478">
        <f t="shared" si="1"/>
        <v>100</v>
      </c>
      <c r="V11" s="1477" t="s">
        <v>8</v>
      </c>
      <c r="W11" s="1478">
        <f t="shared" si="2"/>
        <v>100</v>
      </c>
      <c r="X11" s="1479"/>
      <c r="Y11" s="3701"/>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782"/>
      <c r="Q12" s="1116">
        <f t="shared" si="6"/>
        <v>111</v>
      </c>
      <c r="R12" s="1477" t="s">
        <v>8</v>
      </c>
      <c r="S12" s="1478">
        <f t="shared" si="0"/>
        <v>100</v>
      </c>
      <c r="T12" s="1477" t="s">
        <v>8</v>
      </c>
      <c r="U12" s="1478">
        <f t="shared" si="1"/>
        <v>100</v>
      </c>
      <c r="V12" s="1477" t="s">
        <v>8</v>
      </c>
      <c r="W12" s="1478">
        <f t="shared" si="2"/>
        <v>100</v>
      </c>
      <c r="X12" s="1479"/>
      <c r="Y12" s="3701"/>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782"/>
      <c r="Q13" s="1116">
        <f t="shared" si="6"/>
        <v>111</v>
      </c>
      <c r="R13" s="1477" t="s">
        <v>8</v>
      </c>
      <c r="S13" s="1478">
        <f t="shared" si="0"/>
        <v>100</v>
      </c>
      <c r="T13" s="1477" t="s">
        <v>8</v>
      </c>
      <c r="U13" s="1478">
        <f t="shared" si="1"/>
        <v>100</v>
      </c>
      <c r="V13" s="1477" t="s">
        <v>8</v>
      </c>
      <c r="W13" s="1478">
        <f t="shared" si="2"/>
        <v>100</v>
      </c>
      <c r="X13" s="1479"/>
      <c r="Y13" s="3701"/>
      <c r="Z13" s="1115">
        <f t="shared" si="7"/>
        <v>111</v>
      </c>
      <c r="AA13" s="1480">
        <f t="shared" si="3"/>
        <v>1</v>
      </c>
      <c r="AB13" s="1480">
        <f t="shared" si="4"/>
        <v>1</v>
      </c>
      <c r="AC13" s="1480">
        <f t="shared" si="5"/>
        <v>1</v>
      </c>
    </row>
    <row r="14" spans="1:29" ht="156.75">
      <c r="A14" s="2595" t="s">
        <v>2707</v>
      </c>
      <c r="B14" s="164" t="s">
        <v>521</v>
      </c>
      <c r="C14" s="892" t="str">
        <f>IF(B1="工业",估价对象房地状况!G4,估价对象房地状况!C6)</f>
        <v>估价对象周边有顺2路、顺27路、顺28路、顺38路、顺43路、顺59路、顺60路等多条公交线路，距地铁15号线（南法信站）约500米，综合评价交通便捷度较好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816" t="s">
        <v>518</v>
      </c>
      <c r="Q14" s="1481" t="str">
        <f t="shared" si="6"/>
        <v>交通便捷度</v>
      </c>
      <c r="R14" s="1482" t="s">
        <v>8</v>
      </c>
      <c r="S14" s="1483">
        <f t="shared" si="0"/>
        <v>100</v>
      </c>
      <c r="T14" s="1482" t="s">
        <v>8</v>
      </c>
      <c r="U14" s="1483">
        <f t="shared" si="1"/>
        <v>100</v>
      </c>
      <c r="V14" s="1482" t="s">
        <v>8</v>
      </c>
      <c r="W14" s="1483">
        <f t="shared" si="2"/>
        <v>100</v>
      </c>
      <c r="X14" s="1476"/>
      <c r="Y14" s="3816"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3817"/>
      <c r="Q15" s="1481"/>
      <c r="R15" s="1482"/>
      <c r="S15" s="1483"/>
      <c r="T15" s="1482"/>
      <c r="U15" s="1483"/>
      <c r="V15" s="1482"/>
      <c r="W15" s="1483"/>
      <c r="X15" s="1476"/>
      <c r="Y15" s="3817"/>
      <c r="Z15" s="1484"/>
      <c r="AA15" s="1485">
        <v>1</v>
      </c>
      <c r="AB15" s="1485">
        <v>1</v>
      </c>
      <c r="AC15" s="1485">
        <v>1</v>
      </c>
    </row>
    <row r="16" spans="1:29" ht="42.75">
      <c r="A16" s="508"/>
      <c r="B16" s="2415" t="s">
        <v>2500</v>
      </c>
      <c r="C16" s="843" t="str">
        <f>IF(B1="工业",估价对象房地状况!G5,估价对象房地状况!C7)</f>
        <v>估价对象所在区域公共配套设施齐备情况一般</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817"/>
      <c r="Q16" s="1481" t="str">
        <f>B16</f>
        <v>公共配套设施</v>
      </c>
      <c r="R16" s="1482" t="s">
        <v>8</v>
      </c>
      <c r="S16" s="1483">
        <f>F16</f>
        <v>100</v>
      </c>
      <c r="T16" s="1482" t="s">
        <v>8</v>
      </c>
      <c r="U16" s="1483">
        <f>H16</f>
        <v>100</v>
      </c>
      <c r="V16" s="1482" t="s">
        <v>8</v>
      </c>
      <c r="W16" s="1483">
        <f>J16</f>
        <v>100</v>
      </c>
      <c r="X16" s="1476"/>
      <c r="Y16" s="3817"/>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3817"/>
      <c r="Q17" s="1481"/>
      <c r="R17" s="1482"/>
      <c r="S17" s="1483"/>
      <c r="T17" s="1482"/>
      <c r="U17" s="1483"/>
      <c r="V17" s="1482"/>
      <c r="W17" s="1483"/>
      <c r="X17" s="1476"/>
      <c r="Y17" s="3817"/>
      <c r="Z17" s="1484"/>
      <c r="AA17" s="1485">
        <v>1</v>
      </c>
      <c r="AB17" s="1485">
        <v>1</v>
      </c>
      <c r="AC17" s="1485">
        <v>1</v>
      </c>
    </row>
    <row r="18" spans="1:29" ht="28.5">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817"/>
      <c r="Q18" s="2397" t="str">
        <f>B18</f>
        <v>基础设施水平</v>
      </c>
      <c r="R18" s="1482" t="s">
        <v>8</v>
      </c>
      <c r="S18" s="1483">
        <f>F18</f>
        <v>100</v>
      </c>
      <c r="T18" s="1482" t="s">
        <v>8</v>
      </c>
      <c r="U18" s="1483">
        <f>H18</f>
        <v>100</v>
      </c>
      <c r="V18" s="1482" t="s">
        <v>8</v>
      </c>
      <c r="W18" s="1483">
        <f>J18</f>
        <v>100</v>
      </c>
      <c r="X18" s="2399"/>
      <c r="Y18" s="3817"/>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3817"/>
      <c r="Q19" s="2397"/>
      <c r="R19" s="1482"/>
      <c r="S19" s="1483"/>
      <c r="T19" s="1482"/>
      <c r="U19" s="1483"/>
      <c r="V19" s="1482"/>
      <c r="W19" s="1483"/>
      <c r="X19" s="2399"/>
      <c r="Y19" s="3817"/>
      <c r="Z19" s="2398"/>
      <c r="AA19" s="1485">
        <v>1</v>
      </c>
      <c r="AB19" s="1485">
        <v>1</v>
      </c>
      <c r="AC19" s="1485">
        <v>1</v>
      </c>
    </row>
    <row r="20" spans="1:29" ht="85.5">
      <c r="A20" s="508"/>
      <c r="B20" s="842" t="s">
        <v>782</v>
      </c>
      <c r="C20" s="843" t="str">
        <f>IF(B1="工业",估价对象房地状况!G7,估价对象房地状况!C9)</f>
        <v>区域自然环境：小众和；人文环境：国家新闻出版广电总局研修学院；综合评价环境状况一般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817"/>
      <c r="Q20" s="1481" t="str">
        <f>B20</f>
        <v>自然及人文环境</v>
      </c>
      <c r="R20" s="1482" t="s">
        <v>8</v>
      </c>
      <c r="S20" s="1483">
        <f>F20</f>
        <v>100</v>
      </c>
      <c r="T20" s="1482" t="s">
        <v>8</v>
      </c>
      <c r="U20" s="1483">
        <f>H20</f>
        <v>100</v>
      </c>
      <c r="V20" s="1482" t="s">
        <v>8</v>
      </c>
      <c r="W20" s="1483">
        <f>J20</f>
        <v>100</v>
      </c>
      <c r="X20" s="1476"/>
      <c r="Y20" s="3817"/>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3817"/>
      <c r="Q21" s="1481"/>
      <c r="R21" s="1482"/>
      <c r="S21" s="1483"/>
      <c r="T21" s="1482"/>
      <c r="U21" s="1483"/>
      <c r="V21" s="1482"/>
      <c r="W21" s="1483"/>
      <c r="X21" s="1476"/>
      <c r="Y21" s="3817"/>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817"/>
      <c r="Q22" s="1481" t="str">
        <f>B22</f>
        <v>楼层</v>
      </c>
      <c r="R22" s="1482" t="s">
        <v>8</v>
      </c>
      <c r="S22" s="1483">
        <f>F22</f>
        <v>100</v>
      </c>
      <c r="T22" s="1482" t="s">
        <v>8</v>
      </c>
      <c r="U22" s="1483">
        <f>H22</f>
        <v>100</v>
      </c>
      <c r="V22" s="1482" t="s">
        <v>8</v>
      </c>
      <c r="W22" s="1483">
        <f>J22</f>
        <v>100</v>
      </c>
      <c r="X22" s="1476"/>
      <c r="Y22" s="3817"/>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817"/>
      <c r="Q23" s="1481">
        <f>B23</f>
        <v>111</v>
      </c>
      <c r="R23" s="1482" t="s">
        <v>8</v>
      </c>
      <c r="S23" s="1483">
        <f>F23</f>
        <v>100</v>
      </c>
      <c r="T23" s="1482" t="s">
        <v>8</v>
      </c>
      <c r="U23" s="1483">
        <f>H23</f>
        <v>100</v>
      </c>
      <c r="V23" s="1482" t="s">
        <v>8</v>
      </c>
      <c r="W23" s="1483">
        <f>J23</f>
        <v>100</v>
      </c>
      <c r="X23" s="1476"/>
      <c r="Y23" s="3817"/>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817"/>
      <c r="Q24" s="1481">
        <f t="shared" ref="Q24:Q34" si="11">B24</f>
        <v>111</v>
      </c>
      <c r="R24" s="1482" t="s">
        <v>8</v>
      </c>
      <c r="S24" s="1483">
        <f>F24</f>
        <v>100</v>
      </c>
      <c r="T24" s="1482" t="s">
        <v>8</v>
      </c>
      <c r="U24" s="1483">
        <f>H24</f>
        <v>100</v>
      </c>
      <c r="V24" s="1482" t="s">
        <v>8</v>
      </c>
      <c r="W24" s="1483">
        <f>J24</f>
        <v>100</v>
      </c>
      <c r="X24" s="1476"/>
      <c r="Y24" s="3817"/>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817"/>
      <c r="Q25" s="1116">
        <f t="shared" si="11"/>
        <v>111</v>
      </c>
      <c r="R25" s="1477" t="s">
        <v>8</v>
      </c>
      <c r="S25" s="1478">
        <f>F25</f>
        <v>100</v>
      </c>
      <c r="T25" s="1477" t="s">
        <v>8</v>
      </c>
      <c r="U25" s="1478">
        <f>H25</f>
        <v>100</v>
      </c>
      <c r="V25" s="1477" t="s">
        <v>8</v>
      </c>
      <c r="W25" s="1478">
        <f>J25</f>
        <v>100</v>
      </c>
      <c r="X25" s="1479"/>
      <c r="Y25" s="3817"/>
      <c r="Z25" s="1115">
        <f>Q25</f>
        <v>111</v>
      </c>
      <c r="AA25" s="1485">
        <f>D25/F25</f>
        <v>1</v>
      </c>
      <c r="AB25" s="1485">
        <f>D25/H25</f>
        <v>1</v>
      </c>
      <c r="AC25" s="1485">
        <f>D25/J25</f>
        <v>1</v>
      </c>
    </row>
    <row r="26" spans="1:29" ht="1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818"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819"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819"/>
      <c r="Q27" s="1510" t="str">
        <f t="shared" si="11"/>
        <v>成新率</v>
      </c>
      <c r="R27" s="1486" t="s">
        <v>8</v>
      </c>
      <c r="S27" s="1487" t="e">
        <f t="shared" si="12"/>
        <v>#N/A</v>
      </c>
      <c r="T27" s="1486" t="s">
        <v>8</v>
      </c>
      <c r="U27" s="1487" t="e">
        <f t="shared" si="13"/>
        <v>#N/A</v>
      </c>
      <c r="V27" s="1486" t="s">
        <v>8</v>
      </c>
      <c r="W27" s="1487" t="e">
        <f t="shared" si="14"/>
        <v>#N/A</v>
      </c>
      <c r="X27" s="1488"/>
      <c r="Y27" s="3819"/>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819"/>
      <c r="Q28" s="1481" t="str">
        <f t="shared" si="11"/>
        <v>物业等级</v>
      </c>
      <c r="R28" s="1482" t="s">
        <v>8</v>
      </c>
      <c r="S28" s="1483">
        <f t="shared" si="12"/>
        <v>100</v>
      </c>
      <c r="T28" s="1482" t="s">
        <v>8</v>
      </c>
      <c r="U28" s="1483">
        <f t="shared" si="13"/>
        <v>100</v>
      </c>
      <c r="V28" s="1482" t="s">
        <v>8</v>
      </c>
      <c r="W28" s="1483">
        <f t="shared" si="14"/>
        <v>100</v>
      </c>
      <c r="X28" s="1476"/>
      <c r="Y28" s="3819"/>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819"/>
      <c r="Q29" s="1481" t="str">
        <f t="shared" si="11"/>
        <v>有无电梯</v>
      </c>
      <c r="R29" s="1482" t="s">
        <v>8</v>
      </c>
      <c r="S29" s="1483">
        <f t="shared" si="12"/>
        <v>100</v>
      </c>
      <c r="T29" s="1482" t="s">
        <v>8</v>
      </c>
      <c r="U29" s="1483">
        <f t="shared" si="13"/>
        <v>100</v>
      </c>
      <c r="V29" s="1482" t="s">
        <v>8</v>
      </c>
      <c r="W29" s="1483">
        <f t="shared" si="14"/>
        <v>100</v>
      </c>
      <c r="X29" s="1476"/>
      <c r="Y29" s="3819"/>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819"/>
      <c r="Q30" s="1481" t="str">
        <f t="shared" si="11"/>
        <v>建筑面积</v>
      </c>
      <c r="R30" s="1482" t="s">
        <v>8</v>
      </c>
      <c r="S30" s="1483" t="e">
        <f t="shared" si="12"/>
        <v>#N/A</v>
      </c>
      <c r="T30" s="1482" t="s">
        <v>8</v>
      </c>
      <c r="U30" s="1483" t="e">
        <f t="shared" si="13"/>
        <v>#N/A</v>
      </c>
      <c r="V30" s="1482" t="s">
        <v>8</v>
      </c>
      <c r="W30" s="1483" t="e">
        <f t="shared" si="14"/>
        <v>#N/A</v>
      </c>
      <c r="X30" s="1476"/>
      <c r="Y30" s="3819"/>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819"/>
      <c r="Q31" s="1116" t="str">
        <f t="shared" si="11"/>
        <v>是否封闭</v>
      </c>
      <c r="R31" s="1477" t="s">
        <v>8</v>
      </c>
      <c r="S31" s="1478">
        <f t="shared" si="12"/>
        <v>100</v>
      </c>
      <c r="T31" s="1477" t="s">
        <v>8</v>
      </c>
      <c r="U31" s="1478">
        <f t="shared" si="13"/>
        <v>100</v>
      </c>
      <c r="V31" s="1477" t="s">
        <v>8</v>
      </c>
      <c r="W31" s="1478">
        <f t="shared" si="14"/>
        <v>100</v>
      </c>
      <c r="X31" s="1479"/>
      <c r="Y31" s="3819"/>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819" t="s">
        <v>528</v>
      </c>
      <c r="Q32" s="1481">
        <f t="shared" si="11"/>
        <v>111</v>
      </c>
      <c r="R32" s="1482" t="s">
        <v>8</v>
      </c>
      <c r="S32" s="1483">
        <f t="shared" si="12"/>
        <v>100</v>
      </c>
      <c r="T32" s="1482" t="s">
        <v>8</v>
      </c>
      <c r="U32" s="1483">
        <f t="shared" si="13"/>
        <v>100</v>
      </c>
      <c r="V32" s="1482" t="s">
        <v>8</v>
      </c>
      <c r="W32" s="1483">
        <f t="shared" si="14"/>
        <v>100</v>
      </c>
      <c r="X32" s="1476"/>
      <c r="Y32" s="3819"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819"/>
      <c r="Q33" s="1481">
        <f t="shared" si="11"/>
        <v>111</v>
      </c>
      <c r="R33" s="1482" t="s">
        <v>8</v>
      </c>
      <c r="S33" s="1483">
        <f t="shared" si="12"/>
        <v>100</v>
      </c>
      <c r="T33" s="1482" t="s">
        <v>8</v>
      </c>
      <c r="U33" s="1483">
        <f t="shared" si="13"/>
        <v>100</v>
      </c>
      <c r="V33" s="1482" t="s">
        <v>8</v>
      </c>
      <c r="W33" s="1483">
        <f t="shared" si="14"/>
        <v>100</v>
      </c>
      <c r="X33" s="1476"/>
      <c r="Y33" s="3819"/>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819"/>
      <c r="Q34" s="1481">
        <f t="shared" si="11"/>
        <v>111</v>
      </c>
      <c r="R34" s="1482" t="s">
        <v>8</v>
      </c>
      <c r="S34" s="1483">
        <f t="shared" si="12"/>
        <v>100</v>
      </c>
      <c r="T34" s="1482" t="s">
        <v>8</v>
      </c>
      <c r="U34" s="1483">
        <f t="shared" si="13"/>
        <v>100</v>
      </c>
      <c r="V34" s="1482" t="s">
        <v>8</v>
      </c>
      <c r="W34" s="1483">
        <f t="shared" si="14"/>
        <v>100</v>
      </c>
      <c r="X34" s="1476"/>
      <c r="Y34" s="3819"/>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3782" t="str">
        <f>A35</f>
        <v>成交单价（元/平方米）</v>
      </c>
      <c r="Q35" s="3782"/>
      <c r="R35" s="3927">
        <f>E35</f>
        <v>0</v>
      </c>
      <c r="S35" s="3927"/>
      <c r="T35" s="3927">
        <f>G35</f>
        <v>0</v>
      </c>
      <c r="U35" s="3927"/>
      <c r="V35" s="3927">
        <f>I35</f>
        <v>0</v>
      </c>
      <c r="W35" s="3927"/>
      <c r="X35" s="1471"/>
      <c r="Y35" s="1490"/>
      <c r="Z35" s="1471"/>
      <c r="AA35" s="1471"/>
      <c r="AB35" s="1471"/>
      <c r="AC35" s="1471"/>
    </row>
    <row r="36" spans="1:29" ht="15.75" thickBot="1">
      <c r="A36" s="591" t="s">
        <v>2713</v>
      </c>
      <c r="B36" s="859"/>
      <c r="C36" s="2444" t="e">
        <f>R37</f>
        <v>#DIV/0!</v>
      </c>
      <c r="D36" s="2980" t="s">
        <v>2929</v>
      </c>
      <c r="E36" s="2445" t="e">
        <f>R36</f>
        <v>#DIV/0!</v>
      </c>
      <c r="F36" s="2981"/>
      <c r="G36" s="2444" t="e">
        <f>T36</f>
        <v>#DIV/0!</v>
      </c>
      <c r="H36" s="2981"/>
      <c r="I36" s="2445" t="e">
        <f>V36</f>
        <v>#DIV/0!</v>
      </c>
      <c r="J36" s="2981"/>
      <c r="K36" s="2989">
        <f>F36+H36+J36</f>
        <v>0</v>
      </c>
      <c r="L36" s="1997"/>
      <c r="M36" s="1998"/>
      <c r="N36" s="1987"/>
      <c r="O36" s="1998"/>
      <c r="P36" s="3782" t="str">
        <f>A36</f>
        <v>比较价格（元/平方米）</v>
      </c>
      <c r="Q36" s="3782"/>
      <c r="R36" s="3927" t="e">
        <f>IF(F1="售价",ROUND(PRODUCT(R35,AA7:AA34),0),ROUND(PRODUCT(R35,AA7:AA34),1))</f>
        <v>#DIV/0!</v>
      </c>
      <c r="S36" s="3927"/>
      <c r="T36" s="3927" t="e">
        <f>IF(F1="售价",ROUND(PRODUCT(T35,AB7:AB34),0),ROUND(PRODUCT(T35,AB7:AB34),1))</f>
        <v>#DIV/0!</v>
      </c>
      <c r="U36" s="3927"/>
      <c r="V36" s="3927" t="e">
        <f>IF(F1="售价",ROUND(PRODUCT(V35,AC7:AC34),0),ROUND(PRODUCT(V35,AC7:AC34),1))</f>
        <v>#DIV/0!</v>
      </c>
      <c r="W36" s="3927"/>
      <c r="X36" s="1471"/>
      <c r="Y36" s="1471"/>
      <c r="Z36" s="1471"/>
      <c r="AA36" s="1471"/>
      <c r="AB36" s="1471"/>
      <c r="AC36" s="1471"/>
    </row>
    <row r="37" spans="1:29" ht="15.75" thickBot="1">
      <c r="A37" s="595" t="s">
        <v>2864</v>
      </c>
      <c r="B37" s="596"/>
      <c r="C37" s="2446" t="e">
        <f>R37</f>
        <v>#DIV/0!</v>
      </c>
      <c r="D37" s="2446"/>
      <c r="E37" s="2446"/>
      <c r="F37" s="2446"/>
      <c r="G37" s="2446"/>
      <c r="H37" s="2446"/>
      <c r="I37" s="2446"/>
      <c r="J37" s="2446"/>
      <c r="K37" s="1516"/>
      <c r="L37" s="1997"/>
      <c r="M37" s="1998"/>
      <c r="N37" s="1998"/>
      <c r="O37" s="1998"/>
      <c r="P37" s="3779" t="str">
        <f>A37</f>
        <v>估价对象XX用房的比较价格（楼面单价，元/平方米）</v>
      </c>
      <c r="Q37" s="3780"/>
      <c r="R37" s="3926" t="e">
        <f>IF(F1="售价",ROUND(IF(D36="简单平均",AVERAGE(R36:W36),R36*F36+T36*H36+V36*J36),0),ROUND(IF(D36="简单平均",AVERAGE(R36:V36),R36*F36+T36*H36+V36*J36),1))</f>
        <v>#DIV/0!</v>
      </c>
      <c r="S37" s="3926"/>
      <c r="T37" s="3926"/>
      <c r="U37" s="3926"/>
      <c r="V37" s="3926"/>
      <c r="W37" s="3926"/>
      <c r="X37" s="1471"/>
      <c r="Y37" s="1471"/>
      <c r="Z37" s="1471"/>
      <c r="AA37" s="1471"/>
      <c r="AB37" s="1471"/>
      <c r="AC37" s="1471"/>
    </row>
    <row r="38" spans="1:29">
      <c r="A38" s="3173"/>
      <c r="B38" s="3173"/>
      <c r="C38" s="3173"/>
      <c r="D38" s="3173"/>
      <c r="E38" s="3173"/>
      <c r="F38" s="3173"/>
      <c r="G38" s="3175"/>
      <c r="H38" s="3173"/>
      <c r="I38" s="3173"/>
      <c r="J38" s="3173"/>
      <c r="K38" s="3176"/>
      <c r="L38" s="2002"/>
      <c r="M38" s="1998"/>
      <c r="N38" s="1998"/>
      <c r="O38" s="1998"/>
      <c r="P38" s="1998"/>
      <c r="Q38" s="1998"/>
      <c r="R38" s="1998"/>
      <c r="S38" s="1998"/>
      <c r="T38" s="1998"/>
      <c r="U38" s="1998"/>
      <c r="V38" s="1998"/>
      <c r="W38" s="1998"/>
      <c r="X38" s="1998"/>
      <c r="Y38" s="1998"/>
      <c r="Z38" s="1998"/>
      <c r="AA38" s="1998"/>
      <c r="AB38" s="1998"/>
      <c r="AC38" s="1998"/>
    </row>
    <row r="39" spans="1:29">
      <c r="A39" s="3173"/>
      <c r="B39" s="3173"/>
      <c r="C39" s="3173"/>
      <c r="D39" s="3173"/>
      <c r="E39" s="3173"/>
      <c r="F39" s="3173"/>
      <c r="G39" s="3173"/>
      <c r="H39" s="3173"/>
      <c r="I39" s="3173"/>
      <c r="J39" s="3173"/>
      <c r="K39" s="3176"/>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3"/>
      <c r="B40" s="3173"/>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6"/>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3"/>
      <c r="B41" s="3173"/>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6"/>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74"/>
      <c r="B42" s="3174"/>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77"/>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2022-2</v>
      </c>
      <c r="D46" s="2489">
        <f>EDATE(C46,-1)</f>
        <v>44562</v>
      </c>
      <c r="E46" s="2489">
        <f t="shared" ref="E46:O46" si="16">EDATE(D46,-1)</f>
        <v>44531</v>
      </c>
      <c r="F46" s="2489">
        <f t="shared" si="16"/>
        <v>44501</v>
      </c>
      <c r="G46" s="2489">
        <f t="shared" si="16"/>
        <v>44470</v>
      </c>
      <c r="H46" s="2489">
        <f t="shared" si="16"/>
        <v>44440</v>
      </c>
      <c r="I46" s="2489">
        <f t="shared" si="16"/>
        <v>44409</v>
      </c>
      <c r="J46" s="2489">
        <f t="shared" si="16"/>
        <v>44378</v>
      </c>
      <c r="K46" s="2489">
        <f t="shared" si="16"/>
        <v>44348</v>
      </c>
      <c r="L46" s="2489">
        <f t="shared" si="16"/>
        <v>44317</v>
      </c>
      <c r="M46" s="2489">
        <f t="shared" si="16"/>
        <v>44287</v>
      </c>
      <c r="N46" s="2489">
        <f t="shared" si="16"/>
        <v>44256</v>
      </c>
      <c r="O46" s="2489">
        <f t="shared" si="16"/>
        <v>44228</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936" t="s">
        <v>2269</v>
      </c>
      <c r="D1" s="3937"/>
      <c r="E1" s="3937"/>
      <c r="F1" s="3937"/>
      <c r="G1" s="3937"/>
      <c r="H1" s="3937"/>
      <c r="I1" s="3937"/>
      <c r="J1" s="3937"/>
      <c r="K1" s="3937"/>
      <c r="L1" s="3937"/>
      <c r="M1" s="3937"/>
      <c r="N1" s="3937"/>
      <c r="O1" s="3937"/>
      <c r="P1" s="3937"/>
      <c r="Q1" s="3937"/>
      <c r="R1" s="3937"/>
      <c r="S1" s="3938"/>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3" t="s">
        <v>2857</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5" t="s">
        <v>2856</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5" t="s">
        <v>2855</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3" t="s">
        <v>2868</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3" t="s">
        <v>2854</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3" t="s">
        <v>2853</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807</v>
      </c>
      <c r="B22" s="53">
        <f>SUM(B24:B10000)</f>
        <v>0</v>
      </c>
      <c r="C22" s="3933" t="s">
        <v>20</v>
      </c>
      <c r="D22" s="3934"/>
      <c r="E22" s="3934"/>
      <c r="F22" s="3934"/>
      <c r="G22" s="3934"/>
      <c r="H22" s="3934"/>
      <c r="I22" s="3934"/>
      <c r="J22" s="3934"/>
      <c r="K22" s="3934"/>
      <c r="L22" s="3934"/>
      <c r="M22" s="3934"/>
      <c r="N22" s="3934"/>
      <c r="O22" s="3934"/>
      <c r="P22" s="3934"/>
      <c r="Q22" s="3935"/>
      <c r="R22" s="474" t="e">
        <f>ROUND(S22*10000/B22,0)</f>
        <v>#DIV/0!</v>
      </c>
      <c r="S22" s="53">
        <f>SUM(S24:S10000)</f>
        <v>0</v>
      </c>
    </row>
    <row r="23" spans="1:45" s="1517" customFormat="1" ht="24">
      <c r="A23" s="17" t="s">
        <v>808</v>
      </c>
      <c r="B23" s="2827" t="s">
        <v>2876</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37">
        <v>1</v>
      </c>
      <c r="D24" s="3238"/>
      <c r="E24" s="3237">
        <v>1</v>
      </c>
      <c r="F24" s="3238"/>
      <c r="G24" s="3237">
        <v>1</v>
      </c>
      <c r="H24" s="3238"/>
      <c r="I24" s="3237">
        <v>1</v>
      </c>
      <c r="J24" s="3238"/>
      <c r="K24" s="3237">
        <v>1</v>
      </c>
      <c r="L24" s="3238"/>
      <c r="M24" s="3237">
        <v>1</v>
      </c>
      <c r="N24" s="3238"/>
      <c r="O24" s="3237">
        <v>1</v>
      </c>
      <c r="P24" s="3238"/>
      <c r="Q24" s="3237">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2740</v>
      </c>
      <c r="C1" s="2689">
        <f>项目基本情况!D3</f>
        <v>44614</v>
      </c>
      <c r="H1" s="2623">
        <f>IF(C1&gt;C13,0,MATCH(C1,C$13:C$100,-1))+IF(SUMIF(C13:C100,C1,D13:D100)=0,13,12)</f>
        <v>13</v>
      </c>
      <c r="I1" s="2623">
        <f>MATCH(C2,H3:H7,1)+IF(SUMIF(H3:H7,C2,I3:I7)=0,2,1)</f>
        <v>5</v>
      </c>
      <c r="J1" s="2682">
        <f ca="1">MATCH(C3,H3:H7,1)+IF(SUMIF(H3:H7,C3,J3:J7)=0,2,1)</f>
        <v>4</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1</v>
      </c>
      <c r="D3" s="2685" t="s">
        <v>2741</v>
      </c>
      <c r="E3" s="2688">
        <f ca="1">INDIRECT("J"&amp;$J$1)/100</f>
        <v>4.3499999999999997E-2</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0" t="s">
        <v>2005</v>
      </c>
      <c r="B1" s="3580"/>
      <c r="C1" s="3580"/>
      <c r="D1" s="3580"/>
      <c r="E1" s="3580"/>
      <c r="F1" s="3580"/>
      <c r="G1" s="3580"/>
      <c r="H1" s="3580"/>
      <c r="I1" s="3580"/>
      <c r="J1" s="3580"/>
      <c r="K1" s="3580"/>
      <c r="L1" s="3580"/>
      <c r="M1" s="3580"/>
      <c r="N1" s="3580"/>
      <c r="O1" s="3580"/>
      <c r="P1" s="3580"/>
      <c r="Q1" s="3580"/>
      <c r="R1" s="3580"/>
    </row>
    <row r="2" spans="1:18">
      <c r="A2" s="1695" t="s">
        <v>2007</v>
      </c>
      <c r="B2" s="1695"/>
      <c r="C2" s="1695"/>
      <c r="D2" s="1695"/>
      <c r="E2" s="1695"/>
      <c r="F2" s="1695"/>
      <c r="G2" s="1695"/>
      <c r="H2" s="1695"/>
      <c r="I2" s="1696"/>
      <c r="J2" s="1696"/>
      <c r="K2" s="1697" t="str">
        <f>"估价期日："&amp;TEXT(项目基本情况!D3,"yyyy年m月d日;;")</f>
        <v>估价期日：2022年2月22日</v>
      </c>
      <c r="L2" s="1695"/>
      <c r="M2" s="1695"/>
      <c r="N2" s="1695"/>
      <c r="O2" s="1695"/>
      <c r="P2" s="1695"/>
      <c r="Q2" s="1695"/>
      <c r="R2" s="1697" t="str">
        <f>"估价期日的国有建设用地使用权性质："&amp;项目基本情况!B16</f>
        <v>估价期日的国有建设用地使用权性质：划拨</v>
      </c>
    </row>
    <row r="3" spans="1:18" ht="23.25" customHeight="1">
      <c r="A3" s="3581" t="s">
        <v>1996</v>
      </c>
      <c r="B3" s="3581" t="s">
        <v>2684</v>
      </c>
      <c r="C3" s="3582" t="s">
        <v>1997</v>
      </c>
      <c r="D3" s="3581" t="s">
        <v>2688</v>
      </c>
      <c r="E3" s="3584" t="s">
        <v>1998</v>
      </c>
      <c r="F3" s="3584"/>
      <c r="G3" s="3584"/>
      <c r="H3" s="3584" t="s">
        <v>1999</v>
      </c>
      <c r="I3" s="3584"/>
      <c r="J3" s="3584"/>
      <c r="K3" s="3582" t="s">
        <v>2000</v>
      </c>
      <c r="L3" s="3582" t="s">
        <v>2001</v>
      </c>
      <c r="M3" s="3581" t="s">
        <v>2685</v>
      </c>
      <c r="N3" s="3583" t="str">
        <f>"（分摊）"&amp;项目基本情况!B16&amp;"国有建设用地使用权面积/㎡"</f>
        <v>（分摊）划拨国有建设用地使用权面积/㎡</v>
      </c>
      <c r="O3" s="3581" t="s">
        <v>2030</v>
      </c>
      <c r="P3" s="3582" t="s">
        <v>2010</v>
      </c>
      <c r="Q3" s="3582" t="s">
        <v>2031</v>
      </c>
      <c r="R3" s="3582" t="s">
        <v>2002</v>
      </c>
    </row>
    <row r="4" spans="1:18" ht="36.75" customHeight="1">
      <c r="A4" s="3581"/>
      <c r="B4" s="3581"/>
      <c r="C4" s="3582"/>
      <c r="D4" s="3581"/>
      <c r="E4" s="2459" t="s">
        <v>2009</v>
      </c>
      <c r="F4" s="2459" t="s">
        <v>2697</v>
      </c>
      <c r="G4" s="2459" t="s">
        <v>2003</v>
      </c>
      <c r="H4" s="2459" t="s">
        <v>2004</v>
      </c>
      <c r="I4" s="2459" t="s">
        <v>2698</v>
      </c>
      <c r="J4" s="2459" t="s">
        <v>2003</v>
      </c>
      <c r="K4" s="3582"/>
      <c r="L4" s="3582"/>
      <c r="M4" s="3581"/>
      <c r="N4" s="3583"/>
      <c r="O4" s="3581"/>
      <c r="P4" s="3582"/>
      <c r="Q4" s="3582"/>
      <c r="R4" s="3582"/>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t="str">
        <f>IF(项目基本情况!B16="出让",项目基本情况!D20,"——")</f>
        <v>——</v>
      </c>
      <c r="N5" s="1698">
        <f>项目基本情况!C22</f>
        <v>22121.8</v>
      </c>
      <c r="O5" s="1698">
        <f>项目基本情况!C21</f>
        <v>22121.8</v>
      </c>
      <c r="P5" s="1698">
        <f ca="1">结果表!E42</f>
        <v>2402</v>
      </c>
      <c r="Q5" s="1698">
        <f ca="1">结果表!D42</f>
        <v>2402</v>
      </c>
      <c r="R5" s="1699">
        <f ca="1">结果表!C42</f>
        <v>5313</v>
      </c>
    </row>
    <row r="6" spans="1:18">
      <c r="A6" s="3585" t="str">
        <f>IF(项目基本情况!B9="市场价格","——","抵押价格")</f>
        <v>——</v>
      </c>
      <c r="B6" s="3586"/>
      <c r="C6" s="3586"/>
      <c r="D6" s="3586"/>
      <c r="E6" s="3586"/>
      <c r="F6" s="3586"/>
      <c r="G6" s="3586"/>
      <c r="H6" s="3586"/>
      <c r="I6" s="3586"/>
      <c r="J6" s="3586"/>
      <c r="K6" s="3586"/>
      <c r="L6" s="3586"/>
      <c r="M6" s="3586"/>
      <c r="N6" s="3586"/>
      <c r="O6" s="3586"/>
      <c r="P6" s="3586"/>
      <c r="Q6" s="3587"/>
      <c r="R6" s="1700" t="str">
        <f>结果表!O39</f>
        <v>——</v>
      </c>
    </row>
    <row r="7" spans="1:18">
      <c r="A7" s="3585" t="str">
        <f>IF(项目基本情况!B9="市场价格","——",IF(项目基本情况!E8="已注销及未注销","抵押担保权已注销时的抵押价格","——"))</f>
        <v>——</v>
      </c>
      <c r="B7" s="3586"/>
      <c r="C7" s="3586"/>
      <c r="D7" s="3586"/>
      <c r="E7" s="3586"/>
      <c r="F7" s="3586"/>
      <c r="G7" s="3586"/>
      <c r="H7" s="3586"/>
      <c r="I7" s="3586"/>
      <c r="J7" s="3586"/>
      <c r="K7" s="3586"/>
      <c r="L7" s="3586"/>
      <c r="M7" s="3586"/>
      <c r="N7" s="3586"/>
      <c r="O7" s="3586"/>
      <c r="P7" s="3586"/>
      <c r="Q7" s="3587"/>
      <c r="R7" s="1700">
        <f ca="1">结果表!O40</f>
        <v>5313</v>
      </c>
    </row>
    <row r="8" spans="1:18">
      <c r="A8" s="3585" t="str">
        <f>IF(项目基本情况!B9="市场价格","——",项目基本情况!E9)</f>
        <v>——</v>
      </c>
      <c r="B8" s="3586"/>
      <c r="C8" s="3586"/>
      <c r="D8" s="3586"/>
      <c r="E8" s="3586"/>
      <c r="F8" s="3586"/>
      <c r="G8" s="3586"/>
      <c r="H8" s="3586"/>
      <c r="I8" s="3586"/>
      <c r="J8" s="3586"/>
      <c r="K8" s="3586"/>
      <c r="L8" s="3586"/>
      <c r="M8" s="3586"/>
      <c r="N8" s="3586"/>
      <c r="O8" s="3586"/>
      <c r="P8" s="3586"/>
      <c r="Q8" s="3587"/>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589" t="s">
        <v>2032</v>
      </c>
      <c r="B1" s="3589"/>
      <c r="C1" s="3589"/>
      <c r="D1" s="3589"/>
    </row>
    <row r="2" spans="1:4" ht="47.25" customHeight="1">
      <c r="A2" s="3590" t="str">
        <f>"1.权利限制："&amp;项目基本情况!L24&amp;"未设定租赁等其他他项权利。"</f>
        <v>1.权利限制：根据估价对象《不动产权证书》原件、《国有土地使用权》复印件，截至估价期日，估价对象抵押权未见登记。未设定租赁等其他他项权利。</v>
      </c>
      <c r="B2" s="3590"/>
      <c r="C2" s="3590"/>
      <c r="D2" s="3590"/>
    </row>
    <row r="3" spans="1:4" ht="48" customHeight="1">
      <c r="A3" s="35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9"/>
      <c r="C3" s="3589"/>
      <c r="D3" s="3589"/>
    </row>
    <row r="4" spans="1:4" ht="36.75" customHeight="1">
      <c r="A4" s="3589" t="str">
        <f>"3.估价规划限制条件：详见"&amp;项目基本情况!E21&amp;"。"</f>
        <v>3.估价规划限制条件：详见《建设工程规划许可证》[]、《出让合同》[]。</v>
      </c>
      <c r="B4" s="3589"/>
      <c r="C4" s="3589"/>
      <c r="D4" s="3589"/>
    </row>
    <row r="5" spans="1:4">
      <c r="A5" s="3588" t="s">
        <v>2033</v>
      </c>
      <c r="B5" s="3588"/>
      <c r="C5" s="3588"/>
      <c r="D5" s="3588"/>
    </row>
    <row r="6" spans="1:4">
      <c r="A6" s="3589" t="s">
        <v>2011</v>
      </c>
      <c r="B6" s="3589"/>
      <c r="C6" s="3589"/>
      <c r="D6" s="3589"/>
    </row>
    <row r="7" spans="1:4" ht="33" customHeight="1">
      <c r="A7" s="3589" t="s">
        <v>2528</v>
      </c>
      <c r="B7" s="3589"/>
      <c r="C7" s="3589"/>
      <c r="D7" s="3589"/>
    </row>
    <row r="8" spans="1:4" ht="32.25" customHeight="1">
      <c r="A8" s="35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89"/>
      <c r="C8" s="3589"/>
      <c r="D8" s="3589"/>
    </row>
    <row r="9" spans="1:4" ht="33.75" customHeight="1">
      <c r="A9" s="3589" t="str">
        <f>IF(项目基本情况!B8="抵押","3.抵押双方在办理抵押登记手续时，应使用本公司出具的正式《土地估价报告》，特提请报告使用者注意。","——")</f>
        <v>——</v>
      </c>
      <c r="B9" s="3589"/>
      <c r="C9" s="3589"/>
      <c r="D9" s="3589"/>
    </row>
    <row r="10" spans="1:4">
      <c r="A10" s="3589" t="str">
        <f>IF(项目基本情况!B8="抵押","4.估价师所知悉的法定优先受偿款情况为：","——")</f>
        <v>——</v>
      </c>
      <c r="B10" s="3589"/>
      <c r="C10" s="3589"/>
      <c r="D10" s="3589"/>
    </row>
    <row r="11" spans="1:4" ht="37.5" customHeight="1">
      <c r="A11" s="3591" t="str">
        <f>IF(项目基本情况!B8="抵押","（1）"&amp;CONCATENATE(项目基本情况!L24,项目基本情况!L25,项目基本情况!L26),"——")</f>
        <v>——</v>
      </c>
      <c r="B11" s="3591"/>
      <c r="C11" s="3591"/>
      <c r="D11" s="3591"/>
    </row>
    <row r="12" spans="1:4" ht="168" customHeight="1">
      <c r="A12" s="3588" t="s">
        <v>2035</v>
      </c>
      <c r="B12" s="3588"/>
      <c r="C12" s="3588"/>
      <c r="D12" s="3588"/>
    </row>
    <row r="13" spans="1:4">
      <c r="A13" s="3592" t="s">
        <v>2699</v>
      </c>
      <c r="B13" s="3592"/>
      <c r="C13" s="3592"/>
      <c r="D13" s="3592"/>
    </row>
    <row r="14" spans="1:4">
      <c r="A14" s="3591" t="str">
        <f>IF(项目基本情况!B8="抵押","综上，"&amp;结果表!K47,"——")</f>
        <v>——</v>
      </c>
      <c r="B14" s="3591"/>
      <c r="C14" s="3591"/>
      <c r="D14" s="3591"/>
    </row>
    <row r="15" spans="1:4" ht="58.5" customHeight="1">
      <c r="A15" s="35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9"/>
      <c r="C15" s="3589"/>
      <c r="D15" s="3589"/>
    </row>
    <row r="16" spans="1:4" ht="70.5" customHeight="1">
      <c r="A16" s="35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9"/>
      <c r="C16" s="3589"/>
      <c r="D16" s="3589"/>
    </row>
    <row r="17" spans="1:4">
      <c r="A17" s="3589" t="s">
        <v>2655</v>
      </c>
      <c r="B17" s="3589"/>
      <c r="C17" s="3589"/>
      <c r="D17" s="3589"/>
    </row>
    <row r="18" spans="1:4">
      <c r="A18" s="3589" t="s">
        <v>2647</v>
      </c>
      <c r="B18" s="3589"/>
      <c r="C18" s="3589"/>
      <c r="D18" s="3589"/>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589" t="s">
        <v>2652</v>
      </c>
      <c r="B23" s="3589"/>
      <c r="C23" s="3589"/>
      <c r="D23" s="3589"/>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600" t="s">
        <v>53</v>
      </c>
      <c r="B15" s="3601" t="s">
        <v>822</v>
      </c>
      <c r="C15" s="3597"/>
    </row>
    <row r="16" spans="1:7" ht="14.25">
      <c r="A16" s="3600"/>
      <c r="B16" s="3598" t="s">
        <v>54</v>
      </c>
      <c r="C16" s="1137" t="s">
        <v>53</v>
      </c>
    </row>
    <row r="17" spans="1:3" ht="14.25">
      <c r="A17" s="3600"/>
      <c r="B17" s="3598"/>
      <c r="C17" s="1137" t="s">
        <v>55</v>
      </c>
    </row>
    <row r="18" spans="1:3" ht="14.25">
      <c r="A18" s="3600"/>
      <c r="B18" s="3598"/>
      <c r="C18" s="1137" t="s">
        <v>56</v>
      </c>
    </row>
    <row r="19" spans="1:3" ht="14.25">
      <c r="A19" s="3600"/>
      <c r="B19" s="3596" t="s">
        <v>57</v>
      </c>
      <c r="C19" s="3597"/>
    </row>
    <row r="20" spans="1:3" ht="14.25">
      <c r="A20" s="1138" t="s">
        <v>58</v>
      </c>
      <c r="B20" s="1139"/>
      <c r="C20" s="1140"/>
    </row>
    <row r="21" spans="1:3" ht="14.25">
      <c r="A21" s="3599" t="s">
        <v>59</v>
      </c>
      <c r="B21" s="3596" t="s">
        <v>60</v>
      </c>
      <c r="C21" s="3597"/>
    </row>
    <row r="22" spans="1:3" ht="14.25">
      <c r="A22" s="3599"/>
      <c r="B22" s="3596" t="s">
        <v>61</v>
      </c>
      <c r="C22" s="3597"/>
    </row>
    <row r="23" spans="1:3" ht="14.25">
      <c r="A23" s="3599"/>
      <c r="B23" s="3596" t="s">
        <v>62</v>
      </c>
      <c r="C23" s="3597"/>
    </row>
    <row r="24" spans="1:3" ht="14.25">
      <c r="A24" s="3599"/>
      <c r="B24" s="3602" t="s">
        <v>63</v>
      </c>
      <c r="C24" s="1141" t="s">
        <v>813</v>
      </c>
    </row>
    <row r="25" spans="1:3" ht="14.25">
      <c r="A25" s="3599"/>
      <c r="B25" s="3603"/>
      <c r="C25" s="1141" t="s">
        <v>814</v>
      </c>
    </row>
    <row r="26" spans="1:3" ht="14.25">
      <c r="A26" s="3599"/>
      <c r="B26" s="3603"/>
      <c r="C26" s="1141" t="s">
        <v>815</v>
      </c>
    </row>
    <row r="27" spans="1:3" ht="14.25">
      <c r="A27" s="3599"/>
      <c r="B27" s="3603"/>
      <c r="C27" s="1141" t="s">
        <v>816</v>
      </c>
    </row>
    <row r="28" spans="1:3" ht="14.25">
      <c r="A28" s="3599"/>
      <c r="B28" s="3603"/>
      <c r="C28" s="1141" t="s">
        <v>817</v>
      </c>
    </row>
    <row r="29" spans="1:3" ht="14.25">
      <c r="A29" s="3599"/>
      <c r="B29" s="3603"/>
      <c r="C29" s="1141" t="s">
        <v>818</v>
      </c>
    </row>
    <row r="30" spans="1:3" ht="14.25">
      <c r="A30" s="3599"/>
      <c r="B30" s="3603"/>
      <c r="C30" s="1141" t="s">
        <v>819</v>
      </c>
    </row>
    <row r="31" spans="1:3" ht="14.25">
      <c r="A31" s="3599"/>
      <c r="B31" s="3603"/>
      <c r="C31" s="1141" t="s">
        <v>820</v>
      </c>
    </row>
    <row r="32" spans="1:3" ht="14.25">
      <c r="A32" s="3599"/>
      <c r="B32" s="3603"/>
      <c r="C32" s="1141" t="s">
        <v>1621</v>
      </c>
    </row>
    <row r="33" spans="1:3" ht="14.25">
      <c r="A33" s="3599"/>
      <c r="B33" s="3593" t="s">
        <v>1627</v>
      </c>
      <c r="C33" s="1141" t="s">
        <v>1622</v>
      </c>
    </row>
    <row r="34" spans="1:3" ht="14.25">
      <c r="A34" s="3599"/>
      <c r="B34" s="3594"/>
      <c r="C34" s="1146" t="s">
        <v>1623</v>
      </c>
    </row>
    <row r="35" spans="1:3" ht="14.25">
      <c r="A35" s="3599"/>
      <c r="B35" s="3594"/>
      <c r="C35" s="1147" t="s">
        <v>1624</v>
      </c>
    </row>
    <row r="36" spans="1:3" ht="14.25">
      <c r="A36" s="3599"/>
      <c r="B36" s="3594"/>
      <c r="C36" s="1147" t="s">
        <v>1625</v>
      </c>
    </row>
    <row r="37" spans="1:3" ht="14.25">
      <c r="A37" s="3599"/>
      <c r="B37" s="3595"/>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topLeftCell="B1" zoomScale="80" zoomScaleNormal="100" zoomScaleSheetLayoutView="80" workbookViewId="0">
      <selection activeCell="E6" sqref="E6"/>
    </sheetView>
  </sheetViews>
  <sheetFormatPr defaultColWidth="22.625" defaultRowHeight="20.25" customHeight="1"/>
  <cols>
    <col min="1" max="1" width="24.75" style="2796" customWidth="1"/>
    <col min="2" max="2" width="22.75" style="2796" bestFit="1" customWidth="1"/>
    <col min="3" max="3" width="25.75" style="2796" bestFit="1" customWidth="1"/>
    <col min="4" max="4" width="22.625" style="2796"/>
    <col min="5" max="5" width="22.75" style="2796" bestFit="1" customWidth="1"/>
    <col min="6" max="6" width="25.625" style="2796" customWidth="1"/>
    <col min="7" max="16384" width="22.625" style="2796"/>
  </cols>
  <sheetData>
    <row r="1" spans="1:7" ht="20.25" customHeight="1">
      <c r="A1" s="2991"/>
      <c r="B1" s="2991"/>
      <c r="C1" s="2991"/>
      <c r="D1" s="2991"/>
      <c r="E1" s="2991"/>
      <c r="F1" s="2991"/>
      <c r="G1" s="2991"/>
    </row>
    <row r="2" spans="1:7" ht="20.25" customHeight="1">
      <c r="A2" s="2992" t="s">
        <v>1876</v>
      </c>
      <c r="B2" s="2993">
        <f ca="1">TODAY()</f>
        <v>44676</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t="str">
        <f ca="1">IF(C10&lt;B2,"已过期",1120100036)</f>
        <v>已过期</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2905</v>
      </c>
      <c r="B12" s="2996">
        <f ca="1">IF(C12&lt;B2,"已过期",1120040230)</f>
        <v>1120040230</v>
      </c>
      <c r="C12" s="2999">
        <v>44864</v>
      </c>
      <c r="D12" s="3007" t="s">
        <v>2906</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2917</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607" t="s">
        <v>1893</v>
      </c>
      <c r="B17" s="3608"/>
      <c r="C17" s="3608"/>
      <c r="D17" s="3608"/>
      <c r="E17" s="3608"/>
      <c r="F17" s="3608"/>
      <c r="G17" s="3000"/>
    </row>
    <row r="18" spans="1:7" ht="20.25" customHeight="1">
      <c r="A18" s="3604" t="s">
        <v>1894</v>
      </c>
      <c r="B18" s="3604"/>
      <c r="C18" s="3605"/>
      <c r="D18" s="3606" t="s">
        <v>1895</v>
      </c>
      <c r="E18" s="3604"/>
      <c r="F18" s="3604"/>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2916</v>
      </c>
      <c r="F21" s="3004">
        <v>44012</v>
      </c>
      <c r="G21" s="2992"/>
    </row>
    <row r="22" spans="1:7" ht="20.25" customHeight="1">
      <c r="A22" s="2991"/>
      <c r="B22" s="2991"/>
      <c r="C22" s="3005"/>
      <c r="D22" s="3013"/>
      <c r="E22" s="3014"/>
      <c r="F22" s="3006" t="s">
        <v>2930</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2882</v>
      </c>
      <c r="C18" s="1467"/>
    </row>
    <row r="19" spans="1:3">
      <c r="A19" s="8" t="s">
        <v>120</v>
      </c>
      <c r="B19" s="2758" t="s">
        <v>2889</v>
      </c>
      <c r="C19" s="1467"/>
    </row>
    <row r="20" spans="1:3">
      <c r="A20" s="8" t="s">
        <v>121</v>
      </c>
      <c r="B20" s="2758" t="s">
        <v>2931</v>
      </c>
      <c r="C20" s="1467"/>
    </row>
    <row r="21" spans="1:3">
      <c r="A21" s="8" t="s">
        <v>122</v>
      </c>
      <c r="B21" s="8" t="s">
        <v>3112</v>
      </c>
      <c r="C21" s="1467"/>
    </row>
    <row r="22" spans="1:3">
      <c r="A22" s="8" t="s">
        <v>123</v>
      </c>
      <c r="B22" s="8" t="s">
        <v>1616</v>
      </c>
      <c r="C22" s="1467"/>
    </row>
    <row r="23" spans="1:3">
      <c r="A23" s="8" t="s">
        <v>124</v>
      </c>
      <c r="B23" s="8" t="s">
        <v>1616</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58"/>
    </row>
    <row r="52" spans="1:5">
      <c r="A52" s="1656" t="s">
        <v>1953</v>
      </c>
      <c r="B52" s="1659" t="s">
        <v>1954</v>
      </c>
      <c r="C52" s="1657" t="s">
        <v>1955</v>
      </c>
      <c r="D52" s="1657" t="s">
        <v>1956</v>
      </c>
      <c r="E52" s="1658"/>
    </row>
    <row r="53" spans="1:5">
      <c r="A53" s="3609"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c r="D53" s="1658"/>
      <c r="E53" s="1658"/>
    </row>
    <row r="54" spans="1:5">
      <c r="A54" s="3609"/>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58"/>
      <c r="E54" s="1658"/>
    </row>
    <row r="55" spans="1:5">
      <c r="A55" s="3609"/>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58"/>
      <c r="E55" s="1658"/>
    </row>
    <row r="56" spans="1:5">
      <c r="A56" s="3609"/>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58"/>
      <c r="E56" s="1658"/>
    </row>
    <row r="57" spans="1:5">
      <c r="A57" s="3609"/>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基准地价 (商业)</vt:lpstr>
      <vt:lpstr>基准地价</vt:lpstr>
      <vt:lpstr>剩余法-现房</vt:lpstr>
      <vt:lpstr>比较法-住宅、综合</vt:lpstr>
      <vt:lpstr>不动产收益法</vt:lpstr>
      <vt:lpstr>成本逼近法</vt:lpstr>
      <vt:lpstr>比较法-工业</vt:lpstr>
      <vt:lpstr>土地案例</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 (商业)'!Print_Area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2022-04-25T06:41:06Z</dcterms:modified>
</cp:coreProperties>
</file>