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表"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state="hidden" r:id="rId24"/>
    <sheet name="典型户型修正" sheetId="31" state="hidden" r:id="rId25"/>
    <sheet name="结果表商业" sheetId="82" state="hidden" r:id="rId26"/>
    <sheet name="比较法-商业" sheetId="33"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收益法 (元)" sheetId="67"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9"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结果表商业!$A$1:$I$127</definedName>
    <definedName name="_xlnm.Print_Area" localSheetId="22">收益法!$A$1:$F$43,收益法!$H$3:$M$29,收益法!$A$46:$F$71,收益法!$I$46:$N$65</definedName>
    <definedName name="_xlnm.Print_Area" localSheetId="40">'收益法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B14" i="74" l="1"/>
  <c r="M26" i="1"/>
  <c r="K26" i="1"/>
  <c r="K25" i="1"/>
  <c r="K24" i="1"/>
  <c r="C33" i="33" l="1"/>
  <c r="N6" i="1"/>
  <c r="N20" i="1"/>
  <c r="R20" i="6" l="1"/>
  <c r="R19" i="6"/>
  <c r="B21" i="1"/>
  <c r="E89" i="33"/>
  <c r="F89" i="33"/>
  <c r="G89" i="33" s="1"/>
  <c r="D89" i="33"/>
  <c r="A126" i="82"/>
  <c r="A122" i="82"/>
  <c r="A120" i="82"/>
  <c r="H111" i="82"/>
  <c r="D126" i="82" s="1"/>
  <c r="D127" i="82" s="1"/>
  <c r="E111" i="82"/>
  <c r="H112" i="82" s="1"/>
  <c r="E109" i="82"/>
  <c r="A124" i="82" s="1"/>
  <c r="E107" i="82"/>
  <c r="H106" i="82"/>
  <c r="H103" i="82" s="1"/>
  <c r="D120" i="82" s="1"/>
  <c r="H105" i="82"/>
  <c r="H104" i="82"/>
  <c r="D101" i="82"/>
  <c r="C101" i="82"/>
  <c r="D93" i="82"/>
  <c r="C91" i="82"/>
  <c r="E90" i="82"/>
  <c r="D89" i="82"/>
  <c r="C89" i="82" s="1"/>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L28" i="82"/>
  <c r="D27" i="82"/>
  <c r="C25" i="82"/>
  <c r="C24" i="82"/>
  <c r="D17" i="82"/>
  <c r="C17" i="82"/>
  <c r="L4" i="82"/>
  <c r="K4" i="82"/>
  <c r="H1" i="82"/>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25" i="31"/>
  <c r="T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25" i="31"/>
  <c r="A26" i="31"/>
  <c r="B26"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B25" i="31"/>
  <c r="A25" i="31"/>
  <c r="B24" i="31"/>
  <c r="A24" i="31"/>
  <c r="L28" i="9"/>
  <c r="B38" i="1"/>
  <c r="C37" i="34"/>
  <c r="F19" i="6"/>
  <c r="C34" i="34" s="1"/>
  <c r="AY3" i="3"/>
  <c r="D34" i="82"/>
  <c r="D35" i="82"/>
  <c r="C36" i="33" l="1"/>
  <c r="E36" i="33" s="1"/>
  <c r="G36" i="33" s="1"/>
  <c r="I36" i="33" s="1"/>
  <c r="E37" i="34"/>
  <c r="G37" i="34" s="1"/>
  <c r="I37" i="34" s="1"/>
  <c r="C18" i="82"/>
  <c r="D18" i="82" s="1"/>
  <c r="K120" i="82"/>
  <c r="D121" i="82"/>
  <c r="C92" i="82"/>
  <c r="C94" i="82"/>
  <c r="H109" i="82"/>
  <c r="E104" i="33"/>
  <c r="F104" i="33" s="1"/>
  <c r="G104" i="33" s="1"/>
  <c r="H104" i="33" s="1"/>
  <c r="D104" i="33"/>
  <c r="D124" i="82" l="1"/>
  <c r="D125" i="82" s="1"/>
  <c r="H110" i="82"/>
  <c r="M49" i="82"/>
  <c r="E122" i="80"/>
  <c r="E111" i="80"/>
  <c r="E123" i="80" s="1"/>
  <c r="L66" i="82" l="1"/>
  <c r="M66" i="82" s="1"/>
  <c r="L65" i="82"/>
  <c r="M65" i="82" s="1"/>
  <c r="L64" i="82"/>
  <c r="M64" i="82" s="1"/>
  <c r="L68" i="82"/>
  <c r="M68" i="82" s="1"/>
  <c r="L67" i="82"/>
  <c r="M67" i="82" s="1"/>
  <c r="L63" i="82"/>
  <c r="M63" i="82" s="1"/>
  <c r="M69" i="82" s="1"/>
  <c r="N69" i="82" s="1"/>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R134" i="31" s="1"/>
  <c r="C135" i="31"/>
  <c r="R135" i="31" s="1"/>
  <c r="C136" i="31"/>
  <c r="R136" i="31" s="1"/>
  <c r="C137" i="31"/>
  <c r="R137" i="31" s="1"/>
  <c r="C138" i="31"/>
  <c r="R138" i="31" s="1"/>
  <c r="C139" i="31"/>
  <c r="R139" i="31" s="1"/>
  <c r="C140" i="31"/>
  <c r="R140" i="31" s="1"/>
  <c r="C141" i="31"/>
  <c r="R141" i="31" s="1"/>
  <c r="C142" i="31"/>
  <c r="R142" i="31" s="1"/>
  <c r="C143" i="31"/>
  <c r="R143" i="31" s="1"/>
  <c r="C144" i="31"/>
  <c r="R144" i="31" s="1"/>
  <c r="C145" i="31"/>
  <c r="R145" i="31" s="1"/>
  <c r="C146" i="31"/>
  <c r="R146" i="31" s="1"/>
  <c r="C147" i="31"/>
  <c r="R147" i="31" s="1"/>
  <c r="C148" i="31"/>
  <c r="R148" i="31" s="1"/>
  <c r="C149" i="31"/>
  <c r="R149" i="31" s="1"/>
  <c r="C150" i="31"/>
  <c r="R150" i="31" s="1"/>
  <c r="C151" i="31"/>
  <c r="R151" i="31" s="1"/>
  <c r="C152" i="31"/>
  <c r="R152" i="31" s="1"/>
  <c r="C153" i="31"/>
  <c r="R153" i="31" s="1"/>
  <c r="C154" i="31"/>
  <c r="R154" i="31" s="1"/>
  <c r="C155" i="31"/>
  <c r="R155" i="31" s="1"/>
  <c r="C156" i="31"/>
  <c r="R156" i="31" s="1"/>
  <c r="C157" i="31"/>
  <c r="R157" i="31" s="1"/>
  <c r="C158" i="31"/>
  <c r="R158" i="31" s="1"/>
  <c r="C159" i="31"/>
  <c r="R159" i="31" s="1"/>
  <c r="C160" i="31"/>
  <c r="R160" i="31" s="1"/>
  <c r="C161" i="31"/>
  <c r="R161" i="31" s="1"/>
  <c r="C162" i="31"/>
  <c r="R162" i="31" s="1"/>
  <c r="C163" i="31"/>
  <c r="R163" i="31" s="1"/>
  <c r="C164" i="31"/>
  <c r="R164" i="31" s="1"/>
  <c r="C165" i="31"/>
  <c r="R165" i="31" s="1"/>
  <c r="C166" i="31"/>
  <c r="R166" i="31" s="1"/>
  <c r="C167" i="31"/>
  <c r="R167" i="31" s="1"/>
  <c r="C168" i="31"/>
  <c r="R168" i="31" s="1"/>
  <c r="C169" i="31"/>
  <c r="R169" i="31" s="1"/>
  <c r="C170" i="31"/>
  <c r="R170" i="31" s="1"/>
  <c r="C171" i="31"/>
  <c r="R171" i="31" s="1"/>
  <c r="C172" i="31"/>
  <c r="R172" i="31" s="1"/>
  <c r="C173" i="31"/>
  <c r="R173" i="31" s="1"/>
  <c r="C174" i="31"/>
  <c r="R174" i="31" s="1"/>
  <c r="C175" i="31"/>
  <c r="R175" i="31" s="1"/>
  <c r="C176" i="31"/>
  <c r="R176" i="31" s="1"/>
  <c r="C177" i="31"/>
  <c r="R177" i="31" s="1"/>
  <c r="C178" i="31"/>
  <c r="R178" i="31" s="1"/>
  <c r="C179" i="31"/>
  <c r="R179" i="31" s="1"/>
  <c r="C180" i="31"/>
  <c r="R180" i="31" s="1"/>
  <c r="C181" i="31"/>
  <c r="R181" i="31" s="1"/>
  <c r="C182" i="31"/>
  <c r="R182" i="31" s="1"/>
  <c r="C183" i="31"/>
  <c r="R183" i="31" s="1"/>
  <c r="C184" i="31"/>
  <c r="R184" i="31" s="1"/>
  <c r="C185" i="31"/>
  <c r="R185" i="31" s="1"/>
  <c r="C186" i="31"/>
  <c r="R186" i="31" s="1"/>
  <c r="C187" i="31"/>
  <c r="R187" i="31" s="1"/>
  <c r="C188" i="31"/>
  <c r="R188" i="31" s="1"/>
  <c r="C189" i="31"/>
  <c r="R189" i="31" s="1"/>
  <c r="C190" i="31"/>
  <c r="R190" i="31" s="1"/>
  <c r="C191" i="31"/>
  <c r="R191" i="31" s="1"/>
  <c r="C192" i="31"/>
  <c r="R192" i="31" s="1"/>
  <c r="C193" i="31"/>
  <c r="R193" i="31" s="1"/>
  <c r="C194" i="31"/>
  <c r="R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M18" i="82" s="1"/>
  <c r="B118" i="82"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506" i="31"/>
  <c r="S502" i="31"/>
  <c r="S498" i="31"/>
  <c r="S467" i="31"/>
  <c r="S466" i="31"/>
  <c r="S465" i="31"/>
  <c r="S464" i="31"/>
  <c r="S463" i="31"/>
  <c r="S462" i="31"/>
  <c r="S461" i="31"/>
  <c r="S460" i="31"/>
  <c r="S459" i="31"/>
  <c r="S458" i="31"/>
  <c r="S457" i="31"/>
  <c r="S456" i="31"/>
  <c r="S455" i="31"/>
  <c r="S454" i="31"/>
  <c r="S453" i="31"/>
  <c r="S452" i="31"/>
  <c r="S451" i="31"/>
  <c r="S45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J38" i="34" s="1"/>
  <c r="D112" i="34"/>
  <c r="E112" i="34"/>
  <c r="F112" i="34" s="1"/>
  <c r="F40" i="33"/>
  <c r="J41" i="33"/>
  <c r="D113" i="33"/>
  <c r="F37" i="33"/>
  <c r="S37" i="33" s="1"/>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F9" i="34"/>
  <c r="AA9" i="34" s="1"/>
  <c r="J8" i="34"/>
  <c r="AC8" i="34" s="1"/>
  <c r="H8" i="34"/>
  <c r="U8" i="34" s="1"/>
  <c r="F8" i="34"/>
  <c r="AA8" i="34" s="1"/>
  <c r="D121" i="33"/>
  <c r="E121" i="33"/>
  <c r="F109" i="33"/>
  <c r="E109" i="33"/>
  <c r="D109" i="33"/>
  <c r="C109" i="33"/>
  <c r="D91" i="33"/>
  <c r="E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23" i="34"/>
  <c r="U23" i="34" s="1"/>
  <c r="J23" i="34"/>
  <c r="W23" i="34" s="1"/>
  <c r="F19" i="34"/>
  <c r="F15" i="34"/>
  <c r="S15" i="34" s="1"/>
  <c r="J15" i="34"/>
  <c r="AC15" i="34" s="1"/>
  <c r="H15" i="34"/>
  <c r="AB15" i="34" s="1"/>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AA15" i="34"/>
  <c r="F113" i="33"/>
  <c r="G113" i="33" s="1"/>
  <c r="H113" i="33" s="1"/>
  <c r="I113" i="33" s="1"/>
  <c r="J113" i="33" s="1"/>
  <c r="K113" i="33" s="1"/>
  <c r="L113" i="33" s="1"/>
  <c r="M113" i="33"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G125" i="33"/>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U39" i="34"/>
  <c r="U28" i="34"/>
  <c r="AA29" i="34"/>
  <c r="S23" i="34"/>
  <c r="S13" i="34"/>
  <c r="H10" i="34"/>
  <c r="AB10" i="34" s="1"/>
  <c r="F11" i="34"/>
  <c r="S11" i="34" s="1"/>
  <c r="F70" i="34"/>
  <c r="S32" i="33"/>
  <c r="AA29" i="33"/>
  <c r="AB29" i="33"/>
  <c r="H41" i="33"/>
  <c r="U41" i="33" s="1"/>
  <c r="F121" i="33"/>
  <c r="G121" i="33"/>
  <c r="H121" i="33"/>
  <c r="I121" i="33"/>
  <c r="J121" i="33"/>
  <c r="K121" i="33"/>
  <c r="L121" i="33"/>
  <c r="M121" i="33"/>
  <c r="J35" i="33"/>
  <c r="W35" i="33" s="1"/>
  <c r="AA37" i="33"/>
  <c r="J32" i="33"/>
  <c r="S46" i="33"/>
  <c r="S43" i="33"/>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7" i="34"/>
  <c r="AB36" i="34"/>
  <c r="AC14" i="34"/>
  <c r="AC32" i="34"/>
  <c r="AC29" i="34"/>
  <c r="W29" i="34"/>
  <c r="W46" i="34"/>
  <c r="AC46" i="34"/>
  <c r="S32" i="34"/>
  <c r="AA32" i="34"/>
  <c r="U30" i="34"/>
  <c r="AB30" i="34"/>
  <c r="U38" i="34"/>
  <c r="AA19" i="34"/>
  <c r="S19" i="34"/>
  <c r="AA36" i="34"/>
  <c r="S36" i="34"/>
  <c r="S8" i="34"/>
  <c r="AB9" i="34"/>
  <c r="U9" i="34"/>
  <c r="S46" i="34"/>
  <c r="AA46" i="34"/>
  <c r="U32" i="34"/>
  <c r="AB32" i="34"/>
  <c r="U14" i="34"/>
  <c r="AB14" i="34"/>
  <c r="AC35" i="34"/>
  <c r="W35" i="34"/>
  <c r="U12" i="34"/>
  <c r="AB12" i="34"/>
  <c r="AB28" i="33"/>
  <c r="W46" i="33"/>
  <c r="U38" i="33"/>
  <c r="U44" i="33"/>
  <c r="AB44" i="33"/>
  <c r="S30" i="33"/>
  <c r="AA30" i="33"/>
  <c r="AC14" i="33"/>
  <c r="W14" i="33"/>
  <c r="AC30" i="33"/>
  <c r="W30" i="33"/>
  <c r="S31" i="33"/>
  <c r="AA31" i="33"/>
  <c r="W13" i="33"/>
  <c r="AC13" i="33"/>
  <c r="U15" i="33"/>
  <c r="S11"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AC32" i="33"/>
  <c r="W32" i="33"/>
  <c r="J27" i="33"/>
  <c r="AC27" i="33" s="1"/>
  <c r="F23" i="33"/>
  <c r="S23" i="33" s="1"/>
  <c r="AC23" i="33"/>
  <c r="H19" i="33"/>
  <c r="AB19" i="33" s="1"/>
  <c r="H17" i="33"/>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M9" i="15"/>
  <c r="M29" i="15"/>
  <c r="D3" i="73"/>
  <c r="D6" i="73"/>
  <c r="M8" i="67"/>
  <c r="F36" i="67"/>
  <c r="F6" i="73"/>
  <c r="F7" i="73"/>
  <c r="F13" i="67"/>
  <c r="B9" i="76"/>
  <c r="L47" i="67"/>
  <c r="F37" i="67"/>
  <c r="F6" i="15"/>
  <c r="F26" i="15"/>
  <c r="B7" i="76"/>
  <c r="F16" i="15"/>
  <c r="F38" i="67"/>
  <c r="M29" i="67"/>
  <c r="F42" i="15"/>
  <c r="M23" i="15"/>
  <c r="C76" i="15"/>
  <c r="F3" i="73"/>
  <c r="M26" i="15"/>
  <c r="E8" i="76"/>
  <c r="M6" i="67"/>
  <c r="AO13" i="1"/>
  <c r="C76" i="67"/>
  <c r="F42" i="67"/>
  <c r="F9" i="15"/>
  <c r="F38" i="15"/>
  <c r="F9" i="67"/>
  <c r="D5" i="73"/>
  <c r="B8" i="76"/>
  <c r="L47" i="15"/>
  <c r="M22" i="67"/>
  <c r="E13" i="76"/>
  <c r="E7" i="76"/>
  <c r="M6" i="15"/>
  <c r="M28" i="15"/>
  <c r="F5" i="73"/>
  <c r="F43" i="15"/>
  <c r="F13" i="15"/>
  <c r="M8" i="15"/>
  <c r="F40" i="67"/>
  <c r="F37" i="15"/>
  <c r="J15" i="15"/>
  <c r="E11" i="76"/>
  <c r="M23" i="67"/>
  <c r="D7" i="73"/>
  <c r="E10" i="76"/>
  <c r="F8" i="15"/>
  <c r="F26" i="67"/>
  <c r="B13" i="76"/>
  <c r="F6" i="67"/>
  <c r="E9" i="76"/>
  <c r="B11" i="76"/>
  <c r="F4" i="73"/>
  <c r="F20" i="31"/>
  <c r="B10" i="76"/>
  <c r="L48" i="15"/>
  <c r="M26" i="67"/>
  <c r="M22" i="15"/>
  <c r="F36" i="15"/>
  <c r="E2" i="68"/>
  <c r="F16" i="67"/>
  <c r="M9" i="67"/>
  <c r="M24" i="15"/>
  <c r="E2" i="69"/>
  <c r="M28" i="67"/>
  <c r="M24" i="67"/>
  <c r="E12" i="76"/>
  <c r="F40" i="15"/>
  <c r="D4" i="73"/>
  <c r="J15" i="67"/>
  <c r="B12" i="76"/>
  <c r="F43" i="67"/>
  <c r="F6" i="1" l="1"/>
  <c r="C51" i="10"/>
  <c r="A13" i="51" s="1"/>
  <c r="B11" i="72" s="1"/>
  <c r="A2" i="82"/>
  <c r="A118" i="82"/>
  <c r="S28" i="33"/>
  <c r="B73" i="43"/>
  <c r="B75" i="43"/>
  <c r="G7" i="1"/>
  <c r="C77" i="82"/>
  <c r="C74" i="82" s="1"/>
  <c r="C24" i="12"/>
  <c r="M47" i="82"/>
  <c r="S42" i="33"/>
  <c r="F34" i="68"/>
  <c r="C36" i="68" s="1"/>
  <c r="H27" i="33"/>
  <c r="U27" i="33" s="1"/>
  <c r="AB26" i="33"/>
  <c r="S15" i="33"/>
  <c r="U39" i="33"/>
  <c r="U43" i="33"/>
  <c r="W42" i="33"/>
  <c r="F36" i="33"/>
  <c r="J36" i="33"/>
  <c r="W36" i="33" s="1"/>
  <c r="G111" i="33"/>
  <c r="H111" i="33" s="1"/>
  <c r="I111" i="33" s="1"/>
  <c r="J111" i="33" s="1"/>
  <c r="K111" i="33" s="1"/>
  <c r="L111" i="33" s="1"/>
  <c r="M111" i="33" s="1"/>
  <c r="H36" i="33"/>
  <c r="U36" i="33" s="1"/>
  <c r="AA34" i="33"/>
  <c r="F25" i="33"/>
  <c r="S25" i="33" s="1"/>
  <c r="J25" i="33"/>
  <c r="W25" i="33" s="1"/>
  <c r="H25" i="33"/>
  <c r="U25" i="33" s="1"/>
  <c r="G87" i="33"/>
  <c r="H87" i="33" s="1"/>
  <c r="I87" i="33" s="1"/>
  <c r="J87" i="33" s="1"/>
  <c r="K87" i="33" s="1"/>
  <c r="L87" i="33" s="1"/>
  <c r="M87" i="33" s="1"/>
  <c r="F27" i="33"/>
  <c r="F91" i="33"/>
  <c r="G91" i="33" s="1"/>
  <c r="H91" i="33" s="1"/>
  <c r="I91" i="33" s="1"/>
  <c r="J91" i="33" s="1"/>
  <c r="K91" i="33" s="1"/>
  <c r="L91" i="33" s="1"/>
  <c r="M91" i="33" s="1"/>
  <c r="S39" i="33"/>
  <c r="AB34" i="33"/>
  <c r="U40" i="33"/>
  <c r="S41" i="33"/>
  <c r="W43" i="33"/>
  <c r="AB23" i="33"/>
  <c r="AA23" i="33"/>
  <c r="W21" i="33"/>
  <c r="U19" i="33"/>
  <c r="AA19" i="33"/>
  <c r="AA17" i="33"/>
  <c r="W8" i="33"/>
  <c r="F43" i="34"/>
  <c r="AA43" i="34" s="1"/>
  <c r="J43" i="34"/>
  <c r="H43" i="34"/>
  <c r="AA45" i="34"/>
  <c r="M7" i="1"/>
  <c r="O7" i="1" s="1"/>
  <c r="P7" i="1" s="1"/>
  <c r="AP6" i="1"/>
  <c r="AH6" i="1"/>
  <c r="AB45" i="34"/>
  <c r="H40" i="34"/>
  <c r="F40" i="34"/>
  <c r="S40" i="34" s="1"/>
  <c r="F118" i="34"/>
  <c r="G118" i="34" s="1"/>
  <c r="J40" i="34"/>
  <c r="W38" i="34"/>
  <c r="AC38" i="34"/>
  <c r="F38" i="34"/>
  <c r="F37" i="34"/>
  <c r="H37" i="34"/>
  <c r="U37" i="34" s="1"/>
  <c r="G112" i="34"/>
  <c r="H112" i="34" s="1"/>
  <c r="I112" i="34" s="1"/>
  <c r="J112" i="34" s="1"/>
  <c r="K112" i="34" s="1"/>
  <c r="L112" i="34" s="1"/>
  <c r="M112" i="34" s="1"/>
  <c r="J37" i="34"/>
  <c r="AC37" i="34" s="1"/>
  <c r="U44" i="34"/>
  <c r="D68" i="9"/>
  <c r="M18" i="15"/>
  <c r="F30" i="69"/>
  <c r="F48" i="69" s="1"/>
  <c r="M18" i="67"/>
  <c r="F31" i="12"/>
  <c r="C31" i="12" s="1"/>
  <c r="F30" i="11"/>
  <c r="C48" i="11" s="1"/>
  <c r="AA33" i="34"/>
  <c r="W27" i="33"/>
  <c r="S26" i="33"/>
  <c r="AC25" i="33"/>
  <c r="U32" i="33"/>
  <c r="AC34" i="33"/>
  <c r="S33" i="33"/>
  <c r="W33" i="33"/>
  <c r="U42" i="33"/>
  <c r="U37" i="33"/>
  <c r="AC37" i="33"/>
  <c r="S38" i="33"/>
  <c r="W38" i="33"/>
  <c r="AA35" i="33"/>
  <c r="AC35" i="33"/>
  <c r="U35" i="33"/>
  <c r="AB41" i="34"/>
  <c r="AA41" i="34"/>
  <c r="AA40" i="34"/>
  <c r="AC39" i="34"/>
  <c r="AC36" i="34"/>
  <c r="S35" i="34"/>
  <c r="W33" i="34"/>
  <c r="F90" i="34"/>
  <c r="G90" i="34" s="1"/>
  <c r="H90" i="34" s="1"/>
  <c r="I90" i="34" s="1"/>
  <c r="J90" i="34" s="1"/>
  <c r="K90" i="34" s="1"/>
  <c r="L90" i="34" s="1"/>
  <c r="M90" i="34" s="1"/>
  <c r="J27" i="34"/>
  <c r="H27" i="34"/>
  <c r="F27" i="34"/>
  <c r="J25" i="34"/>
  <c r="F88" i="34"/>
  <c r="G88" i="34" s="1"/>
  <c r="H88" i="34" s="1"/>
  <c r="I88" i="34" s="1"/>
  <c r="J88" i="34" s="1"/>
  <c r="K88" i="34" s="1"/>
  <c r="L88" i="34" s="1"/>
  <c r="M88" i="34" s="1"/>
  <c r="F25" i="34"/>
  <c r="S25" i="34" s="1"/>
  <c r="H25" i="34"/>
  <c r="AB25" i="34" s="1"/>
  <c r="U25" i="34"/>
  <c r="AC23" i="34"/>
  <c r="AB23" i="34"/>
  <c r="U21" i="34"/>
  <c r="S21" i="34"/>
  <c r="U19" i="34"/>
  <c r="F17" i="34"/>
  <c r="AA17" i="34" s="1"/>
  <c r="H17" i="34"/>
  <c r="AC17" i="34"/>
  <c r="U15" i="34"/>
  <c r="AC9" i="34"/>
  <c r="W9" i="34"/>
  <c r="C15" i="39"/>
  <c r="C29" i="39"/>
  <c r="B68" i="43"/>
  <c r="B77" i="43"/>
  <c r="BB5" i="3"/>
  <c r="E14" i="6" s="1"/>
  <c r="BA5" i="3"/>
  <c r="H5" i="3"/>
  <c r="G13" i="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F51" i="15"/>
  <c r="F71" i="15"/>
  <c r="F66" i="67"/>
  <c r="L59" i="15"/>
  <c r="N59" i="15"/>
  <c r="L58" i="15"/>
  <c r="M59" i="15"/>
  <c r="F66" i="15"/>
  <c r="Q71" i="67"/>
  <c r="F64" i="15"/>
  <c r="C27" i="67"/>
  <c r="F71" i="67"/>
  <c r="C27" i="15"/>
  <c r="F65" i="15"/>
  <c r="N59" i="67"/>
  <c r="L59" i="67"/>
  <c r="M59" i="67"/>
  <c r="B13" i="70"/>
  <c r="F68" i="67"/>
  <c r="F64" i="67"/>
  <c r="F68" i="15"/>
  <c r="D9" i="69"/>
  <c r="C36" i="69"/>
  <c r="D9" i="68"/>
  <c r="L48" i="67"/>
  <c r="G1" i="73"/>
  <c r="F7" i="15"/>
  <c r="F7" i="67"/>
  <c r="C16" i="67"/>
  <c r="C16" i="15"/>
  <c r="J53" i="67" l="1"/>
  <c r="J57" i="67"/>
  <c r="J55" i="67" s="1"/>
  <c r="J58" i="67" s="1"/>
  <c r="Q50" i="67" s="1"/>
  <c r="I54" i="67"/>
  <c r="L56" i="67"/>
  <c r="L58" i="67"/>
  <c r="Q73" i="67" s="1"/>
  <c r="G6" i="1"/>
  <c r="G16" i="1" s="1"/>
  <c r="F10" i="39" s="1"/>
  <c r="F31" i="67"/>
  <c r="F31" i="15"/>
  <c r="AC36" i="33"/>
  <c r="AB36" i="33"/>
  <c r="M7" i="15"/>
  <c r="J6" i="15" s="1"/>
  <c r="J18" i="15" s="1"/>
  <c r="C6" i="15"/>
  <c r="C32" i="15" s="1"/>
  <c r="F50" i="15"/>
  <c r="C49" i="15" s="1"/>
  <c r="F3" i="35"/>
  <c r="J7" i="37"/>
  <c r="H7" i="36"/>
  <c r="G26" i="43"/>
  <c r="S43" i="34"/>
  <c r="AB27" i="33"/>
  <c r="AA36" i="33"/>
  <c r="S36" i="33"/>
  <c r="AA25" i="33"/>
  <c r="AB25" i="33"/>
  <c r="AA27" i="33"/>
  <c r="S27" i="33"/>
  <c r="W43" i="34"/>
  <c r="AC43" i="34"/>
  <c r="AB43" i="34"/>
  <c r="U43" i="34"/>
  <c r="F50" i="67"/>
  <c r="C49" i="67" s="1"/>
  <c r="C6" i="67"/>
  <c r="C32" i="67" s="1"/>
  <c r="M7" i="67"/>
  <c r="J6" i="67" s="1"/>
  <c r="J18" i="67" s="1"/>
  <c r="E63" i="39"/>
  <c r="E59" i="40"/>
  <c r="AC40" i="34"/>
  <c r="W40" i="34"/>
  <c r="U40" i="34"/>
  <c r="AB40" i="34"/>
  <c r="S38" i="34"/>
  <c r="AA38" i="34"/>
  <c r="AA37" i="34"/>
  <c r="S37" i="34"/>
  <c r="C30" i="69"/>
  <c r="N94" i="46"/>
  <c r="E26" i="43"/>
  <c r="D26" i="43" s="1"/>
  <c r="C25" i="43" s="1"/>
  <c r="J26" i="43"/>
  <c r="P6" i="1"/>
  <c r="C13" i="12" s="1"/>
  <c r="K16" i="1"/>
  <c r="AA27" i="34"/>
  <c r="S27" i="34"/>
  <c r="AC27" i="34"/>
  <c r="W27" i="34"/>
  <c r="AB27" i="34"/>
  <c r="U27" i="34"/>
  <c r="AA25" i="34"/>
  <c r="AC25" i="34"/>
  <c r="W25" i="34"/>
  <c r="S17" i="34"/>
  <c r="U17" i="34"/>
  <c r="AB17" i="34"/>
  <c r="D18" i="53"/>
  <c r="B35" i="72" s="1"/>
  <c r="C7" i="74"/>
  <c r="G5" i="3"/>
  <c r="B3" i="3" s="1"/>
  <c r="E13" i="3"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Q60" i="67"/>
  <c r="M11" i="67"/>
  <c r="J10" i="67" s="1"/>
  <c r="F11" i="15"/>
  <c r="M11" i="15"/>
  <c r="J10" i="15" s="1"/>
  <c r="F11" i="67"/>
  <c r="F1" i="15"/>
  <c r="Q52" i="15"/>
  <c r="F1" i="67"/>
  <c r="Q52" i="67"/>
  <c r="Q60" i="15"/>
  <c r="Q73" i="15"/>
  <c r="Q61" i="67"/>
  <c r="Q74" i="67"/>
  <c r="Q74" i="15"/>
  <c r="Q61" i="15"/>
  <c r="AE11" i="1"/>
  <c r="AE9" i="1"/>
  <c r="F27" i="68"/>
  <c r="AE8" i="1"/>
  <c r="AE12" i="1"/>
  <c r="AE10" i="1"/>
  <c r="AE6" i="1"/>
  <c r="F41" i="67"/>
  <c r="M17" i="67" l="1"/>
  <c r="F59" i="15"/>
  <c r="M17" i="15"/>
  <c r="J5" i="15"/>
  <c r="J24" i="15" s="1"/>
  <c r="L36" i="43"/>
  <c r="L37" i="43" s="1"/>
  <c r="J5" i="67"/>
  <c r="J24" i="67" s="1"/>
  <c r="T49" i="34"/>
  <c r="G49" i="34" s="1"/>
  <c r="G53" i="34" s="1"/>
  <c r="H53" i="34" s="1"/>
  <c r="AY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212" i="3"/>
  <c r="E442" i="3"/>
  <c r="E541" i="3"/>
  <c r="E449" i="3"/>
  <c r="AP6" i="3"/>
  <c r="E517" i="3"/>
  <c r="E491" i="3"/>
  <c r="E479" i="3"/>
  <c r="E56" i="3"/>
  <c r="E152" i="3"/>
  <c r="E192" i="3"/>
  <c r="E241" i="3"/>
  <c r="E349" i="3"/>
  <c r="E544" i="3"/>
  <c r="E59" i="3"/>
  <c r="E484" i="3"/>
  <c r="E412" i="3"/>
  <c r="E18" i="3"/>
  <c r="E96" i="3"/>
  <c r="E100" i="3"/>
  <c r="E170" i="3"/>
  <c r="E137" i="3"/>
  <c r="E194" i="3"/>
  <c r="E234" i="3"/>
  <c r="E235" i="3"/>
  <c r="E324" i="3"/>
  <c r="E383" i="3"/>
  <c r="E342" i="3"/>
  <c r="E522" i="3"/>
  <c r="E52" i="3"/>
  <c r="E36" i="3"/>
  <c r="E112" i="3"/>
  <c r="E206" i="3"/>
  <c r="E232" i="3"/>
  <c r="E251" i="3"/>
  <c r="E370" i="3"/>
  <c r="AF6" i="3"/>
  <c r="E102" i="3"/>
  <c r="E80" i="3"/>
  <c r="E176"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199" i="3"/>
  <c r="E286" i="3"/>
  <c r="E575" i="3"/>
  <c r="E499" i="3"/>
  <c r="R6" i="3"/>
  <c r="E502" i="3"/>
  <c r="E466" i="3"/>
  <c r="E430" i="3"/>
  <c r="E255" i="3"/>
  <c r="I3" i="6"/>
  <c r="E554" i="3"/>
  <c r="E435" i="3"/>
  <c r="E417" i="3"/>
  <c r="E37" i="3"/>
  <c r="E95" i="3"/>
  <c r="E132" i="3"/>
  <c r="E258" i="3"/>
  <c r="E292" i="3"/>
  <c r="E363" i="3"/>
  <c r="E389" i="3"/>
  <c r="E76" i="3"/>
  <c r="E409" i="3"/>
  <c r="E15" i="3"/>
  <c r="E455" i="3"/>
  <c r="E79" i="3"/>
  <c r="E38" i="3"/>
  <c r="E78" i="3"/>
  <c r="E129" i="3"/>
  <c r="E190" i="3"/>
  <c r="E174" i="3"/>
  <c r="E220" i="3"/>
  <c r="E275" i="3"/>
  <c r="E219" i="3"/>
  <c r="E299" i="3"/>
  <c r="E339" i="3"/>
  <c r="E325" i="3"/>
  <c r="E392" i="3"/>
  <c r="AQ6" i="3"/>
  <c r="E35" i="3"/>
  <c r="E86" i="3"/>
  <c r="E34" i="3"/>
  <c r="E49" i="3"/>
  <c r="E123" i="3"/>
  <c r="E147" i="3"/>
  <c r="E289" i="3"/>
  <c r="E340" i="3"/>
  <c r="E364" i="3"/>
  <c r="E50" i="3"/>
  <c r="E20" i="3"/>
  <c r="E62"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7" i="1"/>
  <c r="M27" i="67"/>
  <c r="M27" i="15"/>
  <c r="F41" i="15"/>
  <c r="Q36" i="43" l="1"/>
  <c r="M36" i="43"/>
  <c r="P36" i="43"/>
  <c r="O36" i="43"/>
  <c r="N36" i="43"/>
  <c r="G54" i="34"/>
  <c r="H54" i="34" s="1"/>
  <c r="E49" i="34"/>
  <c r="E54" i="34" s="1"/>
  <c r="F54" i="34" s="1"/>
  <c r="D116" i="43"/>
  <c r="AC6" i="3"/>
  <c r="H6" i="3"/>
  <c r="E6" i="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S20" i="6" l="1"/>
  <c r="L18" i="82"/>
  <c r="E7" i="70"/>
  <c r="M19" i="82"/>
  <c r="C118" i="82" s="1"/>
  <c r="H21" i="6"/>
  <c r="H25" i="6"/>
  <c r="I54" i="34"/>
  <c r="J54" i="34" s="1"/>
  <c r="E53" i="34"/>
  <c r="F53" i="34" s="1"/>
  <c r="C18" i="67"/>
  <c r="C15" i="67"/>
  <c r="H23" i="6"/>
  <c r="C30" i="43"/>
  <c r="B2" i="43" s="1"/>
  <c r="B3" i="43" s="1"/>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L19" i="82"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82"/>
  <c r="D19" i="9"/>
  <c r="D2" i="36"/>
  <c r="D2" i="35"/>
  <c r="L51" i="15"/>
  <c r="D19" i="82"/>
  <c r="D2" i="37"/>
  <c r="D2" i="34"/>
  <c r="C21" i="82" l="1"/>
  <c r="C102" i="82"/>
  <c r="B3" i="33"/>
  <c r="D102" i="82"/>
  <c r="D21" i="82"/>
  <c r="D22" i="82"/>
  <c r="G19" i="82"/>
  <c r="G21" i="82" s="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AO9" i="1"/>
  <c r="D35" i="9"/>
  <c r="D20" i="9"/>
  <c r="AO12" i="1"/>
  <c r="AO8" i="1"/>
  <c r="AO11" i="1"/>
  <c r="AO10" i="1"/>
  <c r="D20" i="82"/>
  <c r="C19" i="9"/>
  <c r="AO7" i="1"/>
  <c r="D34" i="9"/>
  <c r="C20" i="82"/>
  <c r="L46" i="15" l="1"/>
  <c r="B2" i="15" s="1"/>
  <c r="B3" i="15" s="1"/>
  <c r="C103" i="82"/>
  <c r="D103" i="82"/>
  <c r="G20" i="82"/>
  <c r="C102" i="9"/>
  <c r="C21" i="9"/>
  <c r="D22" i="9"/>
  <c r="G19" i="9"/>
  <c r="B3" i="34"/>
  <c r="D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32" i="82"/>
  <c r="C35" i="82" s="1"/>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130" i="31" s="1"/>
  <c r="S130" i="31" s="1"/>
  <c r="R27" i="31"/>
  <c r="S27" i="31" s="1"/>
  <c r="C32" i="9"/>
  <c r="C35" i="9" s="1"/>
  <c r="C34" i="9" s="1"/>
  <c r="C42" i="40"/>
  <c r="C43" i="40"/>
  <c r="E47" i="40"/>
  <c r="F47" i="40" s="1"/>
  <c r="E46" i="40"/>
  <c r="F46" i="40" s="1"/>
  <c r="I47" i="40"/>
  <c r="J47" i="40" s="1"/>
  <c r="R113" i="31" l="1"/>
  <c r="S113" i="31" s="1"/>
  <c r="R49" i="31"/>
  <c r="S49" i="31" s="1"/>
  <c r="R68" i="31"/>
  <c r="S68" i="31" s="1"/>
  <c r="R131" i="31"/>
  <c r="S131" i="31" s="1"/>
  <c r="R81" i="31"/>
  <c r="S81" i="31" s="1"/>
  <c r="R36" i="31"/>
  <c r="S36" i="31" s="1"/>
  <c r="R100" i="31"/>
  <c r="S100" i="31" s="1"/>
  <c r="R67" i="31"/>
  <c r="S67" i="31" s="1"/>
  <c r="R86" i="31"/>
  <c r="S86" i="31" s="1"/>
  <c r="R33" i="31"/>
  <c r="S33" i="31" s="1"/>
  <c r="R65" i="31"/>
  <c r="S65" i="31" s="1"/>
  <c r="R97" i="31"/>
  <c r="S97" i="31" s="1"/>
  <c r="R129" i="31"/>
  <c r="S129" i="31" s="1"/>
  <c r="R52" i="31"/>
  <c r="S52" i="31" s="1"/>
  <c r="R84" i="31"/>
  <c r="S84" i="31" s="1"/>
  <c r="R128" i="31"/>
  <c r="S128" i="31" s="1"/>
  <c r="R35" i="31"/>
  <c r="S35" i="31" s="1"/>
  <c r="R99" i="31"/>
  <c r="S99" i="31" s="1"/>
  <c r="R54" i="31"/>
  <c r="S54" i="31" s="1"/>
  <c r="R118" i="31"/>
  <c r="S118" i="31" s="1"/>
  <c r="R25" i="31"/>
  <c r="S25" i="31" s="1"/>
  <c r="R41" i="31"/>
  <c r="S41" i="31" s="1"/>
  <c r="R57" i="31"/>
  <c r="S57" i="31" s="1"/>
  <c r="R73" i="31"/>
  <c r="S73" i="31" s="1"/>
  <c r="R89" i="31"/>
  <c r="S89" i="31" s="1"/>
  <c r="R105" i="31"/>
  <c r="S105" i="31" s="1"/>
  <c r="R121" i="31"/>
  <c r="S121" i="31" s="1"/>
  <c r="R28" i="31"/>
  <c r="S28" i="31" s="1"/>
  <c r="R44" i="31"/>
  <c r="S44" i="31" s="1"/>
  <c r="R60" i="31"/>
  <c r="S60" i="31" s="1"/>
  <c r="R76" i="31"/>
  <c r="S76" i="31" s="1"/>
  <c r="R92" i="31"/>
  <c r="S92" i="31" s="1"/>
  <c r="R112" i="31"/>
  <c r="S112" i="31" s="1"/>
  <c r="R51" i="31"/>
  <c r="S51" i="31" s="1"/>
  <c r="R83" i="31"/>
  <c r="S83" i="31" s="1"/>
  <c r="R115" i="31"/>
  <c r="S115" i="31" s="1"/>
  <c r="R38" i="31"/>
  <c r="S38" i="31" s="1"/>
  <c r="R70" i="31"/>
  <c r="S70" i="31" s="1"/>
  <c r="R102" i="31"/>
  <c r="S102" i="31" s="1"/>
  <c r="S24" i="31"/>
  <c r="R29" i="31"/>
  <c r="S29" i="31" s="1"/>
  <c r="R37" i="31"/>
  <c r="S37" i="31" s="1"/>
  <c r="R45" i="31"/>
  <c r="S45" i="31" s="1"/>
  <c r="R53" i="31"/>
  <c r="S53" i="31" s="1"/>
  <c r="R61" i="31"/>
  <c r="S61" i="31" s="1"/>
  <c r="R69" i="31"/>
  <c r="S69" i="31" s="1"/>
  <c r="R77" i="31"/>
  <c r="S77" i="31" s="1"/>
  <c r="R85" i="31"/>
  <c r="S85" i="31" s="1"/>
  <c r="R93" i="31"/>
  <c r="S93" i="31" s="1"/>
  <c r="R101" i="31"/>
  <c r="S101" i="31" s="1"/>
  <c r="R109" i="31"/>
  <c r="S109" i="31" s="1"/>
  <c r="R117" i="31"/>
  <c r="S117" i="31" s="1"/>
  <c r="R125" i="31"/>
  <c r="S125" i="31" s="1"/>
  <c r="R133" i="31"/>
  <c r="S133" i="31" s="1"/>
  <c r="R32" i="31"/>
  <c r="S32" i="31" s="1"/>
  <c r="R40" i="31"/>
  <c r="S40" i="31" s="1"/>
  <c r="R48" i="31"/>
  <c r="S48" i="31" s="1"/>
  <c r="R56" i="31"/>
  <c r="S56" i="31" s="1"/>
  <c r="R64" i="31"/>
  <c r="S64" i="31" s="1"/>
  <c r="R72" i="31"/>
  <c r="S72" i="31" s="1"/>
  <c r="R80" i="31"/>
  <c r="S80" i="31" s="1"/>
  <c r="R88" i="31"/>
  <c r="S88" i="31" s="1"/>
  <c r="R96" i="31"/>
  <c r="S96" i="31" s="1"/>
  <c r="R104" i="31"/>
  <c r="S104" i="31" s="1"/>
  <c r="R120" i="31"/>
  <c r="S120" i="31" s="1"/>
  <c r="R43" i="31"/>
  <c r="S43" i="31" s="1"/>
  <c r="R59" i="31"/>
  <c r="S59" i="31" s="1"/>
  <c r="R75" i="31"/>
  <c r="S75" i="31" s="1"/>
  <c r="R91" i="31"/>
  <c r="S91" i="31" s="1"/>
  <c r="R107" i="31"/>
  <c r="S107" i="31" s="1"/>
  <c r="R123" i="31"/>
  <c r="S123" i="31" s="1"/>
  <c r="R30" i="31"/>
  <c r="S30" i="31" s="1"/>
  <c r="R46" i="31"/>
  <c r="S46" i="31" s="1"/>
  <c r="R62" i="31"/>
  <c r="S62" i="31" s="1"/>
  <c r="R78" i="31"/>
  <c r="S78" i="31" s="1"/>
  <c r="R94" i="31"/>
  <c r="S94" i="31" s="1"/>
  <c r="R110" i="31"/>
  <c r="S110" i="31" s="1"/>
  <c r="R126" i="31"/>
  <c r="S126" i="31" s="1"/>
  <c r="R108" i="31"/>
  <c r="S108" i="31" s="1"/>
  <c r="R116" i="31"/>
  <c r="S116" i="31" s="1"/>
  <c r="R124" i="31"/>
  <c r="S124" i="31" s="1"/>
  <c r="R132" i="31"/>
  <c r="S132" i="31" s="1"/>
  <c r="R31" i="31"/>
  <c r="S31" i="31" s="1"/>
  <c r="R39" i="31"/>
  <c r="S39" i="31" s="1"/>
  <c r="R47" i="31"/>
  <c r="S47" i="31" s="1"/>
  <c r="R55" i="31"/>
  <c r="S55" i="31" s="1"/>
  <c r="R63" i="31"/>
  <c r="S63" i="31" s="1"/>
  <c r="R71" i="31"/>
  <c r="S71" i="31" s="1"/>
  <c r="R79" i="31"/>
  <c r="S79" i="31" s="1"/>
  <c r="R87" i="31"/>
  <c r="S87" i="31" s="1"/>
  <c r="R95" i="31"/>
  <c r="S95" i="31" s="1"/>
  <c r="R103" i="31"/>
  <c r="S103" i="31" s="1"/>
  <c r="R111" i="31"/>
  <c r="S111" i="31" s="1"/>
  <c r="R119" i="31"/>
  <c r="S119" i="31" s="1"/>
  <c r="R127" i="31"/>
  <c r="S127" i="31" s="1"/>
  <c r="R26" i="31"/>
  <c r="S26" i="31" s="1"/>
  <c r="R34" i="31"/>
  <c r="S34" i="31" s="1"/>
  <c r="R42" i="31"/>
  <c r="S42" i="31" s="1"/>
  <c r="R50" i="31"/>
  <c r="S50" i="31" s="1"/>
  <c r="R58" i="31"/>
  <c r="S58" i="31" s="1"/>
  <c r="R66" i="31"/>
  <c r="S66" i="31" s="1"/>
  <c r="R74" i="31"/>
  <c r="S74" i="31" s="1"/>
  <c r="R82" i="31"/>
  <c r="S82" i="31" s="1"/>
  <c r="R90" i="31"/>
  <c r="S90" i="31" s="1"/>
  <c r="R98" i="31"/>
  <c r="S98" i="31" s="1"/>
  <c r="R106" i="31"/>
  <c r="S106" i="31" s="1"/>
  <c r="R114" i="31"/>
  <c r="S114" i="31" s="1"/>
  <c r="R122" i="31"/>
  <c r="S122"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B20" i="31" s="1"/>
  <c r="E15" i="74" l="1"/>
  <c r="F15" i="74"/>
  <c r="R22" i="31"/>
  <c r="B21" i="31"/>
  <c r="G14" i="74"/>
  <c r="B6" i="74" s="1"/>
  <c r="D6" i="74" s="1"/>
  <c r="F14" i="74" l="1"/>
  <c r="E14" i="74"/>
  <c r="B5" i="74"/>
  <c r="L4" i="74" s="1"/>
  <c r="D5" i="74" l="1"/>
  <c r="D118" i="9"/>
  <c r="D4" i="52" s="1"/>
  <c r="B47" i="72" s="1"/>
  <c r="F118" i="9"/>
  <c r="G118" i="9" s="1"/>
  <c r="G4" i="52" s="1"/>
  <c r="B52" i="72" s="1"/>
  <c r="H118" i="9"/>
  <c r="H4" i="52" l="1"/>
  <c r="C104" i="9"/>
  <c r="H119" i="9"/>
  <c r="H5" i="52" s="1"/>
  <c r="H101" i="9"/>
  <c r="I118" i="9"/>
  <c r="F4" i="52"/>
  <c r="B51" i="72" s="1"/>
  <c r="F119" i="9"/>
  <c r="F5" i="52" s="1"/>
  <c r="B53" i="72" s="1"/>
  <c r="D119" i="9"/>
  <c r="D5" i="52" s="1"/>
  <c r="B49" i="72" s="1"/>
  <c r="D5" i="53" l="1"/>
  <c r="M48" i="9"/>
  <c r="D45" i="9"/>
  <c r="H107" i="9"/>
  <c r="I4" i="52"/>
  <c r="H102" i="9"/>
  <c r="C105" i="9"/>
  <c r="E118" i="9"/>
  <c r="E4" i="52" s="1"/>
  <c r="B48" i="72" s="1"/>
  <c r="D52" i="9" l="1"/>
  <c r="D53" i="9"/>
  <c r="C78" i="9"/>
  <c r="C73" i="9" s="1"/>
  <c r="D55" i="9"/>
  <c r="M53" i="9" s="1"/>
  <c r="C72" i="9"/>
  <c r="C93" i="9"/>
  <c r="C86" i="9" s="1"/>
  <c r="C64" i="9"/>
  <c r="C63" i="9" s="1"/>
  <c r="C67" i="9" s="1"/>
  <c r="C85" i="9"/>
  <c r="B20" i="72"/>
  <c r="D6" i="53"/>
  <c r="B22" i="72" s="1"/>
  <c r="C5" i="74"/>
  <c r="D7" i="53"/>
  <c r="B21" i="72" s="1"/>
  <c r="H108" i="9"/>
  <c r="D122" i="9"/>
  <c r="D13" i="53"/>
  <c r="C95" i="9" l="1"/>
  <c r="C96" i="9" s="1"/>
  <c r="E96" i="9" s="1"/>
  <c r="E97" i="9" s="1"/>
  <c r="C79" i="9"/>
  <c r="C80" i="9" s="1"/>
  <c r="E80" i="9" s="1"/>
  <c r="E81" i="9" s="1"/>
  <c r="B30" i="72"/>
  <c r="D14" i="53"/>
  <c r="B32" i="72" s="1"/>
  <c r="D15" i="53"/>
  <c r="B31" i="72" s="1"/>
  <c r="C6" i="74"/>
  <c r="D8" i="52"/>
  <c r="D123" i="9"/>
  <c r="D9" i="52" s="1"/>
  <c r="C68" i="9"/>
  <c r="D54" i="9" s="1"/>
  <c r="D59" i="9"/>
  <c r="M55" i="9" s="1"/>
  <c r="C97" i="9" l="1"/>
  <c r="D58" i="9" s="1"/>
  <c r="D56" i="9" s="1"/>
  <c r="M54" i="9" s="1"/>
  <c r="N57" i="9" s="1"/>
  <c r="P57" i="9" s="1"/>
  <c r="C81" i="9"/>
  <c r="N58" i="9" l="1"/>
  <c r="N59" i="9"/>
  <c r="N61" i="9" s="1"/>
  <c r="N60" i="9" l="1"/>
  <c r="D52" i="82"/>
  <c r="D53" i="82"/>
  <c r="H102" i="82"/>
  <c r="C105" i="82"/>
  <c r="E97" i="82"/>
  <c r="M55" i="82"/>
  <c r="C104" i="82"/>
  <c r="H119" i="82"/>
  <c r="N60" i="82"/>
  <c r="N61" i="82"/>
  <c r="P57" i="82"/>
  <c r="N58" i="82"/>
  <c r="N59" i="82"/>
  <c r="M54" i="82"/>
  <c r="M48" i="82"/>
  <c r="E96" i="82"/>
  <c r="D59" i="82"/>
  <c r="C96" i="82"/>
  <c r="H108" i="82"/>
  <c r="C67" i="82"/>
  <c r="C68" i="82"/>
  <c r="D54" i="82"/>
  <c r="C93" i="82"/>
  <c r="C86" i="82"/>
  <c r="E80" i="82"/>
  <c r="E81" i="82"/>
  <c r="F119" i="82"/>
  <c r="F118" i="82"/>
  <c r="G118" i="82"/>
  <c r="C81" i="82"/>
  <c r="C72" i="82"/>
  <c r="C79" i="82"/>
  <c r="C80" i="82"/>
  <c r="C85" i="82"/>
  <c r="C95" i="82"/>
  <c r="C97" i="82"/>
  <c r="D58" i="82"/>
  <c r="D56" i="82"/>
  <c r="C78" i="82"/>
  <c r="C73" i="82"/>
  <c r="E118" i="82"/>
  <c r="D118" i="82"/>
  <c r="D119" i="82"/>
  <c r="C64" i="82"/>
  <c r="C63" i="82"/>
  <c r="H107" i="82"/>
  <c r="D122" i="82"/>
  <c r="D123" i="82"/>
  <c r="I118" i="82"/>
  <c r="H118" i="82"/>
  <c r="H101" i="82"/>
  <c r="D45" i="82"/>
  <c r="D55" i="82"/>
  <c r="M53" i="82"/>
  <c r="N57"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<sst xmlns="http://schemas.openxmlformats.org/spreadsheetml/2006/main" count="9166" uniqueCount="3635">
  <si>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</si>
  <si>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</si>
  <si>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</si>
  <si>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</si>
  <si>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</si>
  <si>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</si>
  <si>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</si>
  <si>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</si>
  <si>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</si>
  <si>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</si>
  <si>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</si>
  <si>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</si>
  <si>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</si>
  <si>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</si>
  <si>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</si>
  <si>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</si>
  <si>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</si>
  <si>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</si>
  <si>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</si>
  <si>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</si>
  <si>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</si>
  <si>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</si>
  <si>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</si>
  <si>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</si>
  <si>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</si>
  <si>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</si>
  <si>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</si>
  <si>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</si>
  <si>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</si>
  <si>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</si>
  <si>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</si>
  <si>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</si>
  <si>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</si>
  <si>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</si>
  <si>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</si>
  <si>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</si>
  <si>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</si>
  <si>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</si>
  <si>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</si>
  <si>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</si>
  <si>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</si>
  <si>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</si>
  <si>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</si>
  <si>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</si>
  <si>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</si>
  <si>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</si>
  <si>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</si>
  <si>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</si>
  <si>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</si>
  <si>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</si>
  <si>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</si>
  <si>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</si>
  <si>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</si>
  <si>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</si>
  <si>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</si>
  <si>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</si>
  <si>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</si>
  <si>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</si>
  <si>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</si>
  <si>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</si>
  <si>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</si>
  <si>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</si>
  <si>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</si>
  <si>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</si>
  <si>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</si>
  <si>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</si>
  <si>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</si>
  <si>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</si>
  <si>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</si>
  <si>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</si>
  <si>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</si>
  <si>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</si>
  <si>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</si>
  <si>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</si>
  <si>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</si>
  <si>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</si>
  <si>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</si>
  <si>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</si>
  <si>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</si>
  <si>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</si>
  <si>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</si>
  <si>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</si>
  <si>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</si>
  <si>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</si>
  <si>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</si>
  <si>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</si>
  <si>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</si>
  <si>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</si>
  <si>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</si>
  <si>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</si>
  <si>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</si>
  <si>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</si>
  <si>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</si>
  <si>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</si>
  <si>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</si>
  <si>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</si>
  <si>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</si>
  <si>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</si>
  <si>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</si>
  <si>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</si>
  <si>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</si>
  <si>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</si>
  <si>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</si>
  <si>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</si>
  <si>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</si>
  <si>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</si>
  <si>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</si>
  <si>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</si>
  <si>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</si>
  <si>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</si>
  <si>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</si>
  <si>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</si>
  <si>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</si>
  <si>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</si>
  <si>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</si>
  <si>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</si>
  <si>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</si>
  <si>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</si>
  <si>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</si>
  <si>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</si>
  <si>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</si>
  <si>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</si>
  <si>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</si>
  <si>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</si>
  <si>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</si>
  <si>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</si>
  <si>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</si>
  <si>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</si>
  <si>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</si>
  <si>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</si>
  <si>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</si>
  <si>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</si>
  <si>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</si>
  <si>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</si>
  <si>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</si>
  <si>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</si>
  <si>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</si>
  <si>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</si>
  <si>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</si>
  <si>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</si>
  <si>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</si>
  <si>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</si>
  <si>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</si>
  <si>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</si>
  <si>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</si>
  <si>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</si>
  <si>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</si>
  <si>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</si>
  <si>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</si>
  <si>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</si>
  <si>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</si>
  <si>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</si>
  <si>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</si>
  <si>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</si>
  <si>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</si>
  <si>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</si>
  <si>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</si>
  <si>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</si>
  <si>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</si>
  <si>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</si>
  <si>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</si>
  <si>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</si>
  <si>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</si>
  <si>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</si>
  <si>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</si>
  <si>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</si>
  <si>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</si>
  <si>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</si>
  <si>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</si>
  <si>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</si>
  <si>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</si>
  <si>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</si>
  <si>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</si>
  <si>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</si>
  <si>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</si>
  <si>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</si>
  <si>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</si>
  <si>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</si>
  <si>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</si>
  <si>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</si>
  <si>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</si>
  <si>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</si>
  <si>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</si>
  <si>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</si>
  <si>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</si>
  <si>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</si>
  <si>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</si>
  <si>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</si>
  <si>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</si>
  <si>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</si>
  <si>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</si>
  <si>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</si>
  <si>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</si>
  <si>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</si>
  <si>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</si>
  <si>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</si>
  <si>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</si>
  <si>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</si>
  <si>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</si>
  <si>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</si>
  <si>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</si>
  <si>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</si>
  <si>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</si>
  <si>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</si>
  <si>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</si>
  <si>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</si>
  <si>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</si>
  <si>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</si>
  <si>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</si>
  <si>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</si>
  <si>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</si>
  <si>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</si>
  <si>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</si>
  <si>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</si>
  <si>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</si>
  <si>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</si>
  <si>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</si>
  <si>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</si>
  <si>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</si>
  <si>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</si>
  <si>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</si>
  <si>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</si>
  <si>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</si>
  <si>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</si>
  <si>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</si>
  <si>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</si>
  <si>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</si>
  <si>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</si>
  <si>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</si>
  <si>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</si>
  <si>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</si>
  <si>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</si>
  <si>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</si>
  <si>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</si>
  <si>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</si>
  <si>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</si>
  <si>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</si>
  <si>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</si>
  <si>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</si>
  <si>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</si>
  <si>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</si>
  <si>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</si>
  <si>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</si>
  <si>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</si>
  <si>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</si>
  <si>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</si>
  <si>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</si>
  <si>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</si>
  <si>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</si>
  <si>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</si>
  <si>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</si>
  <si>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</si>
  <si>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</si>
  <si>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</si>
  <si>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</si>
  <si>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</si>
  <si>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</si>
  <si>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</si>
  <si>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</si>
  <si>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</si>
  <si>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</si>
  <si>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</si>
  <si>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</si>
  <si>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</si>
  <si>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</si>
  <si>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</si>
  <si>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</si>
  <si>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</si>
  <si>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</si>
  <si>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</si>
  <si>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</si>
  <si>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</si>
  <si>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</si>
  <si>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</si>
  <si>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</si>
  <si>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</si>
  <si>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</si>
  <si>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</si>
  <si>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</si>
  <si>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</si>
  <si>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</si>
  <si>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</si>
  <si>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</si>
  <si>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</si>
  <si>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</si>
  <si>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</si>
  <si>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</si>
  <si>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</si>
  <si>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</si>
  <si>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</si>
  <si>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</si>
  <si>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</si>
  <si>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</si>
  <si>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</si>
  <si>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</si>
  <si>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</si>
  <si>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</si>
  <si>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</si>
  <si>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</si>
  <si>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</si>
  <si>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</si>
  <si>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</si>
  <si>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</si>
  <si>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</si>
  <si>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</si>
  <si>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</si>
  <si>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</si>
  <si>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</si>
  <si>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</si>
  <si>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</si>
  <si>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</si>
  <si>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</si>
  <si>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</si>
  <si>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</si>
  <si>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</si>
  <si>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</si>
  <si>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</si>
  <si>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</si>
  <si>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</si>
  <si>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</si>
  <si>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</si>
  <si>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</si>
  <si>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</si>
  <si>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</si>
  <si>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</si>
  <si>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</si>
  <si>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</si>
  <si>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</si>
  <si>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</si>
  <si>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</si>
  <si>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</si>
  <si>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</si>
  <si>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</si>
  <si>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</si>
  <si>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</si>
  <si>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</si>
  <si>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</si>
  <si>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</si>
  <si>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</si>
  <si>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</si>
  <si>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</si>
  <si>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</si>
  <si>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</si>
  <si>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</si>
  <si>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</si>
  <si>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</si>
  <si>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</si>
  <si>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</si>
  <si>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</si>
  <si>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</si>
  <si>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</si>
  <si>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</si>
  <si>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</si>
  <si>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</si>
  <si>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</si>
  <si>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</si>
  <si>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</si>
  <si>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</si>
  <si>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</si>
  <si>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</si>
  <si>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</si>
  <si>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</si>
  <si>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</si>
  <si>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</si>
  <si>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</si>
  <si>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</si>
  <si>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</si>
  <si>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</si>
  <si>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</si>
  <si>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</si>
  <si>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</si>
  <si>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</si>
  <si>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</si>
  <si>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</si>
  <si>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</si>
  <si>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</si>
  <si>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</si>
  <si>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</si>
  <si>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</si>
  <si>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</si>
  <si>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</si>
  <si>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</si>
  <si>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</si>
  <si>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</si>
  <si>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</si>
  <si>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</si>
  <si>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</si>
  <si>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</si>
  <si>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</si>
  <si>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</si>
  <si>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</si>
  <si>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</si>
  <si>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</si>
  <si>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</si>
  <si>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</si>
  <si>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</si>
  <si>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</si>
  <si>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</si>
  <si>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</si>
  <si>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</si>
  <si>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</si>
  <si>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</si>
  <si>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</si>
  <si>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</si>
  <si>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</si>
  <si>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</si>
  <si>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</si>
  <si>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</si>
  <si>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</si>
  <si>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</si>
  <si>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</si>
  <si>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</si>
  <si>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</si>
  <si>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</si>
  <si>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</si>
  <si>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</si>
  <si>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</si>
  <si>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</si>
  <si>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</si>
  <si>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</si>
  <si>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</si>
  <si>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</si>
  <si>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</si>
  <si>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</si>
  <si>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</si>
  <si>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</si>
  <si>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</si>
  <si>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</si>
  <si>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</si>
  <si>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</si>
  <si>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</si>
  <si>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</si>
  <si>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</si>
  <si>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</si>
  <si>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</si>
  <si>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</si>
  <si>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</si>
  <si>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</si>
  <si>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</si>
  <si>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</si>
  <si>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</si>
  <si>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</si>
  <si>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</si>
  <si>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</si>
  <si>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</si>
  <si>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</si>
  <si>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</si>
  <si>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</si>
  <si>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</si>
  <si>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</si>
  <si>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</si>
  <si>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</si>
  <si>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</si>
  <si>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</si>
  <si>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</si>
  <si>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</si>
  <si>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</si>
  <si>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</si>
  <si>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</si>
  <si>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</si>
  <si>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</si>
  <si>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</si>
  <si>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</si>
  <si>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</si>
  <si>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</si>
  <si>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</si>
  <si>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</si>
  <si>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</si>
  <si>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</si>
  <si>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</si>
  <si>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</si>
  <si>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</si>
  <si>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</si>
  <si>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</si>
  <si>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</si>
  <si>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</si>
  <si>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</si>
  <si>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</si>
  <si>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</si>
  <si>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</si>
  <si>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</si>
  <si>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</si>
  <si>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</si>
  <si>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</si>
  <si>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</si>
  <si>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</si>
  <si>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</si>
  <si>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</si>
  <si>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</si>
  <si>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</si>
  <si>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</si>
  <si>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</si>
  <si>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</si>
  <si>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</si>
  <si>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</si>
  <si>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</si>
  <si>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</si>
  <si>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</si>
  <si>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</si>
  <si>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</si>
  <si>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</si>
  <si>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</si>
  <si>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</si>
  <si>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</si>
  <si>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</si>
  <si>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</si>
  <si>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</si>
  <si>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</si>
  <si>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</si>
  <si>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</si>
  <si>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</si>
  <si>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</si>
  <si>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</si>
  <si>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</si>
  <si>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</si>
  <si>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</si>
  <si>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</si>
  <si>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</si>
  <si>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</si>
  <si>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</si>
  <si>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</si>
  <si>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</si>
  <si>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</si>
  <si>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</si>
  <si>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</si>
  <si>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</si>
  <si>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</si>
  <si>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</si>
  <si>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</si>
  <si>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</si>
  <si>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</si>
  <si>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</si>
  <si>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</si>
  <si>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</si>
  <si>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</si>
  <si>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</si>
  <si>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</si>
  <si>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</si>
  <si>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</si>
  <si>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</si>
  <si>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</si>
  <si>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</si>
  <si>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</si>
  <si>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</si>
  <si>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</si>
  <si>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</si>
  <si>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</si>
  <si>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</si>
  <si>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</si>
  <si>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</si>
  <si>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</si>
  <si>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</si>
  <si>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</si>
  <si>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</si>
  <si>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</si>
  <si>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</si>
  <si>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</si>
  <si>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</si>
  <si>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</si>
  <si>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</si>
  <si>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</si>
  <si>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</si>
  <si>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</si>
  <si>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</si>
  <si>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</si>
  <si>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</si>
  <si>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</si>
  <si>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</si>
  <si>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</si>
  <si>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</si>
  <si>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</si>
  <si>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</si>
  <si>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</si>
  <si>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</si>
  <si>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</si>
  <si>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</si>
  <si>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</si>
  <si>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</si>
  <si>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</si>
  <si>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</si>
  <si>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</si>
  <si>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</si>
  <si>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</si>
  <si>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</si>
  <si>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</si>
  <si>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</si>
  <si>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</si>
  <si>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</si>
  <si>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</si>
  <si>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</si>
  <si>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</si>
  <si>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</si>
  <si>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</si>
  <si>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</si>
  <si>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</si>
  <si>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</si>
  <si>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</si>
  <si>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</si>
  <si>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</si>
  <si>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</si>
  <si>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</si>
  <si>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</si>
  <si>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</si>
  <si>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</si>
  <si>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</si>
  <si>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</si>
  <si>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</si>
  <si>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</si>
  <si>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</si>
  <si>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</si>
  <si>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</si>
  <si>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</si>
  <si>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</si>
  <si>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</si>
  <si>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</si>
  <si>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</si>
  <si>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</si>
  <si>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</si>
  <si>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</si>
  <si>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</si>
  <si>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</si>
  <si>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</si>
  <si>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</si>
  <si>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</si>
  <si>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</si>
  <si>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</si>
  <si>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</si>
  <si>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</si>
  <si>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</si>
  <si>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</si>
  <si>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</si>
  <si>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</si>
  <si>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</si>
  <si>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</si>
  <si>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</si>
  <si>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</si>
  <si>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</si>
  <si>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</si>
  <si>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</si>
  <si>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</si>
  <si>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</si>
  <si>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</si>
  <si>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</si>
  <si>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</si>
  <si>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</si>
  <si>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</si>
  <si>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</si>
  <si>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</si>
  <si>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</si>
  <si>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</si>
  <si>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</si>
  <si>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</si>
  <si>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</si>
  <si>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</si>
  <si>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</si>
  <si>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</si>
  <si>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</si>
  <si>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</si>
  <si>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</si>
  <si>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</si>
  <si>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</si>
  <si>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</si>
  <si>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</si>
  <si>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</si>
  <si>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</si>
  <si>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</si>
  <si>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</si>
  <si>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</si>
  <si>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</si>
  <si>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</si>
  <si>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</si>
  <si>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</si>
  <si>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</si>
  <si>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</si>
  <si>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</si>
  <si>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</si>
  <si>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</si>
  <si>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</si>
  <si>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</si>
  <si>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</si>
  <si>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</si>
  <si>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</si>
  <si>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</si>
  <si>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</si>
  <si>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</si>
  <si>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</si>
  <si>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</si>
  <si>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</si>
  <si>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</si>
  <si>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</si>
  <si>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</si>
  <si>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</si>
  <si>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</si>
  <si>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</si>
  <si>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</si>
  <si>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</si>
  <si>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</si>
  <si>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</si>
  <si>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</si>
  <si>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</si>
  <si>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</si>
  <si>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</si>
  <si>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</si>
  <si>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</si>
  <si>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</si>
  <si>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</si>
  <si>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</si>
  <si>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</si>
  <si>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</si>
  <si>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</si>
  <si>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</si>
  <si>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</si>
  <si>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</si>
  <si>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</si>
  <si>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</si>
  <si>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</si>
  <si>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</si>
  <si>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</si>
  <si>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</si>
  <si>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</si>
  <si>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</si>
  <si>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</si>
  <si>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</si>
  <si>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</si>
  <si>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</si>
  <si>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</si>
  <si>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</si>
  <si>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</si>
  <si>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</si>
  <si>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</si>
  <si>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</si>
  <si>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</si>
  <si>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</si>
  <si>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</si>
  <si>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</si>
  <si>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</si>
  <si>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</si>
  <si>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</si>
  <si>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</si>
  <si>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</si>
  <si>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</si>
  <si>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</si>
  <si>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</si>
  <si>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</si>
  <si>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</si>
  <si>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</si>
  <si>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</si>
  <si>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</si>
  <si>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</si>
  <si>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</si>
  <si>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</si>
  <si>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</si>
  <si>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</si>
  <si>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</si>
  <si>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</si>
  <si>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</si>
  <si>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</si>
  <si>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</si>
  <si>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</si>
  <si>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</si>
  <si>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</si>
  <si>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</si>
  <si>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</si>
  <si>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</si>
  <si>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</si>
  <si>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</si>
  <si>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</si>
  <si>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</si>
  <si>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</si>
  <si>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</si>
  <si>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</si>
  <si>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</si>
  <si>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</si>
  <si>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</si>
  <si>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</si>
  <si>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</si>
  <si>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</si>
  <si>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</si>
  <si>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</si>
  <si>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</si>
  <si>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</si>
  <si>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</si>
  <si>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</si>
  <si>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</si>
  <si>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</si>
  <si>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</si>
  <si>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</si>
  <si>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</si>
  <si>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</si>
  <si>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</si>
  <si>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</si>
  <si>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</si>
  <si>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</si>
  <si>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</si>
  <si>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</si>
  <si>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</si>
  <si>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</si>
  <si>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</si>
  <si>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</si>
  <si>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</si>
  <si>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</si>
  <si>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</si>
  <si>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</si>
  <si>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</si>
  <si>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</si>
  <si>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</si>
  <si>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</si>
  <si>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</si>
  <si>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</si>
  <si>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</si>
  <si>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</si>
  <si>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</si>
  <si>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</si>
  <si>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</si>
  <si>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</si>
  <si>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</si>
  <si>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</si>
  <si>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</si>
  <si>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</si>
  <si>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</si>
  <si>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</si>
  <si>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</si>
  <si>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</si>
  <si>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</si>
  <si>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</si>
  <si>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</si>
  <si>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</si>
  <si>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</si>
  <si>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</si>
  <si>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</si>
  <si>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</si>
  <si>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</si>
  <si>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</si>
  <si>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</si>
  <si>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</si>
  <si>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</si>
  <si>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</si>
  <si>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</si>
  <si>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</si>
  <si>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</si>
  <si>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</si>
  <si>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</si>
  <si>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</si>
  <si>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</si>
  <si>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</si>
  <si>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</si>
  <si>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</si>
  <si>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</si>
  <si>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</si>
  <si>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</si>
  <si>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</si>
  <si>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</si>
  <si>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</si>
  <si>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</si>
  <si>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</si>
  <si>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</si>
  <si>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</si>
  <si>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</si>
  <si>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</si>
  <si>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</si>
  <si>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</si>
  <si>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</si>
  <si>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</si>
  <si>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</si>
  <si>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</si>
  <si>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</si>
  <si>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</si>
  <si>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</si>
  <si>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</si>
  <si>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</si>
  <si>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</si>
  <si>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</si>
  <si>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</si>
  <si>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</si>
  <si>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</si>
  <si>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</si>
  <si>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</si>
  <si>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</si>
  <si>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</si>
  <si>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</si>
  <si>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</si>
  <si>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</si>
  <si>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</si>
  <si>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</si>
  <si>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</si>
  <si>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</si>
  <si>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</si>
  <si>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</si>
  <si>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</si>
  <si>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</si>
  <si>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</si>
  <si>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</si>
  <si>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</si>
  <si>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</si>
  <si>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</si>
  <si>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</si>
  <si>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</si>
  <si>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</si>
  <si>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</si>
  <si>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</si>
  <si>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</si>
  <si>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</si>
  <si>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</si>
  <si>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</si>
  <si>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</si>
  <si>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</si>
  <si>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</si>
  <si>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</si>
  <si>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</si>
  <si>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</si>
  <si>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</si>
  <si>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</si>
  <si>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</si>
  <si>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</si>
  <si>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</si>
  <si>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</si>
  <si>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</si>
  <si>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</si>
  <si>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</si>
  <si>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</si>
  <si>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</si>
  <si>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</si>
  <si>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</si>
  <si>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</si>
  <si>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</si>
  <si>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</si>
  <si>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</si>
  <si>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</si>
  <si>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</si>
  <si>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</si>
  <si>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</si>
  <si>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</si>
  <si>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</si>
  <si>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</si>
  <si>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</si>
  <si>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</si>
  <si>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</si>
  <si>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</si>
  <si>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</si>
  <si>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</si>
  <si>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</si>
  <si>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</si>
  <si>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</si>
  <si>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</si>
  <si>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</si>
  <si>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</si>
  <si>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</si>
  <si>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</si>
  <si>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</si>
  <si>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</si>
  <si>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</si>
  <si>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</si>
  <si>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</si>
  <si>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</si>
  <si>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</si>
  <si>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</si>
  <si>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</si>
  <si>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</si>
  <si>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</si>
  <si>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</si>
  <si>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</si>
  <si>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</si>
  <si>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</si>
  <si>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</si>
  <si>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</si>
  <si>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</si>
  <si>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</si>
  <si>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</si>
  <si>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</si>
  <si>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</si>
  <si>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</si>
  <si>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</si>
  <si>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</si>
  <si>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</si>
  <si>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</si>
  <si>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</si>
  <si>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</si>
  <si>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</si>
  <si>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</si>
  <si>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</si>
  <si>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</si>
  <si>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</si>
  <si>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</si>
  <si>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</si>
  <si>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</si>
  <si>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</si>
  <si>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</si>
  <si>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</si>
  <si>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</si>
  <si>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</si>
  <si>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</si>
  <si>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</si>
  <si>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</si>
  <si>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</si>
  <si>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</si>
  <si>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</si>
  <si>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</si>
  <si>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</si>
  <si>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</si>
  <si>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</si>
  <si>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</si>
  <si>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</si>
  <si>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</si>
  <si>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</si>
  <si>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</si>
  <si>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</si>
  <si>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</si>
  <si>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</si>
  <si>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</si>
  <si>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</si>
  <si>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</si>
  <si>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</si>
  <si>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</si>
  <si>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</si>
  <si>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</si>
  <si>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</si>
  <si>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</si>
  <si>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</si>
  <si>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</si>
  <si>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</si>
  <si>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</si>
  <si>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</si>
  <si>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</si>
  <si>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</si>
  <si>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</si>
  <si>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</si>
  <si>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</si>
  <si>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</si>
  <si>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</si>
  <si>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</si>
  <si>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</si>
  <si>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</si>
  <si>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</si>
  <si>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</si>
  <si>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</si>
  <si>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</si>
  <si>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</si>
  <si>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</si>
  <si>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</si>
  <si>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</si>
  <si>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</si>
  <si>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</si>
  <si>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</si>
  <si>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</si>
  <si>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</si>
  <si>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</si>
  <si>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</si>
  <si>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</si>
  <si>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</si>
  <si>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</si>
  <si>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</si>
  <si>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</si>
  <si>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</si>
  <si>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</si>
  <si>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</si>
  <si>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</si>
  <si>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</si>
  <si>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</si>
  <si>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</si>
  <si>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</si>
  <si>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</si>
  <si>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</si>
  <si>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</si>
  <si>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</si>
  <si>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</si>
  <si>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</si>
  <si>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</si>
  <si>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</si>
  <si>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</si>
  <si>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</si>
  <si>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</si>
  <si>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</si>
  <si>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</si>
  <si>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</si>
  <si>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</si>
  <si>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</si>
  <si>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</si>
  <si>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</si>
  <si>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</si>
  <si>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</si>
  <si>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</si>
  <si>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</si>
  <si>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</si>
  <si>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</si>
  <si>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</si>
  <si>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</si>
  <si>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</si>
  <si>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</si>
  <si>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</si>
  <si>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</si>
  <si>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</si>
  <si>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</si>
  <si>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</si>
  <si>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</si>
  <si>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</si>
  <si>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</si>
  <si>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</si>
  <si>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</si>
  <si>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</si>
  <si>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</si>
  <si>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</si>
  <si>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</si>
  <si>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</si>
  <si>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</si>
  <si>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</si>
  <si>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</si>
  <si>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</si>
  <si>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</si>
  <si>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</si>
  <si>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</si>
  <si>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</si>
  <si>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</si>
  <si>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</si>
  <si>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</si>
  <si>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</si>
  <si>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</si>
  <si>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</si>
  <si>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</si>
  <si>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</si>
  <si>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</si>
  <si>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</si>
  <si>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</si>
  <si>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</si>
  <si>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</si>
  <si>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</si>
  <si>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</si>
  <si>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</si>
  <si>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</si>
  <si>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</si>
  <si>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</si>
  <si>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</si>
  <si>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</si>
  <si>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</si>
  <si>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</si>
  <si>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</si>
  <si>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</si>
  <si>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</si>
  <si>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</si>
  <si>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</si>
  <si>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</si>
  <si>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</si>
  <si>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</si>
  <si>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</si>
  <si>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</si>
  <si>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</si>
  <si>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</si>
  <si>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</si>
  <si>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</si>
  <si>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</si>
  <si>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</si>
  <si>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</si>
  <si>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</si>
  <si>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</si>
  <si>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</si>
  <si>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</si>
  <si>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</si>
  <si>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</si>
  <si>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</si>
  <si>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</si>
  <si>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</si>
  <si>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</si>
  <si>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</si>
  <si>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</si>
  <si>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</si>
  <si>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</si>
  <si>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</si>
  <si>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</si>
  <si>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</si>
  <si>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</si>
  <si>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</si>
  <si>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</si>
  <si>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</si>
  <si>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</si>
  <si>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</si>
  <si>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</si>
  <si>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</si>
  <si>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</si>
  <si>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</si>
  <si>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</si>
  <si>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</si>
  <si>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</si>
  <si>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</si>
  <si>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</si>
  <si>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</si>
  <si>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</si>
  <si>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</si>
  <si>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</si>
  <si>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</si>
  <si>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</si>
  <si>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</si>
  <si>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</si>
  <si>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</si>
  <si>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</si>
  <si>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</si>
  <si>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</si>
  <si>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</si>
  <si>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</si>
  <si>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</si>
  <si>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</si>
  <si>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</si>
  <si>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</si>
  <si>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</si>
  <si>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</si>
  <si>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</si>
  <si>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</si>
  <si>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</si>
  <si>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</si>
  <si>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</si>
  <si>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</si>
  <si>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</si>
  <si>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</si>
  <si>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</si>
  <si>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</si>
  <si>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</si>
  <si>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</si>
  <si>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</si>
  <si>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</si>
  <si>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</si>
  <si>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</si>
  <si>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</si>
  <si>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</si>
  <si>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</si>
  <si>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</si>
  <si>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</si>
  <si>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</si>
  <si>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</si>
  <si>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</si>
  <si>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</si>
  <si>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</si>
  <si>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</si>
  <si>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</si>
  <si>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</si>
  <si>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</si>
  <si>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</si>
  <si>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</si>
  <si>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</si>
  <si>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</si>
  <si>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</si>
  <si>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</si>
  <si>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</si>
  <si>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</si>
  <si>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</si>
  <si>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</si>
  <si>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</si>
  <si>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</si>
  <si>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</si>
  <si>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</si>
  <si>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</si>
  <si>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</si>
  <si>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</si>
  <si>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</si>
  <si>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</si>
  <si>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</si>
  <si>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</si>
  <si>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</si>
  <si>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</si>
  <si>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</si>
  <si>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</si>
  <si>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</si>
  <si>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</si>
  <si>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</si>
  <si>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</si>
  <si>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</si>
  <si>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</si>
  <si>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</si>
  <si>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</si>
  <si>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</si>
  <si>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</si>
  <si>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</si>
  <si>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</si>
  <si>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</si>
  <si>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</si>
  <si>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</si>
  <si>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</si>
  <si>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</si>
  <si>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</si>
  <si>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</si>
  <si>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</si>
  <si>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</si>
  <si>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</si>
  <si>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</si>
  <si>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</si>
  <si>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</si>
  <si>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</si>
  <si>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</si>
  <si>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</si>
  <si>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</si>
  <si>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</si>
  <si>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</si>
  <si>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</si>
  <si>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</si>
  <si>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</si>
  <si>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</si>
  <si>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</si>
  <si>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</si>
  <si>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</si>
  <si>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</si>
  <si>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</si>
  <si>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</si>
  <si>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</si>
  <si>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</si>
  <si>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</si>
  <si>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</si>
  <si>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</si>
  <si>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</si>
  <si>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</si>
  <si>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</si>
  <si>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</si>
  <si>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</si>
  <si>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</si>
  <si>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</si>
  <si>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</si>
  <si>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</si>
  <si>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</si>
  <si>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</si>
  <si>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</si>
  <si>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</si>
  <si>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</si>
  <si>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</si>
  <si>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</si>
  <si>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</si>
  <si>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</si>
  <si>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</si>
  <si>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</si>
  <si>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</si>
  <si>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</si>
  <si>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</si>
  <si>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</si>
  <si>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</si>
  <si>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</si>
  <si>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</si>
  <si>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</si>
  <si>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</si>
  <si>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</si>
  <si>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</si>
  <si>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</si>
  <si>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</si>
  <si>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</si>
  <si>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</si>
  <si>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</si>
  <si>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</si>
  <si>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</si>
  <si>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</si>
  <si>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</si>
  <si>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</si>
  <si>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</si>
  <si>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</si>
  <si>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</si>
  <si>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</si>
  <si>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</si>
  <si>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</si>
  <si>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</si>
  <si>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</si>
  <si>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</si>
  <si>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</si>
  <si>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</si>
  <si>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</si>
  <si>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</si>
  <si>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</si>
  <si>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</si>
  <si>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</si>
  <si>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</si>
  <si>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</si>
  <si>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</si>
  <si>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</si>
  <si>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</si>
  <si>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</si>
  <si>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</si>
  <si>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</si>
  <si>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</si>
  <si>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</si>
  <si>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</si>
  <si>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</si>
  <si>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</si>
  <si>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</si>
  <si>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</si>
  <si>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</si>
  <si>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</si>
  <si>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</si>
  <si>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</si>
  <si>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</si>
  <si>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</si>
  <si>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</si>
  <si>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</si>
  <si>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</si>
  <si>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</si>
  <si>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</si>
  <si>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</si>
  <si>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</si>
  <si>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</si>
  <si>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</si>
  <si>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</si>
  <si>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</si>
  <si>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</si>
  <si>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</si>
  <si>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</si>
  <si>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</si>
  <si>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</si>
  <si>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</si>
  <si>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</si>
  <si>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</si>
  <si>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</si>
  <si>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</si>
  <si>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</si>
  <si>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</si>
  <si>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</si>
  <si>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</si>
  <si>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</si>
  <si>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</si>
  <si>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</si>
  <si>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</si>
  <si>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</si>
  <si>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</si>
  <si>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</si>
  <si>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</si>
  <si>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</si>
  <si>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</si>
  <si>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</si>
  <si>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</si>
  <si>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</si>
  <si>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</si>
  <si>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</si>
  <si>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</si>
  <si>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</si>
  <si>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</si>
  <si>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</si>
  <si>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</si>
  <si>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</si>
  <si>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</si>
  <si>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</si>
  <si>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</si>
  <si>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</si>
  <si>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</si>
  <si>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</si>
  <si>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</si>
  <si>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</si>
  <si>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</si>
  <si>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</si>
  <si>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</si>
  <si>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</si>
  <si>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</si>
  <si>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</si>
  <si>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</si>
  <si>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</si>
  <si>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</si>
  <si>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</si>
  <si>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</si>
  <si>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</si>
  <si>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</si>
  <si>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</si>
  <si>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</si>
  <si>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</si>
  <si>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</si>
  <si>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</si>
  <si>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</si>
  <si>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</si>
  <si>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</si>
  <si>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</si>
  <si>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</si>
  <si>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</si>
  <si>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</si>
  <si>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</si>
  <si>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</si>
  <si>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</si>
  <si>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</si>
  <si>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</si>
  <si>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</si>
  <si>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</si>
  <si>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</si>
  <si>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</si>
  <si>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</si>
  <si>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</si>
  <si>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</si>
  <si>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</si>
  <si>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</si>
  <si>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</si>
  <si>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</si>
  <si>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</si>
  <si>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</si>
  <si>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</si>
  <si>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</si>
  <si>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</si>
  <si>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</si>
  <si>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</si>
  <si>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</si>
  <si>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</si>
  <si>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</si>
  <si>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</si>
  <si>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</si>
  <si>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</si>
  <si>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</si>
  <si>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</si>
  <si>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</si>
  <si>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</si>
  <si>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</si>
  <si>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</si>
  <si>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</si>
  <si>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</si>
  <si>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</si>
  <si>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</si>
  <si>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</si>
  <si>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</si>
  <si>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</si>
  <si>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</si>
  <si>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</si>
  <si>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</si>
  <si>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</si>
  <si>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</si>
  <si>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</si>
  <si>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</si>
  <si>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</si>
  <si>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</si>
  <si>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</si>
  <si>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</si>
  <si>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</si>
  <si>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</si>
  <si>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</si>
  <si>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</si>
  <si>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</si>
  <si>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</si>
  <si>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</si>
  <si>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</si>
  <si>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</si>
  <si>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</si>
  <si>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</si>
  <si>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</si>
  <si>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</si>
  <si>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</si>
  <si>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</si>
  <si>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</si>
  <si>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</si>
  <si>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</si>
  <si>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</si>
  <si>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</si>
  <si>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</si>
  <si>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</si>
  <si>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</si>
  <si>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</si>
  <si>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</si>
  <si>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</si>
  <si>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</si>
  <si>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</si>
  <si>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</si>
  <si>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</si>
  <si>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</si>
  <si>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</si>
  <si>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</si>
  <si>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</si>
  <si>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</si>
  <si>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</si>
  <si>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</si>
  <si>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</si>
  <si>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</si>
  <si>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</si>
  <si>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</si>
  <si>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</si>
  <si>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</si>
  <si>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</si>
  <si>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</si>
  <si>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</si>
  <si>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</si>
  <si>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</si>
  <si>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</si>
  <si>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</si>
  <si>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</si>
  <si>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</si>
  <si>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</si>
  <si>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</si>
  <si>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</si>
  <si>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</si>
  <si>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</si>
  <si>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</si>
  <si>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</si>
  <si>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</si>
  <si>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</si>
  <si>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</si>
  <si>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</si>
  <si>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</si>
  <si>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</si>
  <si>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</si>
  <si>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</si>
  <si>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</si>
  <si>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</si>
  <si>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</si>
  <si>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</si>
  <si>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</si>
  <si>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</si>
  <si>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</si>
  <si>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</si>
  <si>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</si>
  <si>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</si>
  <si>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</si>
  <si>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</si>
  <si>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</si>
  <si>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</si>
  <si>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</si>
  <si>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</si>
  <si>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</si>
  <si>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</si>
  <si>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</si>
  <si>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</si>
  <si>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</si>
  <si>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</si>
  <si>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</si>
  <si>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</si>
  <si>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</si>
  <si>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</si>
  <si>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</si>
  <si>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</si>
  <si>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</si>
  <si>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</si>
  <si>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</si>
  <si>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</si>
  <si>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</si>
  <si>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</si>
  <si>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</si>
  <si>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</si>
  <si>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</si>
  <si>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</si>
  <si>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</si>
  <si>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</si>
  <si>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</si>
  <si>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</si>
  <si>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</si>
  <si>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</si>
  <si>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</si>
  <si>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</si>
  <si>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</si>
  <si>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</si>
  <si>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</si>
  <si>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</si>
  <si>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</si>
  <si>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</si>
  <si>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</si>
  <si>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</si>
  <si>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</si>
  <si>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</si>
  <si>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</si>
  <si>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</si>
  <si>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</si>
  <si>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</si>
  <si>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</si>
  <si>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</si>
  <si>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</si>
  <si>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</si>
  <si>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</si>
  <si>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</si>
  <si>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</si>
  <si>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</si>
  <si>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</si>
  <si>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</si>
  <si>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</si>
  <si>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</si>
  <si>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</si>
  <si>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</si>
  <si>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</si>
  <si>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</si>
  <si>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</si>
  <si>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</si>
  <si>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</si>
  <si>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</si>
  <si>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</si>
  <si>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</si>
  <si>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</si>
  <si>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</si>
  <si>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</si>
  <si>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</si>
  <si>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</si>
  <si>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</si>
  <si>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</si>
  <si>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</si>
  <si>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</si>
  <si>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</si>
  <si>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</si>
  <si>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</si>
  <si>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</si>
  <si>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</si>
  <si>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</si>
  <si>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</si>
  <si>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</si>
  <si>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</si>
  <si>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</si>
  <si>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</si>
  <si>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</si>
  <si>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</si>
  <si>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</si>
  <si>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</si>
  <si>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</si>
  <si>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</si>
  <si>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</si>
  <si>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</si>
  <si>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</si>
  <si>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</si>
  <si>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</si>
  <si>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</si>
  <si>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</si>
  <si>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</si>
  <si>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</si>
  <si>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</si>
  <si>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</si>
  <si>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</si>
  <si>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</si>
  <si>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</si>
  <si>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</si>
  <si>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</si>
  <si>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</si>
  <si>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</si>
  <si>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</si>
  <si>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</si>
  <si>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</si>
  <si>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</si>
  <si>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</si>
  <si>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</si>
  <si>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</si>
  <si>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</si>
  <si>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</si>
  <si>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</si>
  <si>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</si>
  <si>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</si>
  <si>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</si>
  <si>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</si>
  <si>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</si>
  <si>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</si>
  <si>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</si>
  <si>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</si>
  <si>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</si>
  <si>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</si>
  <si>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</si>
  <si>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</si>
  <si>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</si>
  <si>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</si>
  <si>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</si>
  <si>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</si>
  <si>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</si>
  <si>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</si>
  <si>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</si>
  <si>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</si>
  <si>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</si>
  <si>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</si>
  <si>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</si>
  <si>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</si>
  <si>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</si>
  <si>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</si>
  <si>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</si>
  <si>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</si>
  <si>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</si>
  <si>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</si>
  <si>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</si>
  <si>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</si>
  <si>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</si>
  <si>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</si>
  <si>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</si>
  <si>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</si>
  <si>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</si>
  <si>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</si>
  <si>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</si>
  <si>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</si>
  <si>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</si>
  <si>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</si>
  <si>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</si>
  <si>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</si>
  <si>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</si>
  <si>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</si>
  <si>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</si>
  <si>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</si>
  <si>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</si>
  <si>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</si>
  <si>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</si>
  <si>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</si>
  <si>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</si>
  <si>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</si>
  <si>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</si>
  <si>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</si>
  <si>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</si>
  <si>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</si>
  <si>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</si>
  <si>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</si>
  <si>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</si>
  <si>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</si>
  <si>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</si>
  <si>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</si>
  <si>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</si>
  <si>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</si>
  <si>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</si>
  <si>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</si>
  <si>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</si>
  <si>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</si>
  <si>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</si>
  <si>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</si>
  <si>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</si>
  <si>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</si>
  <si>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</si>
  <si>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</si>
  <si>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</si>
  <si>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</si>
  <si>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</si>
  <si>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</si>
  <si>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</si>
  <si>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</si>
  <si>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</si>
  <si>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</si>
  <si>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</si>
  <si>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</si>
  <si>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</si>
  <si>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</si>
  <si>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</si>
  <si>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</si>
  <si>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</si>
  <si>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</si>
  <si>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</si>
  <si>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</si>
  <si>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</si>
  <si>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</si>
  <si>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</si>
  <si>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</si>
  <si>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</si>
  <si>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</si>
  <si>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</si>
  <si>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</si>
  <si>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</si>
  <si>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</si>
  <si>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</si>
  <si>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</si>
  <si>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</si>
  <si>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</si>
  <si>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</si>
  <si>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</si>
  <si>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</si>
  <si>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</si>
  <si>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</si>
  <si>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</si>
  <si>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</si>
  <si>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</si>
  <si>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</si>
  <si>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</si>
  <si>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</si>
  <si>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</si>
  <si>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</si>
  <si>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</si>
  <si>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</si>
  <si>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</si>
  <si>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</si>
  <si>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</si>
  <si>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</si>
  <si>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</si>
  <si>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</si>
  <si>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</si>
  <si>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</si>
  <si>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</si>
  <si>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</si>
  <si>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</si>
  <si>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</si>
  <si>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</si>
  <si>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</si>
  <si>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</si>
  <si>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</si>
  <si>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</si>
  <si>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</si>
  <si>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</si>
  <si>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</si>
  <si>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</si>
  <si>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</si>
  <si>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</si>
  <si>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</si>
  <si>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</si>
  <si>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</si>
  <si>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</si>
  <si>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</si>
  <si>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</si>
  <si>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</si>
  <si>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</si>
  <si>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</si>
  <si>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</si>
  <si>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</si>
  <si>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</si>
  <si>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</si>
  <si>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</si>
  <si>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</si>
  <si>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</si>
  <si>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</si>
  <si>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</si>
  <si>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</si>
  <si>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</si>
  <si>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</si>
  <si>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</si>
  <si>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</si>
  <si>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</si>
  <si>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</si>
  <si>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</si>
  <si>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</si>
  <si>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</si>
  <si>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</si>
  <si>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</si>
  <si>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</si>
  <si>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</si>
  <si>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</si>
  <si>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</si>
  <si>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</si>
  <si>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</si>
  <si>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</si>
  <si>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</si>
  <si>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</si>
  <si>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</si>
  <si>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</si>
  <si>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</si>
  <si>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</si>
  <si>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</si>
  <si>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</si>
  <si>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</si>
  <si>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</si>
  <si>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</si>
  <si>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</si>
  <si>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</si>
  <si>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</si>
  <si>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</si>
  <si>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</si>
  <si>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</si>
  <si>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</si>
  <si>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</si>
  <si>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</si>
  <si>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</si>
  <si>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</si>
  <si>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</si>
  <si>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</si>
  <si>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</si>
  <si>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</si>
  <si>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</si>
  <si>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</si>
  <si>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</si>
  <si>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</si>
  <si>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</si>
  <si>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</si>
  <si>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</si>
  <si>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</si>
  <si>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</si>
  <si>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</si>
  <si>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</si>
  <si>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</si>
  <si>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</si>
  <si>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</si>
  <si>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</si>
  <si>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</si>
  <si>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</si>
  <si>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</si>
  <si>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</si>
  <si>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</si>
  <si>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</si>
  <si>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</si>
  <si>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</si>
  <si>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</si>
  <si>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</si>
  <si>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</si>
  <si>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</si>
  <si>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</si>
  <si>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</si>
  <si>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</si>
  <si>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</si>
  <si>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</si>
  <si>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</si>
  <si>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</si>
  <si>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</si>
  <si>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</si>
  <si>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</si>
  <si>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</si>
  <si>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</si>
  <si>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</si>
  <si>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</si>
  <si>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</si>
  <si>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</si>
  <si>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</si>
  <si>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</si>
  <si>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</si>
  <si>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</si>
  <si>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</si>
  <si>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</si>
  <si>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</si>
  <si>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</si>
  <si>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</si>
  <si>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</si>
  <si>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</si>
  <si>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</si>
  <si>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</si>
  <si>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</si>
  <si>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</si>
  <si>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</si>
  <si>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</si>
  <si>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</si>
  <si>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</si>
  <si>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</si>
  <si>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</si>
  <si>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</si>
  <si>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</si>
  <si>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</si>
  <si>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</si>
  <si>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</si>
  <si>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</si>
  <si>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</si>
  <si>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</si>
  <si>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</si>
  <si>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</si>
  <si>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</si>
  <si>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</si>
  <si>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</si>
  <si>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</si>
  <si>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</si>
  <si>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</si>
  <si>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</si>
  <si>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</si>
  <si>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</si>
  <si>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</si>
  <si>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</si>
  <si>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</si>
  <si>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</si>
  <si>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</si>
  <si>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</si>
  <si>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</si>
  <si>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</si>
  <si>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</si>
  <si>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</si>
  <si>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</si>
  <si>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</si>
  <si>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</si>
  <si>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</si>
  <si>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</si>
  <si>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</si>
  <si>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</si>
  <si>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</si>
  <si>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</si>
  <si>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</si>
  <si>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</si>
  <si>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</si>
  <si>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</si>
  <si>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</si>
  <si>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</si>
  <si>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</si>
  <si>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</si>
  <si>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</si>
  <si>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</si>
  <si>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</si>
  <si>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</si>
  <si>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</si>
  <si>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</si>
  <si>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</si>
  <si>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</si>
  <si>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</si>
  <si>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</si>
  <si>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</si>
  <si>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</si>
  <si>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</si>
  <si>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</si>
  <si>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</si>
  <si>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</si>
  <si>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</si>
  <si>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</si>
  <si>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</si>
  <si>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</si>
  <si>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</si>
  <si>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</si>
  <si>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</si>
  <si>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</si>
  <si>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</si>
  <si>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</si>
  <si>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</si>
  <si>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</si>
  <si>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</si>
  <si>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</si>
  <si>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</si>
  <si>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</si>
  <si>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</si>
  <si>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</si>
  <si>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</si>
  <si>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</si>
  <si>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</si>
  <si>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</si>
  <si>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</si>
  <si>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</si>
  <si>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</si>
  <si>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</si>
  <si>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</si>
  <si>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</si>
  <si>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</si>
  <si>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</si>
  <si>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</si>
  <si>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</si>
  <si>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</si>
  <si>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</si>
  <si>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</si>
  <si>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</si>
  <si>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</si>
  <si>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</si>
  <si>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</si>
  <si>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</si>
  <si>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</si>
  <si>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</si>
  <si>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</si>
  <si>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</si>
  <si>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</si>
  <si>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</si>
  <si>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</si>
  <si>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</si>
  <si>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</si>
  <si>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</si>
  <si>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</si>
  <si>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</si>
  <si>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</si>
  <si>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</si>
  <si>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</si>
  <si>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</si>
  <si>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</si>
  <si>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</si>
  <si>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</si>
  <si>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</si>
  <si>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</si>
  <si>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</si>
  <si>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</si>
  <si>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</si>
  <si>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</si>
  <si>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</si>
  <si>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</si>
  <si>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</si>
  <si>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</si>
  <si>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</si>
  <si>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</si>
  <si>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</si>
  <si>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</si>
  <si>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</si>
  <si>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</si>
  <si>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</si>
  <si>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</si>
  <si>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</si>
  <si>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</si>
  <si>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</si>
  <si>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</si>
  <si>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</si>
  <si>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</si>
  <si>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</si>
  <si>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</si>
  <si>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</si>
  <si>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</si>
  <si>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</si>
  <si>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</si>
  <si>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</si>
  <si>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</si>
  <si>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</si>
  <si>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</si>
  <si>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</si>
  <si>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</si>
  <si>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</si>
  <si>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</si>
  <si>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</si>
  <si>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</si>
  <si>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</si>
  <si>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</si>
  <si>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</si>
  <si>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</si>
  <si>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</si>
  <si>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</si>
  <si>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</si>
  <si>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</si>
  <si>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</si>
  <si>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</si>
  <si>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</si>
  <si>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</si>
  <si>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</si>
  <si>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</si>
  <si>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</si>
  <si>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</si>
  <si>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</si>
  <si>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</si>
  <si>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</si>
  <si>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</si>
  <si>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</si>
  <si>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</si>
  <si>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</si>
  <si>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</si>
  <si>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</si>
  <si>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</si>
  <si>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</si>
  <si>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</si>
  <si>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</si>
  <si>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</si>
  <si>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</si>
  <si>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</si>
  <si>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</si>
  <si>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</si>
  <si>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</si>
  <si>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</si>
  <si>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</si>
  <si>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</si>
  <si>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</si>
  <si>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</si>
  <si>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</si>
  <si>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</si>
  <si>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</si>
  <si>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</si>
  <si>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</si>
  <si>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</si>
  <si>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</si>
  <si>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</si>
  <si>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</si>
  <si>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</si>
  <si>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</si>
  <si>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</si>
  <si>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</si>
  <si>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</si>
  <si>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</si>
  <si>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</si>
  <si>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</si>
  <si>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</si>
  <si>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</si>
  <si>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</si>
  <si>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</si>
  <si>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</si>
  <si>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</si>
  <si>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</si>
  <si>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</si>
  <si>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</si>
  <si>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</si>
  <si>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</si>
  <si>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</si>
  <si>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</si>
  <si>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</si>
  <si>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</si>
  <si>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</si>
  <si>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</si>
  <si>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</si>
  <si>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</si>
  <si>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</si>
  <si>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</si>
  <si>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</si>
  <si>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</si>
  <si>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</si>
  <si>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</si>
  <si>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</si>
  <si>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</si>
  <si>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</si>
  <si>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</si>
  <si>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</si>
  <si>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</si>
  <si>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</si>
  <si>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</si>
  <si>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</si>
  <si>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</si>
  <si>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</si>
  <si>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</si>
  <si>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</si>
  <si>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</si>
  <si>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</si>
  <si>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</si>
  <si>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</si>
  <si>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</si>
  <si>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</si>
  <si>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</si>
  <si>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</si>
  <si>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</si>
  <si>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</si>
  <si>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</si>
  <si>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</si>
  <si>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</si>
  <si>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</si>
  <si>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</si>
  <si>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</si>
  <si>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</si>
  <si>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</si>
  <si>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</si>
  <si>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</si>
  <si>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</si>
  <si>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</si>
  <si>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</si>
  <si>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</si>
  <si>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</si>
  <si>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</si>
  <si>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</si>
  <si>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</si>
  <si>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</si>
  <si>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</si>
  <si>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</si>
  <si>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</si>
  <si>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</si>
  <si>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</si>
  <si>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</si>
  <si>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</si>
  <si>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</si>
  <si>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</si>
  <si>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</si>
  <si>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</si>
  <si>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</si>
  <si>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</si>
  <si>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</si>
  <si>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</si>
  <si>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</si>
  <si>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</si>
  <si>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</si>
  <si>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</si>
  <si>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</si>
  <si>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</si>
  <si>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</si>
  <si>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</si>
  <si>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</si>
  <si>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</si>
  <si>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</si>
  <si>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</si>
  <si>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</si>
  <si>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</si>
  <si>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</si>
  <si>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</si>
  <si>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</si>
  <si>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</si>
  <si>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</si>
  <si>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</si>
  <si>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</si>
  <si>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</si>
  <si>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</si>
  <si>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</si>
  <si>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</si>
  <si>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</si>
  <si>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</si>
  <si>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</si>
  <si>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</si>
  <si>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</si>
  <si>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</si>
  <si>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</si>
  <si>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</si>
  <si>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</si>
  <si>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</si>
  <si>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</si>
  <si>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</si>
  <si>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</si>
  <si>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</si>
  <si>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</si>
  <si>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</si>
  <si>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</si>
  <si>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</si>
  <si>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</si>
  <si>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</si>
  <si>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</si>
  <si>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</si>
  <si>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</si>
  <si>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</si>
  <si>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</si>
  <si>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</si>
  <si>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</si>
  <si>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</si>
  <si>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</si>
  <si>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</si>
  <si>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</si>
  <si>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</si>
  <si>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</si>
  <si>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</si>
  <si>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</si>
  <si>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</si>
  <si>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</si>
  <si>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</si>
  <si>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</si>
  <si>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</si>
  <si>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</si>
  <si>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</si>
  <si>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</si>
  <si>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</si>
  <si>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</si>
  <si>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</si>
  <si>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</si>
  <si>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</si>
  <si>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</si>
  <si>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</si>
  <si>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</si>
  <si>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</si>
  <si>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</si>
  <si>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</si>
  <si>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</si>
  <si>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</si>
  <si>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</si>
  <si>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</si>
  <si>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</si>
  <si>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</si>
  <si>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</si>
  <si>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</si>
  <si>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</si>
  <si>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</si>
  <si>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</si>
  <si>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</si>
  <si>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</si>
  <si>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</si>
  <si>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</si>
  <si>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</si>
  <si>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</si>
  <si>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</si>
  <si>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</si>
  <si>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</si>
  <si>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</si>
  <si>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</si>
  <si>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</si>
  <si>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</si>
  <si>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</si>
  <si>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</si>
  <si>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</si>
  <si>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</si>
  <si>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</si>
  <si>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</si>
  <si>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</si>
  <si>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</si>
  <si>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</si>
  <si>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</si>
  <si>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</si>
  <si>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</si>
  <si>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</si>
  <si>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</si>
  <si>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</si>
  <si>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</si>
  <si>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</si>
  <si>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</si>
  <si>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</si>
  <si>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</si>
  <si>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</si>
  <si>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</si>
  <si>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</si>
  <si>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</si>
  <si>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</si>
  <si>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</si>
  <si>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</si>
  <si>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</si>
  <si>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</si>
  <si>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</si>
  <si>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</si>
  <si>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</si>
  <si>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</si>
  <si>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</si>
  <si>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</si>
  <si>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</si>
  <si>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</si>
  <si>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</si>
  <si>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</si>
  <si>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</si>
  <si>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</si>
  <si>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</si>
  <si>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</si>
  <si>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</si>
  <si>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</si>
  <si>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</si>
  <si>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</si>
  <si>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</si>
  <si>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</si>
  <si>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</si>
  <si>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</si>
  <si>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</si>
  <si>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</si>
  <si>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</si>
  <si>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</si>
  <si>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</si>
  <si>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</si>
  <si>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</si>
  <si>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</si>
  <si>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</si>
  <si>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</si>
  <si>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</si>
  <si>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</si>
  <si>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</si>
  <si>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</si>
  <si>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</si>
  <si>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</si>
  <si>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</si>
  <si>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</si>
  <si>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</si>
  <si>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</si>
  <si>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</si>
  <si>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</si>
  <si>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</si>
  <si>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</si>
  <si>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</si>
  <si>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</si>
  <si>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</si>
  <si>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</si>
  <si>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</si>
  <si>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</si>
  <si>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</si>
  <si>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</si>
  <si>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</si>
  <si>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</si>
  <si>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</si>
  <si>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</si>
  <si>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</si>
  <si>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</si>
  <si>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</si>
  <si>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</si>
  <si>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</si>
  <si>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</si>
  <si>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</si>
  <si>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</si>
  <si>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</si>
  <si>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</si>
  <si>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</si>
  <si>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</si>
  <si>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</si>
  <si>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</si>
  <si>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</si>
  <si>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</si>
  <si>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</si>
  <si>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</si>
  <si>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</si>
  <si>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</si>
  <si>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</si>
  <si>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</si>
  <si>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</si>
  <si>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</si>
  <si>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</si>
  <si>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</si>
  <si>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</si>
  <si>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</si>
  <si>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</si>
  <si>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</si>
  <si>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</si>
  <si>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</si>
  <si>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</si>
  <si>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</si>
  <si>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</si>
  <si>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</si>
  <si>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</si>
  <si>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</si>
  <si>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</si>
  <si>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</si>
  <si>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</si>
  <si>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</si>
  <si>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</si>
  <si>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</si>
  <si>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</si>
  <si>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</si>
  <si>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</si>
  <si>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</si>
  <si>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</si>
  <si>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</si>
  <si>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</si>
  <si>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</si>
  <si>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</si>
  <si>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</si>
  <si>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</si>
  <si>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</si>
  <si>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</si>
  <si>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</si>
  <si>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</si>
  <si>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</si>
  <si>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</si>
  <si>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</si>
  <si>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</si>
  <si>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</si>
  <si>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</si>
  <si>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</si>
  <si>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</si>
  <si>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</si>
  <si>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</si>
  <si>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</si>
  <si>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</si>
  <si>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</si>
  <si>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</si>
  <si>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</si>
  <si>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</si>
  <si>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</si>
  <si>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</si>
  <si>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</si>
  <si>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</si>
  <si>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</si>
  <si>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</si>
  <si>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</si>
  <si>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</si>
  <si>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</si>
  <si>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</si>
  <si>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</si>
  <si>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</si>
  <si>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</si>
  <si>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</si>
  <si>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</si>
  <si>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</si>
  <si>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</si>
  <si>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</si>
  <si>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</si>
  <si>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</si>
  <si>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</si>
  <si>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</si>
  <si>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</si>
  <si>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</si>
  <si>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</si>
  <si>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</si>
  <si>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</si>
  <si>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</si>
  <si>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</si>
  <si>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</si>
  <si>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</si>
  <si>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</si>
  <si>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</si>
  <si>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</si>
  <si>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</si>
  <si>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</si>
  <si>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</si>
  <si>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</si>
  <si>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</si>
  <si>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</si>
  <si>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</si>
  <si>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</si>
  <si>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</si>
  <si>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</si>
  <si>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</si>
  <si>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</si>
  <si>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</si>
  <si>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</si>
  <si>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</si>
  <si>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</si>
  <si>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</si>
  <si>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</si>
  <si>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</si>
  <si>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</si>
  <si>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</si>
  <si>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</si>
  <si>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</si>
  <si>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</si>
  <si>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</si>
  <si>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</si>
  <si>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</si>
  <si>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</si>
  <si>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</si>
  <si>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</si>
  <si>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</si>
  <si>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</si>
  <si>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</si>
  <si>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</si>
  <si>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</si>
  <si>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</si>
  <si>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</si>
  <si>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</si>
  <si>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</si>
  <si>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</si>
  <si>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</si>
  <si>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</si>
  <si>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</si>
  <si>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</si>
  <si>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</si>
  <si>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</si>
  <si>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</si>
  <si>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</si>
  <si>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</si>
  <si>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</si>
  <si>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</si>
  <si>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</si>
  <si>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</si>
  <si>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</si>
  <si>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</si>
  <si>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</si>
  <si>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</si>
  <si>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</si>
  <si>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</si>
  <si>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</si>
  <si>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</si>
  <si>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</si>
  <si>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</si>
  <si>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</si>
  <si>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</si>
  <si>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</si>
  <si>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</si>
  <si>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</si>
  <si>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</si>
  <si>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</si>
  <si>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</si>
  <si>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</si>
  <si>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</si>
  <si>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</si>
  <si>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</si>
  <si>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</si>
  <si>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</si>
  <si>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</si>
  <si>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</si>
  <si>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</si>
  <si>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</si>
  <si>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</si>
  <si>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</si>
  <si>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</si>
  <si>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</si>
  <si>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</si>
  <si>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</si>
  <si>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</si>
  <si>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</si>
  <si>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</si>
  <si>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</si>
  <si>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</si>
  <si>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</si>
  <si>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</si>
  <si>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</si>
  <si>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</si>
  <si>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</si>
  <si>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</si>
  <si>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</si>
  <si>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</si>
  <si>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</si>
  <si>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</si>
  <si>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</si>
  <si>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</si>
  <si>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</si>
  <si>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</si>
  <si>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</si>
  <si>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</si>
  <si>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</si>
  <si>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</si>
  <si>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</si>
  <si>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</si>
  <si>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</si>
  <si>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</si>
  <si>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</si>
  <si>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</si>
  <si>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</si>
  <si>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</si>
  <si>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</si>
  <si>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</si>
  <si>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</si>
  <si>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</si>
  <si>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</si>
  <si>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</si>
  <si>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</si>
  <si>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</si>
  <si>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</si>
  <si>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</si>
  <si>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</si>
  <si>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</si>
  <si>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</si>
  <si>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</si>
  <si>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</si>
  <si>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</si>
  <si>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</si>
  <si>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</si>
  <si>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</si>
  <si>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</si>
  <si>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</si>
  <si>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</si>
  <si>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</si>
  <si>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</si>
  <si>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</si>
  <si>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</si>
  <si>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</si>
  <si>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</si>
  <si>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</si>
  <si>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</si>
  <si>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</si>
  <si>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</si>
  <si>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</si>
  <si>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</si>
  <si>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</si>
  <si>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</si>
  <si>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</si>
  <si>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</si>
  <si>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</si>
  <si>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</si>
  <si>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</si>
  <si>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</si>
  <si>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</si>
  <si>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</si>
  <si>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</si>
  <si>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</si>
  <si>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</si>
  <si>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</si>
  <si>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</si>
  <si>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</si>
  <si>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</si>
  <si>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</si>
  <si>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</si>
  <si>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</si>
  <si>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</si>
  <si>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</si>
  <si>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</si>
  <si>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</si>
  <si>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</si>
  <si>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</si>
  <si>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</si>
  <si>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</si>
  <si>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</si>
  <si>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</si>
  <si>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</si>
  <si>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</si>
  <si>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</si>
  <si>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</si>
  <si>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</si>
  <si>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</si>
  <si>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</si>
  <si>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</si>
  <si>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</si>
  <si>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</si>
  <si>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</si>
  <si>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</si>
  <si>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</si>
  <si>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</si>
  <si>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</si>
  <si>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</si>
  <si>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</si>
  <si>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</si>
  <si>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</si>
  <si>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</si>
  <si>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</si>
  <si>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</si>
  <si>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</si>
  <si>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</si>
  <si>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</si>
  <si>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</si>
  <si>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</si>
  <si>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</si>
  <si>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</si>
  <si>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</si>
  <si>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</si>
  <si>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</si>
  <si>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</si>
  <si>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</si>
  <si>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</si>
  <si>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</si>
  <si>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</si>
  <si>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</si>
  <si>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</si>
  <si>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</si>
  <si>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</si>
  <si>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</si>
  <si>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</si>
  <si>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</si>
  <si>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</si>
  <si>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</si>
  <si>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</si>
  <si>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</si>
  <si>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</si>
  <si>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</si>
  <si>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</si>
  <si>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</si>
  <si>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</si>
  <si>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</si>
  <si>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</si>
  <si>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</si>
  <si>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</si>
  <si>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</si>
  <si>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</si>
  <si>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</si>
  <si>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</si>
  <si>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</si>
  <si>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</si>
  <si>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</si>
  <si>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</si>
  <si>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</si>
  <si>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</si>
  <si>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</si>
  <si>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</si>
  <si>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</si>
  <si>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</si>
  <si>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</si>
  <si>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</si>
  <si>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</si>
  <si>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</si>
  <si>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</si>
  <si>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</si>
  <si>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</si>
  <si>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</si>
  <si>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</si>
  <si>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</si>
  <si>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</si>
  <si>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</si>
  <si>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</si>
  <si>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</si>
  <si>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</si>
  <si>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</si>
  <si>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</si>
  <si>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</si>
  <si>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</si>
  <si>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</si>
  <si>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</si>
  <si>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</si>
  <si>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</si>
  <si>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</si>
  <si>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</si>
  <si>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</si>
  <si>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</si>
  <si>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</si>
  <si>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</si>
  <si>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</si>
  <si>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</si>
  <si>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</si>
  <si>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</si>
  <si>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</si>
  <si>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</si>
  <si>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</si>
  <si>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</si>
  <si>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</si>
  <si>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</si>
  <si>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</si>
  <si>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</si>
  <si>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</si>
  <si>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</si>
  <si>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</si>
  <si>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</si>
  <si>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</si>
  <si>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</si>
  <si>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</si>
  <si>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</si>
  <si>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</si>
  <si>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</si>
  <si>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</si>
  <si>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</si>
  <si>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</si>
  <si>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</si>
  <si>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</si>
  <si>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</si>
  <si>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</si>
  <si>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</si>
  <si>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</si>
  <si>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</si>
  <si>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</si>
  <si>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</si>
  <si>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</si>
  <si>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</si>
  <si>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</si>
  <si>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</si>
  <si>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</si>
  <si>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</si>
  <si>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</si>
  <si>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</si>
  <si>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</si>
  <si>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</si>
  <si>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</si>
  <si>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</si>
  <si>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</si>
  <si>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</si>
  <si>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</si>
  <si>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</si>
  <si>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</si>
  <si>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</si>
  <si>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</si>
  <si>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</si>
  <si>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</si>
  <si>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</si>
  <si>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</si>
  <si>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</si>
  <si>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</si>
  <si>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</si>
  <si>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</si>
  <si>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</si>
  <si>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</si>
  <si>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</si>
  <si>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</si>
  <si>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</si>
  <si>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</si>
  <si>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</si>
  <si>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</si>
  <si>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</si>
  <si>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</si>
  <si>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</si>
  <si>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</si>
  <si>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</si>
  <si>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</si>
  <si>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</si>
  <si>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</si>
  <si>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</si>
  <si>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</si>
  <si>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</si>
  <si>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</si>
  <si>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</si>
  <si>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</si>
  <si>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</si>
  <si>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</si>
  <si>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</si>
  <si>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</si>
  <si>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</si>
  <si>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</si>
  <si>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</si>
  <si>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</si>
  <si>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</si>
  <si>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</si>
  <si>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</si>
  <si>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</si>
  <si>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</si>
  <si>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</si>
  <si>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</si>
  <si>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</si>
  <si>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</si>
  <si>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</si>
  <si>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</si>
  <si>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</si>
  <si>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</si>
  <si>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</si>
  <si>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</si>
  <si>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</si>
  <si>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</si>
  <si>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</si>
  <si>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</si>
  <si>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</si>
  <si>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</si>
  <si>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</si>
  <si>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</si>
  <si>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</si>
  <si>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</si>
  <si>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</si>
  <si>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</si>
  <si>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</si>
  <si>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</si>
  <si>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</si>
  <si>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</si>
  <si>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</si>
  <si>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</si>
  <si>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</si>
  <si>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</si>
  <si>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</si>
  <si>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</si>
  <si>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</si>
  <si>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</si>
  <si>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</si>
  <si>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</si>
  <si>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</si>
  <si>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</si>
  <si>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</si>
  <si>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</si>
  <si>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</si>
  <si>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</si>
  <si>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</si>
  <si>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</si>
  <si>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</si>
  <si>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</si>
  <si>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</si>
  <si>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</si>
  <si>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</si>
  <si>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</si>
  <si>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</si>
  <si>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</si>
  <si>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</si>
  <si>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</si>
  <si>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</si>
  <si>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</si>
  <si>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</si>
  <si>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</si>
  <si>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</si>
  <si>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</si>
  <si>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</si>
  <si>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</si>
  <si>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</si>
  <si>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</si>
  <si>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</si>
  <si>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</si>
  <si>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</si>
  <si>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</si>
  <si>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</si>
  <si>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</si>
  <si>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</si>
  <si>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</si>
  <si>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</si>
  <si>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</si>
  <si>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</si>
  <si>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</si>
  <si>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</si>
  <si>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</si>
  <si>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</si>
  <si>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</si>
  <si>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</si>
  <si>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</si>
  <si>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</si>
  <si>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</si>
  <si>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</si>
  <si>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</si>
  <si>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</si>
  <si>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</si>
  <si>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</si>
  <si>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</si>
  <si>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</si>
  <si>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</si>
  <si>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</si>
  <si>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</si>
  <si>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</si>
  <si>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</si>
  <si>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</si>
  <si>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</si>
  <si>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</si>
  <si>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</si>
  <si>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</si>
  <si>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</si>
  <si>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</si>
  <si>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</si>
  <si>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</si>
  <si>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</si>
  <si>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</si>
  <si>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</si>
  <si>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</si>
  <si>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</si>
  <si>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</si>
  <si>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</si>
  <si>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</si>
  <si>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</si>
  <si>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</si>
  <si>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</si>
  <si>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</si>
  <si>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</si>
  <si>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</si>
  <si>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</si>
  <si>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</si>
  <si>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</si>
  <si>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</si>
  <si>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</si>
  <si>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</si>
  <si>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</si>
  <si>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</si>
  <si>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</si>
  <si>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</si>
  <si>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</si>
  <si>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</si>
  <si>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</si>
  <si>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</si>
  <si>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</si>
  <si>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</si>
  <si>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</si>
  <si>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</si>
  <si>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</si>
  <si>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</si>
  <si>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</si>
  <si>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</si>
  <si>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</si>
  <si>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</si>
  <si>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</si>
  <si>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</si>
  <si>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</si>
  <si>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</si>
  <si>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</si>
  <si>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</si>
  <si>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</si>
  <si>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</si>
  <si>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</si>
  <si>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</si>
  <si>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</si>
  <si>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</si>
  <si>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</si>
  <si>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</si>
  <si>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</si>
  <si>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</si>
  <si>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</si>
  <si>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</si>
  <si>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</si>
  <si>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</si>
  <si>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</si>
  <si>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</si>
  <si>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</si>
  <si>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</si>
  <si>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</si>
  <si>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</si>
  <si>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</si>
  <si>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</si>
  <si>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</si>
  <si>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</si>
  <si>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</si>
  <si>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</si>
  <si>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</si>
  <si>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</si>
  <si>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</si>
  <si>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</si>
  <si>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</si>
  <si>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</si>
  <si>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</si>
  <si>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</si>
  <si>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</si>
  <si>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</si>
  <si>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</si>
  <si>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</si>
  <si>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</si>
  <si>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</si>
  <si>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</si>
  <si>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</si>
  <si>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</si>
  <si>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</si>
  <si>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</si>
  <si>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</si>
  <si>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</si>
  <si>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</si>
  <si>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</si>
  <si>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</si>
  <si>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</si>
  <si>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</si>
  <si>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</si>
  <si>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</si>
  <si>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</si>
  <si>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</si>
  <si>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</si>
  <si>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</si>
  <si>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</si>
  <si>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</si>
  <si>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</si>
  <si>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</si>
  <si>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</si>
  <si>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</si>
  <si>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</si>
  <si>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</si>
  <si>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</si>
  <si>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</si>
  <si>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</si>
  <si>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</si>
  <si>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</si>
  <si>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</si>
  <si>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</si>
  <si>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</si>
  <si>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</si>
  <si>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</si>
  <si>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</si>
  <si>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</si>
  <si>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</si>
  <si>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</si>
  <si>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</si>
  <si>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</si>
  <si>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</si>
  <si>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</si>
  <si>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</si>
  <si>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</si>
  <si>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</si>
  <si>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</si>
  <si>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</si>
  <si>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</si>
  <si>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</si>
  <si>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</si>
  <si>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</si>
  <si>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</si>
  <si>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</si>
  <si>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</si>
  <si>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</si>
  <si>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</si>
  <si>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</si>
  <si>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</si>
  <si>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</si>
  <si>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</si>
  <si>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</si>
  <si>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</si>
  <si>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</si>
  <si>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</si>
  <si>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</si>
  <si>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</si>
  <si>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</si>
  <si>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</si>
  <si>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</si>
  <si>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</si>
  <si>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</si>
  <si>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</si>
  <si>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</si>
  <si>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</si>
  <si>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</si>
  <si>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</si>
  <si>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</si>
  <si>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</si>
  <si>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</si>
  <si>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</si>
  <si>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</si>
  <si>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</si>
  <si>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</si>
  <si>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</si>
  <si>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</si>
  <si>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</si>
  <si>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</si>
  <si>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</si>
  <si>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</si>
  <si>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</si>
  <si>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</si>
  <si>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</si>
  <si>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</si>
  <si>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</si>
  <si>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</si>
  <si>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</si>
  <si>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</si>
  <si>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</si>
  <si>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</si>
  <si>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</si>
  <si>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</si>
  <si>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</si>
  <si>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</si>
  <si>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</si>
  <si>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</si>
  <si>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</si>
  <si>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</si>
  <si>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</si>
  <si>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</si>
  <si>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</si>
  <si>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</si>
  <si>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</si>
  <si>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</si>
  <si>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</si>
  <si>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</si>
  <si>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</si>
  <si>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</si>
  <si>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</si>
  <si>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</si>
  <si>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</si>
  <si>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</si>
  <si>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</si>
  <si>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</si>
  <si>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</si>
  <si>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</si>
  <si>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</si>
  <si>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</si>
  <si>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</si>
  <si>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</si>
  <si>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</si>
  <si>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</si>
  <si>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</si>
  <si>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</si>
  <si>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</si>
  <si>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</si>
  <si>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</si>
  <si>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</si>
  <si>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</si>
  <si>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</si>
  <si>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</si>
  <si>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</si>
  <si>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</si>
  <si>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</si>
  <si>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</si>
  <si>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</si>
  <si>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</si>
  <si>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</si>
  <si>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</si>
  <si>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</si>
  <si>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</si>
  <si>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</si>
  <si>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</si>
  <si>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</si>
  <si>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</si>
  <si>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</si>
  <si>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</si>
  <si>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</si>
  <si>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</si>
  <si>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</si>
  <si>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</si>
  <si>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</si>
  <si>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</si>
  <si>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</si>
  <si>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</si>
  <si>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</si>
  <si>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</si>
  <si>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</si>
  <si>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</si>
  <si>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</si>
  <si>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</si>
  <si>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</si>
  <si>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</si>
  <si>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</si>
  <si>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</si>
  <si>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</si>
  <si>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</si>
  <si>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</si>
  <si>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</si>
  <si>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</si>
  <si>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</si>
  <si>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</si>
  <si>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</si>
  <si>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</si>
  <si>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</si>
  <si>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</si>
  <si>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</si>
  <si>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</si>
  <si>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</si>
  <si>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</si>
  <si>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</si>
  <si>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</si>
  <si>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</si>
  <si>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</si>
  <si>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</si>
  <si>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</si>
  <si>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</si>
  <si>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</si>
  <si>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</si>
  <si>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</si>
  <si>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</si>
  <si>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</si>
  <si>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</si>
  <si>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</si>
  <si>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</si>
  <si>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</si>
  <si>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</si>
  <si>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</si>
  <si>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</si>
  <si>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</si>
  <si>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</si>
  <si>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</si>
  <si>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</si>
  <si>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</si>
  <si>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</si>
  <si>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</si>
  <si>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</si>
  <si>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r>
      <rPr>
        <sz val="11"/>
        <color theme="1"/>
        <rFont val="宋体"/>
        <family val="3"/>
        <charset val="134"/>
      </rPr>
      <t>序号</t>
    </r>
    <phoneticPr fontId="135" type="noConversion"/>
  </si>
  <si>
    <r>
      <rPr>
        <sz val="11"/>
        <color theme="1"/>
        <rFont val="宋体"/>
        <family val="3"/>
        <charset val="134"/>
      </rPr>
      <t>房号</t>
    </r>
    <phoneticPr fontId="135" type="noConversion"/>
  </si>
  <si>
    <r>
      <rPr>
        <sz val="11"/>
        <color theme="1"/>
        <rFont val="宋体"/>
        <family val="3"/>
        <charset val="134"/>
      </rPr>
      <t>总层数</t>
    </r>
    <phoneticPr fontId="135" type="noConversion"/>
  </si>
  <si>
    <r>
      <rPr>
        <sz val="11"/>
        <color theme="1"/>
        <rFont val="宋体"/>
        <family val="3"/>
        <charset val="134"/>
      </rPr>
      <t>所在层数</t>
    </r>
    <phoneticPr fontId="135" type="noConversion"/>
  </si>
  <si>
    <r>
      <rPr>
        <sz val="11"/>
        <color theme="1"/>
        <rFont val="宋体"/>
        <family val="3"/>
        <charset val="134"/>
      </rPr>
      <t>建筑面积</t>
    </r>
    <phoneticPr fontId="135" type="noConversion"/>
  </si>
  <si>
    <r>
      <t>2</t>
    </r>
    <r>
      <rPr>
        <sz val="11"/>
        <color theme="1"/>
        <rFont val="宋体"/>
        <family val="3"/>
        <charset val="134"/>
      </rPr>
      <t>单元</t>
    </r>
    <r>
      <rPr>
        <sz val="11"/>
        <color theme="1"/>
        <rFont val="Arial"/>
        <family val="2"/>
      </rPr>
      <t>618</t>
    </r>
    <phoneticPr fontId="135" type="noConversion"/>
  </si>
  <si>
    <r>
      <t>2</t>
    </r>
    <r>
      <rPr>
        <sz val="11"/>
        <color theme="1"/>
        <rFont val="宋体"/>
        <family val="3"/>
        <charset val="134"/>
      </rPr>
      <t>单元</t>
    </r>
    <r>
      <rPr>
        <sz val="11"/>
        <color theme="1"/>
        <rFont val="Arial"/>
        <family val="2"/>
      </rPr>
      <t>619</t>
    </r>
    <r>
      <rPr>
        <sz val="11"/>
        <color theme="1"/>
        <rFont val="宋体"/>
        <family val="2"/>
        <charset val="134"/>
        <scheme val="minor"/>
      </rPr>
      <t/>
    </r>
  </si>
  <si>
    <r>
      <t>2</t>
    </r>
    <r>
      <rPr>
        <sz val="11"/>
        <color theme="1"/>
        <rFont val="宋体"/>
        <family val="3"/>
        <charset val="134"/>
      </rPr>
      <t>单元</t>
    </r>
    <r>
      <rPr>
        <sz val="11"/>
        <color theme="1"/>
        <rFont val="Arial"/>
        <family val="2"/>
      </rPr>
      <t>621</t>
    </r>
    <phoneticPr fontId="135" type="noConversion"/>
  </si>
  <si>
    <r>
      <t>2</t>
    </r>
    <r>
      <rPr>
        <sz val="11"/>
        <color theme="1"/>
        <rFont val="宋体"/>
        <family val="3"/>
        <charset val="134"/>
      </rPr>
      <t>单元</t>
    </r>
    <r>
      <rPr>
        <sz val="11"/>
        <color theme="1"/>
        <rFont val="Arial"/>
        <family val="2"/>
      </rPr>
      <t>622</t>
    </r>
    <r>
      <rPr>
        <sz val="11"/>
        <color theme="1"/>
        <rFont val="宋体"/>
        <family val="2"/>
        <charset val="134"/>
        <scheme val="minor"/>
      </rPr>
      <t/>
    </r>
  </si>
  <si>
    <r>
      <t>2</t>
    </r>
    <r>
      <rPr>
        <sz val="11"/>
        <color theme="1"/>
        <rFont val="宋体"/>
        <family val="3"/>
        <charset val="134"/>
      </rPr>
      <t>单元</t>
    </r>
    <r>
      <rPr>
        <sz val="11"/>
        <color theme="1"/>
        <rFont val="Arial"/>
        <family val="2"/>
      </rPr>
      <t>623</t>
    </r>
    <r>
      <rPr>
        <sz val="11"/>
        <color theme="1"/>
        <rFont val="宋体"/>
        <family val="2"/>
        <charset val="134"/>
        <scheme val="minor"/>
      </rPr>
      <t/>
    </r>
  </si>
  <si>
    <r>
      <t>2</t>
    </r>
    <r>
      <rPr>
        <sz val="11"/>
        <color theme="1"/>
        <rFont val="宋体"/>
        <family val="3"/>
        <charset val="134"/>
      </rPr>
      <t>单元</t>
    </r>
    <r>
      <rPr>
        <sz val="11"/>
        <color theme="1"/>
        <rFont val="Arial"/>
        <family val="2"/>
      </rPr>
      <t>625</t>
    </r>
    <phoneticPr fontId="135" type="noConversion"/>
  </si>
  <si>
    <r>
      <t>2</t>
    </r>
    <r>
      <rPr>
        <sz val="11"/>
        <color theme="1"/>
        <rFont val="宋体"/>
        <family val="3"/>
        <charset val="134"/>
      </rPr>
      <t>单元</t>
    </r>
    <r>
      <rPr>
        <sz val="11"/>
        <color theme="1"/>
        <rFont val="Arial"/>
        <family val="2"/>
      </rPr>
      <t>626</t>
    </r>
    <r>
      <rPr>
        <sz val="11"/>
        <color theme="1"/>
        <rFont val="宋体"/>
        <family val="2"/>
        <charset val="134"/>
        <scheme val="minor"/>
      </rPr>
      <t/>
    </r>
  </si>
  <si>
    <r>
      <t>19</t>
    </r>
    <r>
      <rPr>
        <sz val="11"/>
        <color theme="1"/>
        <rFont val="宋体"/>
        <family val="3"/>
        <charset val="134"/>
      </rPr>
      <t>（</t>
    </r>
    <r>
      <rPr>
        <sz val="11"/>
        <color theme="1"/>
        <rFont val="Arial"/>
        <family val="2"/>
      </rPr>
      <t>-3</t>
    </r>
    <r>
      <rPr>
        <sz val="11"/>
        <color theme="1"/>
        <rFont val="宋体"/>
        <family val="3"/>
        <charset val="134"/>
      </rPr>
      <t>）</t>
    </r>
    <phoneticPr fontId="135" type="noConversion"/>
  </si>
  <si>
    <t>办公</t>
    <phoneticPr fontId="135" type="noConversion"/>
  </si>
  <si>
    <r>
      <t>2</t>
    </r>
    <r>
      <rPr>
        <sz val="11"/>
        <color theme="1"/>
        <rFont val="宋体"/>
        <family val="3"/>
        <charset val="134"/>
      </rPr>
      <t>单元</t>
    </r>
    <r>
      <rPr>
        <sz val="11"/>
        <color theme="1"/>
        <rFont val="Arial"/>
        <family val="2"/>
      </rPr>
      <t>701</t>
    </r>
    <phoneticPr fontId="135" type="noConversion"/>
  </si>
  <si>
    <r>
      <t>2</t>
    </r>
    <r>
      <rPr>
        <sz val="11"/>
        <color theme="1"/>
        <rFont val="宋体"/>
        <family val="3"/>
        <charset val="134"/>
      </rPr>
      <t>单元</t>
    </r>
    <r>
      <rPr>
        <sz val="11"/>
        <color theme="1"/>
        <rFont val="Arial"/>
        <family val="2"/>
      </rPr>
      <t>709</t>
    </r>
    <phoneticPr fontId="135" type="noConversion"/>
  </si>
  <si>
    <r>
      <t>2</t>
    </r>
    <r>
      <rPr>
        <sz val="11"/>
        <color theme="1"/>
        <rFont val="宋体"/>
        <family val="3"/>
        <charset val="134"/>
      </rPr>
      <t>单元</t>
    </r>
    <r>
      <rPr>
        <sz val="11"/>
        <color theme="1"/>
        <rFont val="Arial"/>
        <family val="2"/>
      </rPr>
      <t>718</t>
    </r>
    <phoneticPr fontId="135" type="noConversion"/>
  </si>
  <si>
    <r>
      <t>2</t>
    </r>
    <r>
      <rPr>
        <sz val="11"/>
        <color theme="1"/>
        <rFont val="宋体"/>
        <family val="3"/>
        <charset val="134"/>
      </rPr>
      <t>单元</t>
    </r>
    <r>
      <rPr>
        <sz val="11"/>
        <color theme="1"/>
        <rFont val="Arial"/>
        <family val="2"/>
      </rPr>
      <t>719</t>
    </r>
    <phoneticPr fontId="135" type="noConversion"/>
  </si>
  <si>
    <r>
      <t>2</t>
    </r>
    <r>
      <rPr>
        <sz val="11"/>
        <color theme="1"/>
        <rFont val="宋体"/>
        <family val="3"/>
        <charset val="134"/>
      </rPr>
      <t>单元</t>
    </r>
    <r>
      <rPr>
        <sz val="11"/>
        <color theme="1"/>
        <rFont val="Arial"/>
        <family val="2"/>
      </rPr>
      <t>721</t>
    </r>
    <phoneticPr fontId="135" type="noConversion"/>
  </si>
  <si>
    <r>
      <t>2</t>
    </r>
    <r>
      <rPr>
        <sz val="11"/>
        <color theme="1"/>
        <rFont val="宋体"/>
        <family val="3"/>
        <charset val="134"/>
      </rPr>
      <t>单元</t>
    </r>
    <r>
      <rPr>
        <sz val="11"/>
        <color theme="1"/>
        <rFont val="Arial"/>
        <family val="2"/>
      </rPr>
      <t>722</t>
    </r>
    <r>
      <rPr>
        <sz val="11"/>
        <color theme="1"/>
        <rFont val="宋体"/>
        <family val="2"/>
        <charset val="134"/>
        <scheme val="minor"/>
      </rPr>
      <t/>
    </r>
  </si>
  <si>
    <r>
      <t>2</t>
    </r>
    <r>
      <rPr>
        <sz val="11"/>
        <color theme="1"/>
        <rFont val="宋体"/>
        <family val="3"/>
        <charset val="134"/>
      </rPr>
      <t>单元</t>
    </r>
    <r>
      <rPr>
        <sz val="11"/>
        <color theme="1"/>
        <rFont val="Arial"/>
        <family val="2"/>
      </rPr>
      <t>726</t>
    </r>
    <phoneticPr fontId="135" type="noConversion"/>
  </si>
  <si>
    <r>
      <t>2</t>
    </r>
    <r>
      <rPr>
        <sz val="11"/>
        <color theme="1"/>
        <rFont val="宋体"/>
        <family val="3"/>
        <charset val="134"/>
      </rPr>
      <t>单元</t>
    </r>
    <r>
      <rPr>
        <sz val="11"/>
        <color theme="1"/>
        <rFont val="Arial"/>
        <family val="2"/>
      </rPr>
      <t>809</t>
    </r>
    <phoneticPr fontId="135" type="noConversion"/>
  </si>
  <si>
    <r>
      <t>2</t>
    </r>
    <r>
      <rPr>
        <sz val="11"/>
        <color theme="1"/>
        <rFont val="宋体"/>
        <family val="3"/>
        <charset val="134"/>
      </rPr>
      <t>单元</t>
    </r>
    <r>
      <rPr>
        <sz val="11"/>
        <color theme="1"/>
        <rFont val="Arial"/>
        <family val="2"/>
      </rPr>
      <t>810</t>
    </r>
    <r>
      <rPr>
        <sz val="11"/>
        <color theme="1"/>
        <rFont val="宋体"/>
        <family val="2"/>
        <charset val="134"/>
        <scheme val="minor"/>
      </rPr>
      <t/>
    </r>
  </si>
  <si>
    <r>
      <t>2</t>
    </r>
    <r>
      <rPr>
        <sz val="11"/>
        <color theme="1"/>
        <rFont val="宋体"/>
        <family val="3"/>
        <charset val="134"/>
      </rPr>
      <t>单元</t>
    </r>
    <r>
      <rPr>
        <sz val="11"/>
        <color theme="1"/>
        <rFont val="Arial"/>
        <family val="2"/>
      </rPr>
      <t>811</t>
    </r>
    <r>
      <rPr>
        <sz val="11"/>
        <color theme="1"/>
        <rFont val="宋体"/>
        <family val="2"/>
        <charset val="134"/>
        <scheme val="minor"/>
      </rPr>
      <t/>
    </r>
  </si>
  <si>
    <r>
      <t>2</t>
    </r>
    <r>
      <rPr>
        <sz val="11"/>
        <color theme="1"/>
        <rFont val="宋体"/>
        <family val="3"/>
        <charset val="134"/>
      </rPr>
      <t>单元</t>
    </r>
    <r>
      <rPr>
        <sz val="11"/>
        <color theme="1"/>
        <rFont val="Arial"/>
        <family val="2"/>
      </rPr>
      <t>815</t>
    </r>
    <phoneticPr fontId="135" type="noConversion"/>
  </si>
  <si>
    <r>
      <t>2</t>
    </r>
    <r>
      <rPr>
        <sz val="11"/>
        <color theme="1"/>
        <rFont val="宋体"/>
        <family val="3"/>
        <charset val="134"/>
      </rPr>
      <t>单元</t>
    </r>
    <r>
      <rPr>
        <sz val="11"/>
        <color theme="1"/>
        <rFont val="Arial"/>
        <family val="2"/>
      </rPr>
      <t>816</t>
    </r>
    <phoneticPr fontId="135" type="noConversion"/>
  </si>
  <si>
    <r>
      <t>2</t>
    </r>
    <r>
      <rPr>
        <sz val="11"/>
        <color theme="1"/>
        <rFont val="宋体"/>
        <family val="3"/>
        <charset val="134"/>
      </rPr>
      <t>单元</t>
    </r>
    <r>
      <rPr>
        <sz val="11"/>
        <color theme="1"/>
        <rFont val="Arial"/>
        <family val="2"/>
      </rPr>
      <t>817</t>
    </r>
    <r>
      <rPr>
        <sz val="11"/>
        <color theme="1"/>
        <rFont val="宋体"/>
        <family val="2"/>
        <charset val="134"/>
        <scheme val="minor"/>
      </rPr>
      <t/>
    </r>
  </si>
  <si>
    <r>
      <t>2</t>
    </r>
    <r>
      <rPr>
        <sz val="11"/>
        <color theme="1"/>
        <rFont val="宋体"/>
        <family val="3"/>
        <charset val="134"/>
      </rPr>
      <t>单元</t>
    </r>
    <r>
      <rPr>
        <sz val="11"/>
        <color theme="1"/>
        <rFont val="Arial"/>
        <family val="2"/>
      </rPr>
      <t>901</t>
    </r>
    <phoneticPr fontId="135" type="noConversion"/>
  </si>
  <si>
    <r>
      <t>2</t>
    </r>
    <r>
      <rPr>
        <sz val="11"/>
        <color theme="1"/>
        <rFont val="宋体"/>
        <family val="3"/>
        <charset val="134"/>
      </rPr>
      <t>单元</t>
    </r>
    <r>
      <rPr>
        <sz val="11"/>
        <color theme="1"/>
        <rFont val="Arial"/>
        <family val="2"/>
      </rPr>
      <t>909</t>
    </r>
    <phoneticPr fontId="135" type="noConversion"/>
  </si>
  <si>
    <r>
      <t>2</t>
    </r>
    <r>
      <rPr>
        <sz val="11"/>
        <color theme="1"/>
        <rFont val="宋体"/>
        <family val="3"/>
        <charset val="134"/>
      </rPr>
      <t>单元</t>
    </r>
    <r>
      <rPr>
        <sz val="11"/>
        <color theme="1"/>
        <rFont val="Arial"/>
        <family val="2"/>
      </rPr>
      <t>910</t>
    </r>
    <r>
      <rPr>
        <sz val="11"/>
        <color theme="1"/>
        <rFont val="宋体"/>
        <family val="2"/>
        <charset val="134"/>
        <scheme val="minor"/>
      </rPr>
      <t/>
    </r>
  </si>
  <si>
    <r>
      <t>2</t>
    </r>
    <r>
      <rPr>
        <sz val="11"/>
        <color theme="1"/>
        <rFont val="宋体"/>
        <family val="3"/>
        <charset val="134"/>
      </rPr>
      <t>单元</t>
    </r>
    <r>
      <rPr>
        <sz val="11"/>
        <color theme="1"/>
        <rFont val="Arial"/>
        <family val="2"/>
      </rPr>
      <t>911</t>
    </r>
    <r>
      <rPr>
        <sz val="11"/>
        <color theme="1"/>
        <rFont val="宋体"/>
        <family val="2"/>
        <charset val="134"/>
        <scheme val="minor"/>
      </rPr>
      <t/>
    </r>
  </si>
  <si>
    <r>
      <t>2</t>
    </r>
    <r>
      <rPr>
        <sz val="11"/>
        <color theme="1"/>
        <rFont val="宋体"/>
        <family val="3"/>
        <charset val="134"/>
      </rPr>
      <t>单元</t>
    </r>
    <r>
      <rPr>
        <sz val="11"/>
        <color theme="1"/>
        <rFont val="Arial"/>
        <family val="2"/>
      </rPr>
      <t>916</t>
    </r>
    <phoneticPr fontId="135" type="noConversion"/>
  </si>
  <si>
    <r>
      <t>2</t>
    </r>
    <r>
      <rPr>
        <sz val="11"/>
        <color theme="1"/>
        <rFont val="宋体"/>
        <family val="3"/>
        <charset val="134"/>
      </rPr>
      <t>单元</t>
    </r>
    <r>
      <rPr>
        <sz val="11"/>
        <color theme="1"/>
        <rFont val="Arial"/>
        <family val="2"/>
      </rPr>
      <t>1003</t>
    </r>
    <phoneticPr fontId="135" type="noConversion"/>
  </si>
  <si>
    <r>
      <t>2</t>
    </r>
    <r>
      <rPr>
        <sz val="11"/>
        <color theme="1"/>
        <rFont val="宋体"/>
        <family val="3"/>
        <charset val="134"/>
      </rPr>
      <t>单元</t>
    </r>
    <r>
      <rPr>
        <sz val="11"/>
        <color theme="1"/>
        <rFont val="Arial"/>
        <family val="2"/>
      </rPr>
      <t>1005</t>
    </r>
    <phoneticPr fontId="135" type="noConversion"/>
  </si>
  <si>
    <r>
      <t>2</t>
    </r>
    <r>
      <rPr>
        <sz val="11"/>
        <color theme="1"/>
        <rFont val="宋体"/>
        <family val="3"/>
        <charset val="134"/>
      </rPr>
      <t>单元</t>
    </r>
    <r>
      <rPr>
        <sz val="11"/>
        <color theme="1"/>
        <rFont val="Arial"/>
        <family val="2"/>
      </rPr>
      <t>1007</t>
    </r>
    <phoneticPr fontId="135" type="noConversion"/>
  </si>
  <si>
    <r>
      <t>2</t>
    </r>
    <r>
      <rPr>
        <sz val="11"/>
        <color theme="1"/>
        <rFont val="宋体"/>
        <family val="3"/>
        <charset val="134"/>
      </rPr>
      <t>单元</t>
    </r>
    <r>
      <rPr>
        <sz val="11"/>
        <color theme="1"/>
        <rFont val="Arial"/>
        <family val="2"/>
      </rPr>
      <t>1009</t>
    </r>
    <phoneticPr fontId="135" type="noConversion"/>
  </si>
  <si>
    <r>
      <t>2</t>
    </r>
    <r>
      <rPr>
        <sz val="11"/>
        <color theme="1"/>
        <rFont val="宋体"/>
        <family val="3"/>
        <charset val="134"/>
      </rPr>
      <t>单元</t>
    </r>
    <r>
      <rPr>
        <sz val="11"/>
        <color theme="1"/>
        <rFont val="Arial"/>
        <family val="2"/>
      </rPr>
      <t>1010</t>
    </r>
    <phoneticPr fontId="135" type="noConversion"/>
  </si>
  <si>
    <r>
      <t>2</t>
    </r>
    <r>
      <rPr>
        <sz val="11"/>
        <color theme="1"/>
        <rFont val="宋体"/>
        <family val="3"/>
        <charset val="134"/>
      </rPr>
      <t>单元</t>
    </r>
    <r>
      <rPr>
        <sz val="11"/>
        <color theme="1"/>
        <rFont val="Arial"/>
        <family val="2"/>
      </rPr>
      <t>1011</t>
    </r>
    <r>
      <rPr>
        <sz val="11"/>
        <color theme="1"/>
        <rFont val="宋体"/>
        <family val="2"/>
        <charset val="134"/>
        <scheme val="minor"/>
      </rPr>
      <t/>
    </r>
  </si>
  <si>
    <r>
      <t>2</t>
    </r>
    <r>
      <rPr>
        <sz val="11"/>
        <color theme="1"/>
        <rFont val="宋体"/>
        <family val="3"/>
        <charset val="134"/>
      </rPr>
      <t>单元</t>
    </r>
    <r>
      <rPr>
        <sz val="11"/>
        <color theme="1"/>
        <rFont val="Arial"/>
        <family val="2"/>
      </rPr>
      <t>1012</t>
    </r>
    <r>
      <rPr>
        <sz val="11"/>
        <color theme="1"/>
        <rFont val="宋体"/>
        <family val="2"/>
        <charset val="134"/>
        <scheme val="minor"/>
      </rPr>
      <t/>
    </r>
  </si>
  <si>
    <r>
      <t>2</t>
    </r>
    <r>
      <rPr>
        <sz val="11"/>
        <color theme="1"/>
        <rFont val="宋体"/>
        <family val="3"/>
        <charset val="134"/>
      </rPr>
      <t>单元</t>
    </r>
    <r>
      <rPr>
        <sz val="11"/>
        <color theme="1"/>
        <rFont val="Arial"/>
        <family val="2"/>
      </rPr>
      <t>1016</t>
    </r>
    <r>
      <rPr>
        <sz val="11"/>
        <color theme="1"/>
        <rFont val="宋体"/>
        <family val="2"/>
        <charset val="134"/>
        <scheme val="minor"/>
      </rPr>
      <t/>
    </r>
  </si>
  <si>
    <r>
      <t>2</t>
    </r>
    <r>
      <rPr>
        <sz val="11"/>
        <color theme="1"/>
        <rFont val="宋体"/>
        <family val="3"/>
        <charset val="134"/>
      </rPr>
      <t>单元</t>
    </r>
    <r>
      <rPr>
        <sz val="11"/>
        <color theme="1"/>
        <rFont val="Arial"/>
        <family val="2"/>
      </rPr>
      <t>1015</t>
    </r>
    <phoneticPr fontId="135" type="noConversion"/>
  </si>
  <si>
    <r>
      <t>2</t>
    </r>
    <r>
      <rPr>
        <sz val="11"/>
        <color theme="1"/>
        <rFont val="宋体"/>
        <family val="3"/>
        <charset val="134"/>
      </rPr>
      <t>单元</t>
    </r>
    <r>
      <rPr>
        <sz val="11"/>
        <color theme="1"/>
        <rFont val="Arial"/>
        <family val="2"/>
      </rPr>
      <t>1017</t>
    </r>
    <r>
      <rPr>
        <sz val="11"/>
        <color theme="1"/>
        <rFont val="宋体"/>
        <family val="2"/>
        <charset val="134"/>
        <scheme val="minor"/>
      </rPr>
      <t/>
    </r>
  </si>
  <si>
    <r>
      <t>2</t>
    </r>
    <r>
      <rPr>
        <sz val="11"/>
        <color theme="1"/>
        <rFont val="宋体"/>
        <family val="3"/>
        <charset val="134"/>
      </rPr>
      <t>单元</t>
    </r>
    <r>
      <rPr>
        <sz val="11"/>
        <color theme="1"/>
        <rFont val="Arial"/>
        <family val="2"/>
      </rPr>
      <t>1107</t>
    </r>
    <phoneticPr fontId="135" type="noConversion"/>
  </si>
  <si>
    <r>
      <t>2</t>
    </r>
    <r>
      <rPr>
        <sz val="11"/>
        <color theme="1"/>
        <rFont val="宋体"/>
        <family val="3"/>
        <charset val="134"/>
      </rPr>
      <t>单元</t>
    </r>
    <r>
      <rPr>
        <sz val="11"/>
        <color theme="1"/>
        <rFont val="Arial"/>
        <family val="2"/>
      </rPr>
      <t>1112</t>
    </r>
    <phoneticPr fontId="135" type="noConversion"/>
  </si>
  <si>
    <r>
      <t>2</t>
    </r>
    <r>
      <rPr>
        <sz val="11"/>
        <color theme="1"/>
        <rFont val="宋体"/>
        <family val="3"/>
        <charset val="134"/>
      </rPr>
      <t>单元</t>
    </r>
    <r>
      <rPr>
        <sz val="11"/>
        <color theme="1"/>
        <rFont val="Arial"/>
        <family val="2"/>
      </rPr>
      <t>1207</t>
    </r>
    <phoneticPr fontId="135" type="noConversion"/>
  </si>
  <si>
    <r>
      <t>2</t>
    </r>
    <r>
      <rPr>
        <sz val="11"/>
        <color theme="1"/>
        <rFont val="宋体"/>
        <family val="3"/>
        <charset val="134"/>
      </rPr>
      <t>单元</t>
    </r>
    <r>
      <rPr>
        <sz val="11"/>
        <color theme="1"/>
        <rFont val="Arial"/>
        <family val="2"/>
      </rPr>
      <t>1208</t>
    </r>
    <r>
      <rPr>
        <sz val="11"/>
        <color theme="1"/>
        <rFont val="宋体"/>
        <family val="2"/>
        <charset val="134"/>
        <scheme val="minor"/>
      </rPr>
      <t/>
    </r>
  </si>
  <si>
    <r>
      <t>2</t>
    </r>
    <r>
      <rPr>
        <sz val="11"/>
        <color theme="1"/>
        <rFont val="宋体"/>
        <family val="3"/>
        <charset val="134"/>
      </rPr>
      <t>单元</t>
    </r>
    <r>
      <rPr>
        <sz val="11"/>
        <color theme="1"/>
        <rFont val="Arial"/>
        <family val="2"/>
      </rPr>
      <t>1210</t>
    </r>
    <phoneticPr fontId="135" type="noConversion"/>
  </si>
  <si>
    <r>
      <t>2</t>
    </r>
    <r>
      <rPr>
        <sz val="11"/>
        <color theme="1"/>
        <rFont val="宋体"/>
        <family val="3"/>
        <charset val="134"/>
      </rPr>
      <t>单元</t>
    </r>
    <r>
      <rPr>
        <sz val="11"/>
        <color theme="1"/>
        <rFont val="Arial"/>
        <family val="2"/>
      </rPr>
      <t>1212</t>
    </r>
    <phoneticPr fontId="135" type="noConversion"/>
  </si>
  <si>
    <r>
      <t>2</t>
    </r>
    <r>
      <rPr>
        <sz val="11"/>
        <color theme="1"/>
        <rFont val="宋体"/>
        <family val="3"/>
        <charset val="134"/>
      </rPr>
      <t>单元</t>
    </r>
    <r>
      <rPr>
        <sz val="11"/>
        <color theme="1"/>
        <rFont val="Arial"/>
        <family val="2"/>
      </rPr>
      <t>1216</t>
    </r>
    <phoneticPr fontId="135" type="noConversion"/>
  </si>
  <si>
    <r>
      <t>2</t>
    </r>
    <r>
      <rPr>
        <sz val="11"/>
        <color theme="1"/>
        <rFont val="宋体"/>
        <family val="3"/>
        <charset val="134"/>
      </rPr>
      <t>单元</t>
    </r>
    <r>
      <rPr>
        <sz val="11"/>
        <color theme="1"/>
        <rFont val="Arial"/>
        <family val="2"/>
      </rPr>
      <t>1217</t>
    </r>
    <r>
      <rPr>
        <sz val="11"/>
        <color theme="1"/>
        <rFont val="宋体"/>
        <family val="2"/>
        <charset val="134"/>
        <scheme val="minor"/>
      </rPr>
      <t/>
    </r>
  </si>
  <si>
    <r>
      <t>2</t>
    </r>
    <r>
      <rPr>
        <sz val="11"/>
        <color theme="1"/>
        <rFont val="宋体"/>
        <family val="3"/>
        <charset val="134"/>
      </rPr>
      <t>单元</t>
    </r>
    <r>
      <rPr>
        <sz val="11"/>
        <color theme="1"/>
        <rFont val="Arial"/>
        <family val="2"/>
      </rPr>
      <t>1602</t>
    </r>
    <phoneticPr fontId="135" type="noConversion"/>
  </si>
  <si>
    <r>
      <t>2</t>
    </r>
    <r>
      <rPr>
        <sz val="11"/>
        <color theme="1"/>
        <rFont val="宋体"/>
        <family val="3"/>
        <charset val="134"/>
      </rPr>
      <t>单元</t>
    </r>
    <r>
      <rPr>
        <sz val="11"/>
        <color theme="1"/>
        <rFont val="Arial"/>
        <family val="2"/>
      </rPr>
      <t>1603</t>
    </r>
    <r>
      <rPr>
        <sz val="11"/>
        <color theme="1"/>
        <rFont val="宋体"/>
        <family val="2"/>
        <charset val="134"/>
        <scheme val="minor"/>
      </rPr>
      <t/>
    </r>
  </si>
  <si>
    <r>
      <t>2</t>
    </r>
    <r>
      <rPr>
        <sz val="11"/>
        <color theme="1"/>
        <rFont val="宋体"/>
        <family val="3"/>
        <charset val="134"/>
      </rPr>
      <t>单元</t>
    </r>
    <r>
      <rPr>
        <sz val="11"/>
        <color theme="1"/>
        <rFont val="Arial"/>
        <family val="2"/>
      </rPr>
      <t>1605</t>
    </r>
    <phoneticPr fontId="135" type="noConversion"/>
  </si>
  <si>
    <r>
      <t>2</t>
    </r>
    <r>
      <rPr>
        <sz val="11"/>
        <color theme="1"/>
        <rFont val="宋体"/>
        <family val="3"/>
        <charset val="134"/>
      </rPr>
      <t>单元</t>
    </r>
    <r>
      <rPr>
        <sz val="11"/>
        <color theme="1"/>
        <rFont val="Arial"/>
        <family val="2"/>
      </rPr>
      <t>1606</t>
    </r>
    <r>
      <rPr>
        <sz val="11"/>
        <color theme="1"/>
        <rFont val="宋体"/>
        <family val="2"/>
        <charset val="134"/>
        <scheme val="minor"/>
      </rPr>
      <t/>
    </r>
  </si>
  <si>
    <r>
      <t>2</t>
    </r>
    <r>
      <rPr>
        <sz val="11"/>
        <color theme="1"/>
        <rFont val="宋体"/>
        <family val="3"/>
        <charset val="134"/>
      </rPr>
      <t>单元</t>
    </r>
    <r>
      <rPr>
        <sz val="11"/>
        <color theme="1"/>
        <rFont val="Arial"/>
        <family val="2"/>
      </rPr>
      <t>1607</t>
    </r>
    <r>
      <rPr>
        <sz val="11"/>
        <color theme="1"/>
        <rFont val="宋体"/>
        <family val="2"/>
        <charset val="134"/>
        <scheme val="minor"/>
      </rPr>
      <t/>
    </r>
  </si>
  <si>
    <r>
      <t>2</t>
    </r>
    <r>
      <rPr>
        <sz val="11"/>
        <color theme="1"/>
        <rFont val="宋体"/>
        <family val="3"/>
        <charset val="134"/>
      </rPr>
      <t>单元</t>
    </r>
    <r>
      <rPr>
        <sz val="11"/>
        <color theme="1"/>
        <rFont val="Arial"/>
        <family val="2"/>
      </rPr>
      <t>1608</t>
    </r>
    <r>
      <rPr>
        <sz val="11"/>
        <color theme="1"/>
        <rFont val="宋体"/>
        <family val="2"/>
        <charset val="134"/>
        <scheme val="minor"/>
      </rPr>
      <t/>
    </r>
  </si>
  <si>
    <r>
      <t>2</t>
    </r>
    <r>
      <rPr>
        <sz val="11"/>
        <color theme="1"/>
        <rFont val="宋体"/>
        <family val="3"/>
        <charset val="134"/>
      </rPr>
      <t>单元</t>
    </r>
    <r>
      <rPr>
        <sz val="11"/>
        <color theme="1"/>
        <rFont val="Arial"/>
        <family val="2"/>
      </rPr>
      <t>1610</t>
    </r>
    <r>
      <rPr>
        <sz val="11"/>
        <color theme="1"/>
        <rFont val="宋体"/>
        <family val="2"/>
        <charset val="134"/>
        <scheme val="minor"/>
      </rPr>
      <t/>
    </r>
  </si>
  <si>
    <r>
      <t>2</t>
    </r>
    <r>
      <rPr>
        <sz val="11"/>
        <color theme="1"/>
        <rFont val="宋体"/>
        <family val="3"/>
        <charset val="134"/>
      </rPr>
      <t>单元</t>
    </r>
    <r>
      <rPr>
        <sz val="11"/>
        <color theme="1"/>
        <rFont val="Arial"/>
        <family val="2"/>
      </rPr>
      <t>1611</t>
    </r>
    <phoneticPr fontId="135" type="noConversion"/>
  </si>
  <si>
    <r>
      <t>2</t>
    </r>
    <r>
      <rPr>
        <sz val="11"/>
        <color theme="1"/>
        <rFont val="宋体"/>
        <family val="3"/>
        <charset val="134"/>
      </rPr>
      <t>单元</t>
    </r>
    <r>
      <rPr>
        <sz val="11"/>
        <color theme="1"/>
        <rFont val="Arial"/>
        <family val="2"/>
      </rPr>
      <t>1612</t>
    </r>
    <phoneticPr fontId="135" type="noConversion"/>
  </si>
  <si>
    <r>
      <t>2</t>
    </r>
    <r>
      <rPr>
        <sz val="11"/>
        <color theme="1"/>
        <rFont val="宋体"/>
        <family val="3"/>
        <charset val="134"/>
      </rPr>
      <t>单元</t>
    </r>
    <r>
      <rPr>
        <sz val="11"/>
        <color theme="1"/>
        <rFont val="Arial"/>
        <family val="2"/>
      </rPr>
      <t>1703</t>
    </r>
    <r>
      <rPr>
        <sz val="11"/>
        <color theme="1"/>
        <rFont val="宋体"/>
        <family val="2"/>
        <charset val="134"/>
        <scheme val="minor"/>
      </rPr>
      <t/>
    </r>
    <phoneticPr fontId="135" type="noConversion"/>
  </si>
  <si>
    <r>
      <t>2</t>
    </r>
    <r>
      <rPr>
        <sz val="11"/>
        <color theme="1"/>
        <rFont val="宋体"/>
        <family val="3"/>
        <charset val="134"/>
      </rPr>
      <t>单元</t>
    </r>
    <r>
      <rPr>
        <sz val="11"/>
        <color theme="1"/>
        <rFont val="Arial"/>
        <family val="2"/>
      </rPr>
      <t>1707</t>
    </r>
    <r>
      <rPr>
        <sz val="11"/>
        <color theme="1"/>
        <rFont val="宋体"/>
        <family val="2"/>
        <charset val="134"/>
        <scheme val="minor"/>
      </rPr>
      <t/>
    </r>
  </si>
  <si>
    <r>
      <t>2</t>
    </r>
    <r>
      <rPr>
        <sz val="11"/>
        <color theme="1"/>
        <rFont val="宋体"/>
        <family val="3"/>
        <charset val="134"/>
      </rPr>
      <t>单元</t>
    </r>
    <r>
      <rPr>
        <sz val="11"/>
        <color theme="1"/>
        <rFont val="Arial"/>
        <family val="2"/>
      </rPr>
      <t>1708</t>
    </r>
    <r>
      <rPr>
        <sz val="11"/>
        <color theme="1"/>
        <rFont val="宋体"/>
        <family val="2"/>
        <charset val="134"/>
        <scheme val="minor"/>
      </rPr>
      <t/>
    </r>
  </si>
  <si>
    <r>
      <t>2</t>
    </r>
    <r>
      <rPr>
        <sz val="11"/>
        <color theme="1"/>
        <rFont val="宋体"/>
        <family val="3"/>
        <charset val="134"/>
      </rPr>
      <t>单元</t>
    </r>
    <r>
      <rPr>
        <sz val="11"/>
        <color theme="1"/>
        <rFont val="Arial"/>
        <family val="2"/>
      </rPr>
      <t>1710</t>
    </r>
    <phoneticPr fontId="135" type="noConversion"/>
  </si>
  <si>
    <r>
      <t>2</t>
    </r>
    <r>
      <rPr>
        <sz val="11"/>
        <color theme="1"/>
        <rFont val="宋体"/>
        <family val="3"/>
        <charset val="134"/>
      </rPr>
      <t>单元</t>
    </r>
    <r>
      <rPr>
        <sz val="11"/>
        <color theme="1"/>
        <rFont val="Arial"/>
        <family val="2"/>
      </rPr>
      <t>1711</t>
    </r>
    <r>
      <rPr>
        <sz val="11"/>
        <color theme="1"/>
        <rFont val="宋体"/>
        <family val="2"/>
        <charset val="134"/>
        <scheme val="minor"/>
      </rPr>
      <t/>
    </r>
  </si>
  <si>
    <r>
      <t>2</t>
    </r>
    <r>
      <rPr>
        <sz val="11"/>
        <color theme="1"/>
        <rFont val="宋体"/>
        <family val="3"/>
        <charset val="134"/>
      </rPr>
      <t>单元</t>
    </r>
    <r>
      <rPr>
        <sz val="11"/>
        <color theme="1"/>
        <rFont val="Arial"/>
        <family val="2"/>
      </rPr>
      <t>1712</t>
    </r>
    <r>
      <rPr>
        <sz val="11"/>
        <color theme="1"/>
        <rFont val="宋体"/>
        <family val="2"/>
        <charset val="134"/>
        <scheme val="minor"/>
      </rPr>
      <t/>
    </r>
  </si>
  <si>
    <r>
      <t>2</t>
    </r>
    <r>
      <rPr>
        <sz val="11"/>
        <color theme="1"/>
        <rFont val="宋体"/>
        <family val="3"/>
        <charset val="134"/>
      </rPr>
      <t>单元</t>
    </r>
    <r>
      <rPr>
        <sz val="11"/>
        <color theme="1"/>
        <rFont val="Arial"/>
        <family val="2"/>
      </rPr>
      <t>1716</t>
    </r>
    <phoneticPr fontId="135" type="noConversion"/>
  </si>
  <si>
    <r>
      <t>2</t>
    </r>
    <r>
      <rPr>
        <sz val="11"/>
        <color theme="1"/>
        <rFont val="宋体"/>
        <family val="3"/>
        <charset val="134"/>
      </rPr>
      <t>单元</t>
    </r>
    <r>
      <rPr>
        <sz val="11"/>
        <color theme="1"/>
        <rFont val="Arial"/>
        <family val="2"/>
      </rPr>
      <t>1717</t>
    </r>
    <phoneticPr fontId="135" type="noConversion"/>
  </si>
  <si>
    <t>办公</t>
    <phoneticPr fontId="135" type="noConversion"/>
  </si>
  <si>
    <r>
      <t>2</t>
    </r>
    <r>
      <rPr>
        <sz val="11"/>
        <color theme="1"/>
        <rFont val="宋体"/>
        <family val="3"/>
        <charset val="134"/>
      </rPr>
      <t>单元</t>
    </r>
    <r>
      <rPr>
        <sz val="11"/>
        <color theme="1"/>
        <rFont val="Arial"/>
        <family val="2"/>
      </rPr>
      <t>1801</t>
    </r>
    <phoneticPr fontId="135" type="noConversion"/>
  </si>
  <si>
    <r>
      <t>2</t>
    </r>
    <r>
      <rPr>
        <sz val="11"/>
        <color theme="1"/>
        <rFont val="宋体"/>
        <family val="3"/>
        <charset val="134"/>
      </rPr>
      <t>单元</t>
    </r>
    <r>
      <rPr>
        <sz val="11"/>
        <color theme="1"/>
        <rFont val="Arial"/>
        <family val="2"/>
      </rPr>
      <t>1805</t>
    </r>
    <phoneticPr fontId="135" type="noConversion"/>
  </si>
  <si>
    <r>
      <t>2</t>
    </r>
    <r>
      <rPr>
        <sz val="11"/>
        <color theme="1"/>
        <rFont val="宋体"/>
        <family val="3"/>
        <charset val="134"/>
      </rPr>
      <t>单元</t>
    </r>
    <r>
      <rPr>
        <sz val="11"/>
        <color theme="1"/>
        <rFont val="Arial"/>
        <family val="2"/>
      </rPr>
      <t>1806</t>
    </r>
    <r>
      <rPr>
        <sz val="11"/>
        <color theme="1"/>
        <rFont val="宋体"/>
        <family val="2"/>
        <charset val="134"/>
        <scheme val="minor"/>
      </rPr>
      <t/>
    </r>
  </si>
  <si>
    <r>
      <t>2</t>
    </r>
    <r>
      <rPr>
        <sz val="11"/>
        <color theme="1"/>
        <rFont val="宋体"/>
        <family val="3"/>
        <charset val="134"/>
      </rPr>
      <t>单元</t>
    </r>
    <r>
      <rPr>
        <sz val="11"/>
        <color theme="1"/>
        <rFont val="Arial"/>
        <family val="2"/>
      </rPr>
      <t>1807</t>
    </r>
    <r>
      <rPr>
        <sz val="11"/>
        <color theme="1"/>
        <rFont val="宋体"/>
        <family val="2"/>
        <charset val="134"/>
        <scheme val="minor"/>
      </rPr>
      <t/>
    </r>
  </si>
  <si>
    <r>
      <t>2</t>
    </r>
    <r>
      <rPr>
        <sz val="11"/>
        <color theme="1"/>
        <rFont val="宋体"/>
        <family val="3"/>
        <charset val="134"/>
      </rPr>
      <t>单元</t>
    </r>
    <r>
      <rPr>
        <sz val="11"/>
        <color theme="1"/>
        <rFont val="Arial"/>
        <family val="2"/>
      </rPr>
      <t>1808</t>
    </r>
    <r>
      <rPr>
        <sz val="11"/>
        <color theme="1"/>
        <rFont val="宋体"/>
        <family val="2"/>
        <charset val="134"/>
        <scheme val="minor"/>
      </rPr>
      <t/>
    </r>
  </si>
  <si>
    <r>
      <t>2</t>
    </r>
    <r>
      <rPr>
        <sz val="11"/>
        <color theme="1"/>
        <rFont val="宋体"/>
        <family val="3"/>
        <charset val="134"/>
      </rPr>
      <t>单元</t>
    </r>
    <r>
      <rPr>
        <sz val="11"/>
        <color theme="1"/>
        <rFont val="Arial"/>
        <family val="2"/>
      </rPr>
      <t>1810</t>
    </r>
    <phoneticPr fontId="135" type="noConversion"/>
  </si>
  <si>
    <r>
      <t>6</t>
    </r>
    <r>
      <rPr>
        <sz val="11"/>
        <color theme="1"/>
        <rFont val="宋体"/>
        <family val="3"/>
        <charset val="134"/>
      </rPr>
      <t>单元</t>
    </r>
    <r>
      <rPr>
        <sz val="11"/>
        <color theme="1"/>
        <rFont val="Arial"/>
        <family val="2"/>
      </rPr>
      <t>201</t>
    </r>
    <phoneticPr fontId="135" type="noConversion"/>
  </si>
  <si>
    <r>
      <t>6</t>
    </r>
    <r>
      <rPr>
        <sz val="11"/>
        <color theme="1"/>
        <rFont val="宋体"/>
        <family val="3"/>
        <charset val="134"/>
      </rPr>
      <t>单元</t>
    </r>
    <r>
      <rPr>
        <sz val="11"/>
        <color theme="1"/>
        <rFont val="Arial"/>
        <family val="2"/>
      </rPr>
      <t>202</t>
    </r>
    <r>
      <rPr>
        <sz val="11"/>
        <color theme="1"/>
        <rFont val="宋体"/>
        <family val="2"/>
        <charset val="134"/>
        <scheme val="minor"/>
      </rPr>
      <t/>
    </r>
  </si>
  <si>
    <r>
      <t>6</t>
    </r>
    <r>
      <rPr>
        <sz val="11"/>
        <color theme="1"/>
        <rFont val="宋体"/>
        <family val="3"/>
        <charset val="134"/>
      </rPr>
      <t>单元</t>
    </r>
    <r>
      <rPr>
        <sz val="11"/>
        <color theme="1"/>
        <rFont val="Arial"/>
        <family val="2"/>
      </rPr>
      <t>203</t>
    </r>
    <r>
      <rPr>
        <sz val="11"/>
        <color theme="1"/>
        <rFont val="宋体"/>
        <family val="2"/>
        <charset val="134"/>
        <scheme val="minor"/>
      </rPr>
      <t/>
    </r>
  </si>
  <si>
    <r>
      <t>6</t>
    </r>
    <r>
      <rPr>
        <sz val="11"/>
        <color theme="1"/>
        <rFont val="宋体"/>
        <family val="3"/>
        <charset val="134"/>
      </rPr>
      <t>单元</t>
    </r>
    <r>
      <rPr>
        <sz val="11"/>
        <color theme="1"/>
        <rFont val="Arial"/>
        <family val="2"/>
      </rPr>
      <t>205</t>
    </r>
    <r>
      <rPr>
        <sz val="11"/>
        <color theme="1"/>
        <rFont val="宋体"/>
        <family val="2"/>
        <charset val="134"/>
        <scheme val="minor"/>
      </rPr>
      <t/>
    </r>
  </si>
  <si>
    <r>
      <t>6</t>
    </r>
    <r>
      <rPr>
        <sz val="11"/>
        <color theme="1"/>
        <rFont val="宋体"/>
        <family val="3"/>
        <charset val="134"/>
      </rPr>
      <t>单元</t>
    </r>
    <r>
      <rPr>
        <sz val="11"/>
        <color theme="1"/>
        <rFont val="Arial"/>
        <family val="2"/>
      </rPr>
      <t>206</t>
    </r>
    <r>
      <rPr>
        <sz val="11"/>
        <color theme="1"/>
        <rFont val="宋体"/>
        <family val="2"/>
        <charset val="134"/>
        <scheme val="minor"/>
      </rPr>
      <t/>
    </r>
  </si>
  <si>
    <r>
      <t>6</t>
    </r>
    <r>
      <rPr>
        <sz val="11"/>
        <color theme="1"/>
        <rFont val="宋体"/>
        <family val="3"/>
        <charset val="134"/>
      </rPr>
      <t>单元</t>
    </r>
    <r>
      <rPr>
        <sz val="11"/>
        <color theme="1"/>
        <rFont val="Arial"/>
        <family val="2"/>
      </rPr>
      <t>207</t>
    </r>
    <r>
      <rPr>
        <sz val="11"/>
        <color theme="1"/>
        <rFont val="宋体"/>
        <family val="2"/>
        <charset val="134"/>
        <scheme val="minor"/>
      </rPr>
      <t/>
    </r>
  </si>
  <si>
    <r>
      <t>6</t>
    </r>
    <r>
      <rPr>
        <sz val="11"/>
        <color theme="1"/>
        <rFont val="宋体"/>
        <family val="3"/>
        <charset val="134"/>
      </rPr>
      <t>单元</t>
    </r>
    <r>
      <rPr>
        <sz val="11"/>
        <color theme="1"/>
        <rFont val="Arial"/>
        <family val="2"/>
      </rPr>
      <t>208</t>
    </r>
    <r>
      <rPr>
        <sz val="11"/>
        <color theme="1"/>
        <rFont val="宋体"/>
        <family val="2"/>
        <charset val="134"/>
        <scheme val="minor"/>
      </rPr>
      <t/>
    </r>
  </si>
  <si>
    <r>
      <t>6</t>
    </r>
    <r>
      <rPr>
        <sz val="11"/>
        <color theme="1"/>
        <rFont val="宋体"/>
        <family val="3"/>
        <charset val="134"/>
      </rPr>
      <t>单元</t>
    </r>
    <r>
      <rPr>
        <sz val="11"/>
        <color theme="1"/>
        <rFont val="Arial"/>
        <family val="2"/>
      </rPr>
      <t>209</t>
    </r>
    <r>
      <rPr>
        <sz val="11"/>
        <color theme="1"/>
        <rFont val="宋体"/>
        <family val="2"/>
        <charset val="134"/>
        <scheme val="minor"/>
      </rPr>
      <t/>
    </r>
  </si>
  <si>
    <r>
      <t>6</t>
    </r>
    <r>
      <rPr>
        <sz val="11"/>
        <color theme="1"/>
        <rFont val="宋体"/>
        <family val="3"/>
        <charset val="134"/>
      </rPr>
      <t>单元</t>
    </r>
    <r>
      <rPr>
        <sz val="11"/>
        <color theme="1"/>
        <rFont val="Arial"/>
        <family val="2"/>
      </rPr>
      <t>808</t>
    </r>
    <phoneticPr fontId="135" type="noConversion"/>
  </si>
  <si>
    <r>
      <t>6</t>
    </r>
    <r>
      <rPr>
        <sz val="11"/>
        <color theme="1"/>
        <rFont val="宋体"/>
        <family val="3"/>
        <charset val="134"/>
      </rPr>
      <t>单元</t>
    </r>
    <r>
      <rPr>
        <sz val="11"/>
        <color theme="1"/>
        <rFont val="Arial"/>
        <family val="2"/>
      </rPr>
      <t>1101</t>
    </r>
    <phoneticPr fontId="135" type="noConversion"/>
  </si>
  <si>
    <r>
      <t>6</t>
    </r>
    <r>
      <rPr>
        <sz val="11"/>
        <color theme="1"/>
        <rFont val="宋体"/>
        <family val="3"/>
        <charset val="134"/>
      </rPr>
      <t>单元</t>
    </r>
    <r>
      <rPr>
        <sz val="11"/>
        <color theme="1"/>
        <rFont val="Arial"/>
        <family val="2"/>
      </rPr>
      <t>1102</t>
    </r>
    <r>
      <rPr>
        <sz val="11"/>
        <color theme="1"/>
        <rFont val="宋体"/>
        <family val="2"/>
        <charset val="134"/>
        <scheme val="minor"/>
      </rPr>
      <t/>
    </r>
  </si>
  <si>
    <r>
      <t>6</t>
    </r>
    <r>
      <rPr>
        <sz val="11"/>
        <color theme="1"/>
        <rFont val="宋体"/>
        <family val="3"/>
        <charset val="134"/>
      </rPr>
      <t>单元</t>
    </r>
    <r>
      <rPr>
        <sz val="11"/>
        <color theme="1"/>
        <rFont val="Arial"/>
        <family val="2"/>
      </rPr>
      <t>1103</t>
    </r>
    <r>
      <rPr>
        <sz val="11"/>
        <color theme="1"/>
        <rFont val="宋体"/>
        <family val="2"/>
        <charset val="134"/>
        <scheme val="minor"/>
      </rPr>
      <t/>
    </r>
  </si>
  <si>
    <r>
      <t>6</t>
    </r>
    <r>
      <rPr>
        <sz val="11"/>
        <color theme="1"/>
        <rFont val="宋体"/>
        <family val="3"/>
        <charset val="134"/>
      </rPr>
      <t>单元</t>
    </r>
    <r>
      <rPr>
        <sz val="11"/>
        <color theme="1"/>
        <rFont val="Arial"/>
        <family val="2"/>
      </rPr>
      <t>1105</t>
    </r>
    <r>
      <rPr>
        <sz val="11"/>
        <color theme="1"/>
        <rFont val="宋体"/>
        <family val="2"/>
        <charset val="134"/>
        <scheme val="minor"/>
      </rPr>
      <t/>
    </r>
  </si>
  <si>
    <r>
      <t>6</t>
    </r>
    <r>
      <rPr>
        <sz val="11"/>
        <color theme="1"/>
        <rFont val="宋体"/>
        <family val="3"/>
        <charset val="134"/>
      </rPr>
      <t>单元</t>
    </r>
    <r>
      <rPr>
        <sz val="11"/>
        <color theme="1"/>
        <rFont val="Arial"/>
        <family val="2"/>
      </rPr>
      <t>1106</t>
    </r>
    <r>
      <rPr>
        <sz val="11"/>
        <color theme="1"/>
        <rFont val="宋体"/>
        <family val="2"/>
        <charset val="134"/>
        <scheme val="minor"/>
      </rPr>
      <t/>
    </r>
  </si>
  <si>
    <r>
      <t>6</t>
    </r>
    <r>
      <rPr>
        <sz val="11"/>
        <color theme="1"/>
        <rFont val="宋体"/>
        <family val="3"/>
        <charset val="134"/>
      </rPr>
      <t>单元</t>
    </r>
    <r>
      <rPr>
        <sz val="11"/>
        <color theme="1"/>
        <rFont val="Arial"/>
        <family val="2"/>
      </rPr>
      <t>1107</t>
    </r>
    <r>
      <rPr>
        <sz val="11"/>
        <color theme="1"/>
        <rFont val="宋体"/>
        <family val="2"/>
        <charset val="134"/>
        <scheme val="minor"/>
      </rPr>
      <t/>
    </r>
  </si>
  <si>
    <r>
      <t>6</t>
    </r>
    <r>
      <rPr>
        <sz val="11"/>
        <color theme="1"/>
        <rFont val="宋体"/>
        <family val="3"/>
        <charset val="134"/>
      </rPr>
      <t>单元</t>
    </r>
    <r>
      <rPr>
        <sz val="11"/>
        <color theme="1"/>
        <rFont val="Arial"/>
        <family val="2"/>
      </rPr>
      <t>1108</t>
    </r>
    <r>
      <rPr>
        <sz val="11"/>
        <color theme="1"/>
        <rFont val="宋体"/>
        <family val="2"/>
        <charset val="134"/>
        <scheme val="minor"/>
      </rPr>
      <t/>
    </r>
  </si>
  <si>
    <r>
      <t>6</t>
    </r>
    <r>
      <rPr>
        <sz val="11"/>
        <color theme="1"/>
        <rFont val="宋体"/>
        <family val="3"/>
        <charset val="134"/>
      </rPr>
      <t>单元</t>
    </r>
    <r>
      <rPr>
        <sz val="11"/>
        <color theme="1"/>
        <rFont val="Arial"/>
        <family val="2"/>
      </rPr>
      <t>1109</t>
    </r>
    <r>
      <rPr>
        <sz val="11"/>
        <color theme="1"/>
        <rFont val="宋体"/>
        <family val="2"/>
        <charset val="134"/>
        <scheme val="minor"/>
      </rPr>
      <t/>
    </r>
  </si>
  <si>
    <r>
      <t>6</t>
    </r>
    <r>
      <rPr>
        <sz val="11"/>
        <color theme="1"/>
        <rFont val="宋体"/>
        <family val="3"/>
        <charset val="134"/>
      </rPr>
      <t>单元</t>
    </r>
    <r>
      <rPr>
        <sz val="11"/>
        <color theme="1"/>
        <rFont val="Arial"/>
        <family val="2"/>
      </rPr>
      <t>1201</t>
    </r>
    <phoneticPr fontId="135" type="noConversion"/>
  </si>
  <si>
    <r>
      <t>6</t>
    </r>
    <r>
      <rPr>
        <sz val="11"/>
        <color theme="1"/>
        <rFont val="宋体"/>
        <family val="3"/>
        <charset val="134"/>
      </rPr>
      <t>单元</t>
    </r>
    <r>
      <rPr>
        <sz val="11"/>
        <color theme="1"/>
        <rFont val="Arial"/>
        <family val="2"/>
      </rPr>
      <t>1202</t>
    </r>
    <r>
      <rPr>
        <sz val="11"/>
        <color theme="1"/>
        <rFont val="宋体"/>
        <family val="2"/>
        <charset val="134"/>
        <scheme val="minor"/>
      </rPr>
      <t/>
    </r>
  </si>
  <si>
    <r>
      <t>6</t>
    </r>
    <r>
      <rPr>
        <sz val="11"/>
        <color theme="1"/>
        <rFont val="宋体"/>
        <family val="3"/>
        <charset val="134"/>
      </rPr>
      <t>单元</t>
    </r>
    <r>
      <rPr>
        <sz val="11"/>
        <color theme="1"/>
        <rFont val="Arial"/>
        <family val="2"/>
      </rPr>
      <t>1203</t>
    </r>
    <r>
      <rPr>
        <sz val="11"/>
        <color theme="1"/>
        <rFont val="宋体"/>
        <family val="2"/>
        <charset val="134"/>
        <scheme val="minor"/>
      </rPr>
      <t/>
    </r>
  </si>
  <si>
    <r>
      <t>6</t>
    </r>
    <r>
      <rPr>
        <sz val="11"/>
        <color theme="1"/>
        <rFont val="宋体"/>
        <family val="3"/>
        <charset val="134"/>
      </rPr>
      <t>单元</t>
    </r>
    <r>
      <rPr>
        <sz val="11"/>
        <color theme="1"/>
        <rFont val="Arial"/>
        <family val="2"/>
      </rPr>
      <t>1205</t>
    </r>
    <phoneticPr fontId="135" type="noConversion"/>
  </si>
  <si>
    <r>
      <t>6</t>
    </r>
    <r>
      <rPr>
        <sz val="11"/>
        <color theme="1"/>
        <rFont val="宋体"/>
        <family val="3"/>
        <charset val="134"/>
      </rPr>
      <t>单元</t>
    </r>
    <r>
      <rPr>
        <sz val="11"/>
        <color theme="1"/>
        <rFont val="Arial"/>
        <family val="2"/>
      </rPr>
      <t>1206</t>
    </r>
    <r>
      <rPr>
        <sz val="11"/>
        <color theme="1"/>
        <rFont val="宋体"/>
        <family val="2"/>
        <charset val="134"/>
        <scheme val="minor"/>
      </rPr>
      <t/>
    </r>
  </si>
  <si>
    <r>
      <t>6</t>
    </r>
    <r>
      <rPr>
        <sz val="11"/>
        <color theme="1"/>
        <rFont val="宋体"/>
        <family val="3"/>
        <charset val="134"/>
      </rPr>
      <t>单元</t>
    </r>
    <r>
      <rPr>
        <sz val="11"/>
        <color theme="1"/>
        <rFont val="Arial"/>
        <family val="2"/>
      </rPr>
      <t>1207</t>
    </r>
    <r>
      <rPr>
        <sz val="11"/>
        <color theme="1"/>
        <rFont val="宋体"/>
        <family val="2"/>
        <charset val="134"/>
        <scheme val="minor"/>
      </rPr>
      <t/>
    </r>
  </si>
  <si>
    <r>
      <t>6</t>
    </r>
    <r>
      <rPr>
        <sz val="11"/>
        <color theme="1"/>
        <rFont val="宋体"/>
        <family val="3"/>
        <charset val="134"/>
      </rPr>
      <t>单元</t>
    </r>
    <r>
      <rPr>
        <sz val="11"/>
        <color theme="1"/>
        <rFont val="Arial"/>
        <family val="2"/>
      </rPr>
      <t>1208</t>
    </r>
    <r>
      <rPr>
        <sz val="11"/>
        <color theme="1"/>
        <rFont val="宋体"/>
        <family val="2"/>
        <charset val="134"/>
        <scheme val="minor"/>
      </rPr>
      <t/>
    </r>
  </si>
  <si>
    <r>
      <t>6</t>
    </r>
    <r>
      <rPr>
        <sz val="11"/>
        <color theme="1"/>
        <rFont val="宋体"/>
        <family val="3"/>
        <charset val="134"/>
      </rPr>
      <t>单元</t>
    </r>
    <r>
      <rPr>
        <sz val="11"/>
        <color theme="1"/>
        <rFont val="Arial"/>
        <family val="2"/>
      </rPr>
      <t>1209</t>
    </r>
    <r>
      <rPr>
        <sz val="11"/>
        <color theme="1"/>
        <rFont val="宋体"/>
        <family val="2"/>
        <charset val="134"/>
        <scheme val="minor"/>
      </rPr>
      <t/>
    </r>
  </si>
  <si>
    <r>
      <t>6</t>
    </r>
    <r>
      <rPr>
        <sz val="11"/>
        <color theme="1"/>
        <rFont val="宋体"/>
        <family val="3"/>
        <charset val="134"/>
      </rPr>
      <t>单元</t>
    </r>
    <r>
      <rPr>
        <sz val="11"/>
        <color theme="1"/>
        <rFont val="Arial"/>
        <family val="2"/>
      </rPr>
      <t>2001</t>
    </r>
    <phoneticPr fontId="135" type="noConversion"/>
  </si>
  <si>
    <r>
      <t>6</t>
    </r>
    <r>
      <rPr>
        <sz val="11"/>
        <color theme="1"/>
        <rFont val="宋体"/>
        <family val="3"/>
        <charset val="134"/>
      </rPr>
      <t>单元</t>
    </r>
    <r>
      <rPr>
        <sz val="11"/>
        <color theme="1"/>
        <rFont val="Arial"/>
        <family val="2"/>
      </rPr>
      <t>2002</t>
    </r>
    <r>
      <rPr>
        <sz val="11"/>
        <color theme="1"/>
        <rFont val="宋体"/>
        <family val="2"/>
        <charset val="134"/>
        <scheme val="minor"/>
      </rPr>
      <t/>
    </r>
  </si>
  <si>
    <r>
      <t>6</t>
    </r>
    <r>
      <rPr>
        <sz val="11"/>
        <color theme="1"/>
        <rFont val="宋体"/>
        <family val="3"/>
        <charset val="134"/>
      </rPr>
      <t>单元</t>
    </r>
    <r>
      <rPr>
        <sz val="11"/>
        <color theme="1"/>
        <rFont val="Arial"/>
        <family val="2"/>
      </rPr>
      <t>2003</t>
    </r>
    <r>
      <rPr>
        <sz val="11"/>
        <color theme="1"/>
        <rFont val="宋体"/>
        <family val="2"/>
        <charset val="134"/>
        <scheme val="minor"/>
      </rPr>
      <t/>
    </r>
  </si>
  <si>
    <r>
      <t>6</t>
    </r>
    <r>
      <rPr>
        <sz val="11"/>
        <color theme="1"/>
        <rFont val="宋体"/>
        <family val="3"/>
        <charset val="134"/>
      </rPr>
      <t>单元</t>
    </r>
    <r>
      <rPr>
        <sz val="11"/>
        <color theme="1"/>
        <rFont val="Arial"/>
        <family val="2"/>
      </rPr>
      <t>2005</t>
    </r>
    <r>
      <rPr>
        <sz val="11"/>
        <color theme="1"/>
        <rFont val="宋体"/>
        <family val="2"/>
        <charset val="134"/>
        <scheme val="minor"/>
      </rPr>
      <t/>
    </r>
  </si>
  <si>
    <r>
      <t>6</t>
    </r>
    <r>
      <rPr>
        <sz val="11"/>
        <color theme="1"/>
        <rFont val="宋体"/>
        <family val="3"/>
        <charset val="134"/>
      </rPr>
      <t>单元</t>
    </r>
    <r>
      <rPr>
        <sz val="11"/>
        <color theme="1"/>
        <rFont val="Arial"/>
        <family val="2"/>
      </rPr>
      <t>2006</t>
    </r>
    <r>
      <rPr>
        <sz val="11"/>
        <color theme="1"/>
        <rFont val="宋体"/>
        <family val="2"/>
        <charset val="134"/>
        <scheme val="minor"/>
      </rPr>
      <t/>
    </r>
  </si>
  <si>
    <r>
      <t>6</t>
    </r>
    <r>
      <rPr>
        <sz val="11"/>
        <color theme="1"/>
        <rFont val="宋体"/>
        <family val="3"/>
        <charset val="134"/>
      </rPr>
      <t>单元</t>
    </r>
    <r>
      <rPr>
        <sz val="11"/>
        <color theme="1"/>
        <rFont val="Arial"/>
        <family val="2"/>
      </rPr>
      <t>2007</t>
    </r>
    <r>
      <rPr>
        <sz val="11"/>
        <color theme="1"/>
        <rFont val="宋体"/>
        <family val="2"/>
        <charset val="134"/>
        <scheme val="minor"/>
      </rPr>
      <t/>
    </r>
  </si>
  <si>
    <r>
      <t>6</t>
    </r>
    <r>
      <rPr>
        <sz val="11"/>
        <color theme="1"/>
        <rFont val="宋体"/>
        <family val="3"/>
        <charset val="134"/>
      </rPr>
      <t>单元</t>
    </r>
    <r>
      <rPr>
        <sz val="11"/>
        <color theme="1"/>
        <rFont val="Arial"/>
        <family val="2"/>
      </rPr>
      <t>2008</t>
    </r>
    <r>
      <rPr>
        <sz val="11"/>
        <color theme="1"/>
        <rFont val="宋体"/>
        <family val="2"/>
        <charset val="134"/>
        <scheme val="minor"/>
      </rPr>
      <t/>
    </r>
  </si>
  <si>
    <r>
      <t>6</t>
    </r>
    <r>
      <rPr>
        <sz val="11"/>
        <color theme="1"/>
        <rFont val="宋体"/>
        <family val="3"/>
        <charset val="134"/>
      </rPr>
      <t>单元</t>
    </r>
    <r>
      <rPr>
        <sz val="11"/>
        <color theme="1"/>
        <rFont val="Arial"/>
        <family val="2"/>
      </rPr>
      <t>2009</t>
    </r>
    <r>
      <rPr>
        <sz val="11"/>
        <color theme="1"/>
        <rFont val="宋体"/>
        <family val="2"/>
        <charset val="134"/>
        <scheme val="minor"/>
      </rPr>
      <t/>
    </r>
  </si>
  <si>
    <r>
      <t>6</t>
    </r>
    <r>
      <rPr>
        <sz val="11"/>
        <color theme="1"/>
        <rFont val="宋体"/>
        <family val="3"/>
        <charset val="134"/>
      </rPr>
      <t>单元</t>
    </r>
    <r>
      <rPr>
        <sz val="11"/>
        <color theme="1"/>
        <rFont val="Arial"/>
        <family val="2"/>
      </rPr>
      <t>2101</t>
    </r>
    <phoneticPr fontId="135" type="noConversion"/>
  </si>
  <si>
    <r>
      <t>6</t>
    </r>
    <r>
      <rPr>
        <sz val="11"/>
        <color theme="1"/>
        <rFont val="宋体"/>
        <family val="3"/>
        <charset val="134"/>
      </rPr>
      <t>单元</t>
    </r>
    <r>
      <rPr>
        <sz val="11"/>
        <color theme="1"/>
        <rFont val="Arial"/>
        <family val="2"/>
      </rPr>
      <t>2102</t>
    </r>
    <r>
      <rPr>
        <sz val="11"/>
        <color theme="1"/>
        <rFont val="宋体"/>
        <family val="2"/>
        <charset val="134"/>
        <scheme val="minor"/>
      </rPr>
      <t/>
    </r>
  </si>
  <si>
    <r>
      <t>6</t>
    </r>
    <r>
      <rPr>
        <sz val="11"/>
        <color theme="1"/>
        <rFont val="宋体"/>
        <family val="3"/>
        <charset val="134"/>
      </rPr>
      <t>单元</t>
    </r>
    <r>
      <rPr>
        <sz val="11"/>
        <color theme="1"/>
        <rFont val="Arial"/>
        <family val="2"/>
      </rPr>
      <t>2103</t>
    </r>
    <r>
      <rPr>
        <sz val="11"/>
        <color theme="1"/>
        <rFont val="宋体"/>
        <family val="2"/>
        <charset val="134"/>
        <scheme val="minor"/>
      </rPr>
      <t/>
    </r>
  </si>
  <si>
    <r>
      <t>6</t>
    </r>
    <r>
      <rPr>
        <sz val="11"/>
        <color theme="1"/>
        <rFont val="宋体"/>
        <family val="3"/>
        <charset val="134"/>
      </rPr>
      <t>单元</t>
    </r>
    <r>
      <rPr>
        <sz val="11"/>
        <color theme="1"/>
        <rFont val="Arial"/>
        <family val="2"/>
      </rPr>
      <t>2105</t>
    </r>
    <r>
      <rPr>
        <sz val="11"/>
        <color theme="1"/>
        <rFont val="宋体"/>
        <family val="2"/>
        <charset val="134"/>
        <scheme val="minor"/>
      </rPr>
      <t/>
    </r>
  </si>
  <si>
    <r>
      <t>6</t>
    </r>
    <r>
      <rPr>
        <sz val="11"/>
        <color theme="1"/>
        <rFont val="宋体"/>
        <family val="3"/>
        <charset val="134"/>
      </rPr>
      <t>单元</t>
    </r>
    <r>
      <rPr>
        <sz val="11"/>
        <color theme="1"/>
        <rFont val="Arial"/>
        <family val="2"/>
      </rPr>
      <t>2106</t>
    </r>
    <r>
      <rPr>
        <sz val="11"/>
        <color theme="1"/>
        <rFont val="宋体"/>
        <family val="2"/>
        <charset val="134"/>
        <scheme val="minor"/>
      </rPr>
      <t/>
    </r>
  </si>
  <si>
    <r>
      <t>6</t>
    </r>
    <r>
      <rPr>
        <sz val="11"/>
        <color theme="1"/>
        <rFont val="宋体"/>
        <family val="3"/>
        <charset val="134"/>
      </rPr>
      <t>单元</t>
    </r>
    <r>
      <rPr>
        <sz val="11"/>
        <color theme="1"/>
        <rFont val="Arial"/>
        <family val="2"/>
      </rPr>
      <t>2107</t>
    </r>
    <r>
      <rPr>
        <sz val="11"/>
        <color theme="1"/>
        <rFont val="宋体"/>
        <family val="2"/>
        <charset val="134"/>
        <scheme val="minor"/>
      </rPr>
      <t/>
    </r>
  </si>
  <si>
    <r>
      <t>6</t>
    </r>
    <r>
      <rPr>
        <sz val="11"/>
        <color theme="1"/>
        <rFont val="宋体"/>
        <family val="3"/>
        <charset val="134"/>
      </rPr>
      <t>单元</t>
    </r>
    <r>
      <rPr>
        <sz val="11"/>
        <color theme="1"/>
        <rFont val="Arial"/>
        <family val="2"/>
      </rPr>
      <t>2108</t>
    </r>
    <r>
      <rPr>
        <sz val="11"/>
        <color theme="1"/>
        <rFont val="宋体"/>
        <family val="2"/>
        <charset val="134"/>
        <scheme val="minor"/>
      </rPr>
      <t/>
    </r>
  </si>
  <si>
    <r>
      <t>6</t>
    </r>
    <r>
      <rPr>
        <sz val="11"/>
        <color theme="1"/>
        <rFont val="宋体"/>
        <family val="3"/>
        <charset val="134"/>
      </rPr>
      <t>单元</t>
    </r>
    <r>
      <rPr>
        <sz val="11"/>
        <color theme="1"/>
        <rFont val="Arial"/>
        <family val="2"/>
      </rPr>
      <t>2109</t>
    </r>
    <r>
      <rPr>
        <sz val="11"/>
        <color theme="1"/>
        <rFont val="宋体"/>
        <family val="2"/>
        <charset val="134"/>
        <scheme val="minor"/>
      </rPr>
      <t/>
    </r>
  </si>
  <si>
    <r>
      <t>3</t>
    </r>
    <r>
      <rPr>
        <sz val="11"/>
        <color theme="1"/>
        <rFont val="宋体"/>
        <family val="3"/>
        <charset val="134"/>
      </rPr>
      <t>单元</t>
    </r>
    <r>
      <rPr>
        <sz val="11"/>
        <color theme="1"/>
        <rFont val="Arial"/>
        <family val="2"/>
      </rPr>
      <t>103</t>
    </r>
    <phoneticPr fontId="135" type="noConversion"/>
  </si>
  <si>
    <t>办公小计</t>
    <phoneticPr fontId="135" type="noConversion"/>
  </si>
  <si>
    <r>
      <t>3</t>
    </r>
    <r>
      <rPr>
        <sz val="11"/>
        <color theme="1"/>
        <rFont val="宋体"/>
        <family val="3"/>
        <charset val="134"/>
      </rPr>
      <t>单元</t>
    </r>
    <r>
      <rPr>
        <sz val="11"/>
        <color theme="1"/>
        <rFont val="Arial"/>
        <family val="2"/>
      </rPr>
      <t>105</t>
    </r>
    <phoneticPr fontId="135" type="noConversion"/>
  </si>
  <si>
    <r>
      <t>1</t>
    </r>
    <r>
      <rPr>
        <sz val="11"/>
        <color theme="1"/>
        <rFont val="宋体"/>
        <family val="3"/>
        <charset val="134"/>
      </rPr>
      <t>单元</t>
    </r>
    <r>
      <rPr>
        <sz val="11"/>
        <color theme="1"/>
        <rFont val="Arial"/>
        <family val="2"/>
      </rPr>
      <t>101</t>
    </r>
    <phoneticPr fontId="135" type="noConversion"/>
  </si>
  <si>
    <r>
      <t>1</t>
    </r>
    <r>
      <rPr>
        <sz val="11"/>
        <color theme="1"/>
        <rFont val="宋体"/>
        <family val="3"/>
        <charset val="134"/>
      </rPr>
      <t>单元</t>
    </r>
    <r>
      <rPr>
        <sz val="11"/>
        <color theme="1"/>
        <rFont val="Arial"/>
        <family val="2"/>
      </rPr>
      <t>102</t>
    </r>
    <r>
      <rPr>
        <sz val="11"/>
        <color theme="1"/>
        <rFont val="宋体"/>
        <family val="2"/>
        <charset val="134"/>
        <scheme val="minor"/>
      </rPr>
      <t/>
    </r>
  </si>
  <si>
    <r>
      <t>1</t>
    </r>
    <r>
      <rPr>
        <sz val="11"/>
        <color theme="1"/>
        <rFont val="宋体"/>
        <family val="3"/>
        <charset val="134"/>
      </rPr>
      <t>单元</t>
    </r>
    <r>
      <rPr>
        <sz val="11"/>
        <color theme="1"/>
        <rFont val="Arial"/>
        <family val="2"/>
      </rPr>
      <t>103</t>
    </r>
    <r>
      <rPr>
        <sz val="11"/>
        <color theme="1"/>
        <rFont val="宋体"/>
        <family val="2"/>
        <charset val="134"/>
        <scheme val="minor"/>
      </rPr>
      <t/>
    </r>
  </si>
  <si>
    <r>
      <t>1</t>
    </r>
    <r>
      <rPr>
        <sz val="11"/>
        <color theme="1"/>
        <rFont val="宋体"/>
        <family val="3"/>
        <charset val="134"/>
      </rPr>
      <t>单元</t>
    </r>
    <r>
      <rPr>
        <sz val="11"/>
        <color theme="1"/>
        <rFont val="Arial"/>
        <family val="2"/>
      </rPr>
      <t>105</t>
    </r>
    <r>
      <rPr>
        <sz val="11"/>
        <color theme="1"/>
        <rFont val="宋体"/>
        <family val="2"/>
        <charset val="134"/>
        <scheme val="minor"/>
      </rPr>
      <t/>
    </r>
  </si>
  <si>
    <r>
      <t>1</t>
    </r>
    <r>
      <rPr>
        <sz val="11"/>
        <color theme="1"/>
        <rFont val="宋体"/>
        <family val="3"/>
        <charset val="134"/>
      </rPr>
      <t>单元</t>
    </r>
    <r>
      <rPr>
        <sz val="11"/>
        <color theme="1"/>
        <rFont val="Arial"/>
        <family val="2"/>
      </rPr>
      <t>106</t>
    </r>
    <r>
      <rPr>
        <sz val="11"/>
        <color theme="1"/>
        <rFont val="宋体"/>
        <family val="2"/>
        <charset val="134"/>
        <scheme val="minor"/>
      </rPr>
      <t/>
    </r>
  </si>
  <si>
    <r>
      <t>6</t>
    </r>
    <r>
      <rPr>
        <sz val="11"/>
        <color theme="1"/>
        <rFont val="宋体"/>
        <family val="3"/>
        <charset val="134"/>
      </rPr>
      <t>单元</t>
    </r>
    <r>
      <rPr>
        <sz val="11"/>
        <color theme="1"/>
        <rFont val="Arial"/>
        <family val="2"/>
      </rPr>
      <t>101</t>
    </r>
    <phoneticPr fontId="135" type="noConversion"/>
  </si>
  <si>
    <r>
      <t>6</t>
    </r>
    <r>
      <rPr>
        <sz val="11"/>
        <color theme="1"/>
        <rFont val="宋体"/>
        <family val="3"/>
        <charset val="134"/>
      </rPr>
      <t>单元</t>
    </r>
    <r>
      <rPr>
        <sz val="11"/>
        <color theme="1"/>
        <rFont val="Arial"/>
        <family val="2"/>
      </rPr>
      <t>102</t>
    </r>
    <r>
      <rPr>
        <sz val="11"/>
        <color theme="1"/>
        <rFont val="宋体"/>
        <family val="2"/>
        <charset val="134"/>
        <scheme val="minor"/>
      </rPr>
      <t/>
    </r>
  </si>
  <si>
    <r>
      <t>6</t>
    </r>
    <r>
      <rPr>
        <sz val="11"/>
        <color theme="1"/>
        <rFont val="宋体"/>
        <family val="3"/>
        <charset val="134"/>
      </rPr>
      <t>单元</t>
    </r>
    <r>
      <rPr>
        <sz val="11"/>
        <color theme="1"/>
        <rFont val="Arial"/>
        <family val="2"/>
      </rPr>
      <t>103</t>
    </r>
    <r>
      <rPr>
        <sz val="11"/>
        <color theme="1"/>
        <rFont val="宋体"/>
        <family val="2"/>
        <charset val="134"/>
        <scheme val="minor"/>
      </rPr>
      <t/>
    </r>
  </si>
  <si>
    <t>商业</t>
    <phoneticPr fontId="135" type="noConversion"/>
  </si>
  <si>
    <r>
      <t>2</t>
    </r>
    <r>
      <rPr>
        <sz val="11"/>
        <color theme="1"/>
        <rFont val="宋体"/>
        <family val="3"/>
        <charset val="134"/>
      </rPr>
      <t>单元</t>
    </r>
    <r>
      <rPr>
        <sz val="11"/>
        <color theme="1"/>
        <rFont val="Arial"/>
        <family val="2"/>
      </rPr>
      <t>1615</t>
    </r>
    <phoneticPr fontId="135" type="noConversion"/>
  </si>
  <si>
    <r>
      <t>2</t>
    </r>
    <r>
      <rPr>
        <sz val="11"/>
        <color theme="1"/>
        <rFont val="宋体"/>
        <family val="3"/>
        <charset val="134"/>
      </rPr>
      <t>单元</t>
    </r>
    <r>
      <rPr>
        <sz val="11"/>
        <color theme="1"/>
        <rFont val="Arial"/>
        <family val="2"/>
      </rPr>
      <t>1617</t>
    </r>
    <phoneticPr fontId="135" type="noConversion"/>
  </si>
  <si>
    <t>地上</t>
  </si>
  <si>
    <t>是</t>
  </si>
  <si>
    <t>估价对象所在区域公共配套设施齐备情况较好</t>
  </si>
  <si>
    <t>估价对象所在区域基础设施水平七通</t>
  </si>
  <si>
    <t>金贸大厦</t>
    <phoneticPr fontId="4" type="noConversion"/>
  </si>
  <si>
    <t>正常</t>
  </si>
  <si>
    <t>报价</t>
  </si>
  <si>
    <t>报价</t>
    <phoneticPr fontId="32" type="noConversion"/>
  </si>
  <si>
    <t>单套模式</t>
  </si>
  <si>
    <t>售价</t>
  </si>
  <si>
    <t>办公</t>
    <phoneticPr fontId="32" type="noConversion"/>
  </si>
  <si>
    <t>较好</t>
  </si>
  <si>
    <t>七通</t>
  </si>
  <si>
    <t>西直门外大街</t>
    <phoneticPr fontId="4" type="noConversion"/>
  </si>
  <si>
    <t>西直门外大街</t>
    <phoneticPr fontId="4" type="noConversion"/>
  </si>
  <si>
    <t>西直门外大街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</si>
  <si>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</si>
  <si>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</si>
  <si>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</si>
  <si>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</si>
  <si>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</si>
  <si>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</si>
  <si>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</si>
  <si>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</si>
  <si>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主干道</t>
  </si>
  <si>
    <t>低区</t>
  </si>
  <si>
    <t>标准写字楼</t>
    <phoneticPr fontId="4" type="noConversion"/>
  </si>
  <si>
    <t>高层建筑</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</si>
  <si>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</si>
  <si>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</si>
  <si>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</si>
  <si>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</si>
  <si>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</si>
  <si>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</si>
  <si>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</si>
  <si>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</si>
  <si>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</si>
  <si>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</si>
  <si>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</si>
  <si>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</si>
  <si>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</si>
  <si>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</si>
  <si>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32" type="noConversion"/>
  </si>
  <si>
    <t>可餐饮</t>
  </si>
  <si>
    <t>可餐饮</t>
    <phoneticPr fontId="31" type="noConversion"/>
  </si>
  <si>
    <t>不可餐饮</t>
  </si>
  <si>
    <t>不可餐饮</t>
    <phoneticPr fontId="31" type="noConversion"/>
  </si>
  <si>
    <t>钢混</t>
    <phoneticPr fontId="4" type="noConversion"/>
  </si>
  <si>
    <t>配套商业</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</si>
  <si>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</si>
  <si>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</si>
  <si>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</si>
  <si>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</si>
  <si>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</si>
  <si>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</si>
  <si>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</si>
  <si>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</si>
  <si>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</si>
  <si>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</si>
  <si>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</si>
  <si>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</si>
  <si>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</si>
  <si>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</si>
  <si>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高层建筑</t>
  </si>
  <si>
    <t>钢混</t>
  </si>
  <si>
    <t>精装修</t>
  </si>
  <si>
    <t>乙级</t>
  </si>
  <si>
    <t>专业</t>
  </si>
  <si>
    <t>五通</t>
  </si>
  <si>
    <t>标准</t>
  </si>
  <si>
    <t>普装</t>
  </si>
  <si>
    <t>商业小计</t>
    <phoneticPr fontId="135" type="noConversion"/>
  </si>
  <si>
    <t>规划用途</t>
    <phoneticPr fontId="135" type="noConversion"/>
  </si>
  <si>
    <t>成新度</t>
  </si>
  <si>
    <t>收益法 (元)</t>
  </si>
  <si>
    <t>收益法商业</t>
  </si>
  <si>
    <t>收益法商业</t>
    <phoneticPr fontId="17" type="noConversion"/>
  </si>
  <si>
    <t>中区</t>
  </si>
  <si>
    <t>非生产用房</t>
  </si>
  <si>
    <t>否</t>
  </si>
  <si>
    <t>现房</t>
  </si>
  <si>
    <t>项目局部</t>
  </si>
  <si>
    <t>实际用途</t>
    <phoneticPr fontId="135" type="noConversion"/>
  </si>
  <si>
    <t>公寓</t>
  </si>
  <si>
    <t>公寓</t>
    <phoneticPr fontId="135" type="noConversion"/>
  </si>
  <si>
    <t>毛坯</t>
  </si>
  <si>
    <r>
      <rPr>
        <sz val="11"/>
        <color theme="1"/>
        <rFont val="宋体"/>
        <family val="3"/>
        <charset val="134"/>
      </rPr>
      <t>毛坯</t>
    </r>
    <phoneticPr fontId="135" type="noConversion"/>
  </si>
  <si>
    <t>现状用途</t>
    <phoneticPr fontId="32" type="noConversion"/>
  </si>
  <si>
    <t>公寓</t>
    <phoneticPr fontId="32" type="noConversion"/>
  </si>
  <si>
    <t>办公</t>
    <phoneticPr fontId="32" type="noConversion"/>
  </si>
  <si>
    <t>高区</t>
  </si>
  <si>
    <t>楼层</t>
    <phoneticPr fontId="4" type="noConversion"/>
  </si>
  <si>
    <t>装修</t>
    <phoneticPr fontId="4" type="noConversion"/>
  </si>
  <si>
    <t>简装</t>
  </si>
  <si>
    <t>现状用途</t>
    <phoneticPr fontId="4" type="noConversion"/>
  </si>
  <si>
    <t>收益比率</t>
  </si>
  <si>
    <t>押一</t>
  </si>
  <si>
    <t>总价</t>
  </si>
  <si>
    <t>商业</t>
    <phoneticPr fontId="31" type="noConversion"/>
  </si>
  <si>
    <t>单面临街</t>
  </si>
  <si>
    <t>浙商银行</t>
    <phoneticPr fontId="135" type="noConversion"/>
  </si>
  <si>
    <t>浦发银行</t>
    <phoneticPr fontId="135" type="noConversion"/>
  </si>
  <si>
    <t>链家</t>
    <phoneticPr fontId="135" type="noConversion"/>
  </si>
  <si>
    <t>餐厅</t>
    <phoneticPr fontId="135" type="noConversion"/>
  </si>
  <si>
    <t>蛋糕房</t>
    <phoneticPr fontId="135" type="noConversion"/>
  </si>
  <si>
    <t>基金会</t>
    <phoneticPr fontId="135" type="noConversion"/>
  </si>
  <si>
    <t>人寿</t>
    <phoneticPr fontId="135" type="noConversion"/>
  </si>
  <si>
    <t>配套商业</t>
  </si>
  <si>
    <t>六通</t>
  </si>
  <si>
    <t>标准</t>
    <phoneticPr fontId="31" type="noConversion"/>
  </si>
  <si>
    <t>较好</t>
    <phoneticPr fontId="31" type="noConversion"/>
  </si>
  <si>
    <t>比较法-商业</t>
  </si>
  <si>
    <t>利息：取LPR加浮动点数</t>
  </si>
  <si>
    <t>——</t>
    <phoneticPr fontId="135" type="noConversion"/>
  </si>
  <si>
    <t>配套商业</t>
    <phoneticPr fontId="4" type="noConversion"/>
  </si>
  <si>
    <t>配套商业</t>
    <phoneticPr fontId="8" type="noConversion"/>
  </si>
  <si>
    <t>直线</t>
    <phoneticPr fontId="4" type="noConversion"/>
  </si>
  <si>
    <t>观察</t>
    <phoneticPr fontId="4" type="noConversion"/>
  </si>
  <si>
    <t>独立商业</t>
    <phoneticPr fontId="4" type="noConversion"/>
  </si>
  <si>
    <t>方庄6号底商</t>
    <phoneticPr fontId="4" type="noConversion"/>
  </si>
  <si>
    <t>区域自然环境：北京动物园、官园公园；人文环境：北京天文馆、北京建筑大学；综合评价环境状况邮编</t>
    <phoneticPr fontId="25" type="noConversion"/>
  </si>
  <si>
    <r>
      <rPr>
        <sz val="10"/>
        <color theme="9" tint="-0.249977111117893"/>
        <rFont val="宋体"/>
        <family val="3"/>
        <charset val="134"/>
      </rPr>
      <t>快速路</t>
    </r>
    <r>
      <rPr>
        <sz val="10"/>
        <color theme="9" tint="-0.249977111117893"/>
        <rFont val="Arial"/>
        <family val="2"/>
      </rPr>
      <t>-</t>
    </r>
    <r>
      <rPr>
        <sz val="10"/>
        <color theme="9" tint="-0.249977111117893"/>
        <rFont val="宋体"/>
        <family val="3"/>
        <charset val="134"/>
      </rPr>
      <t>南三环东路</t>
    </r>
    <phoneticPr fontId="25" type="noConversion"/>
  </si>
  <si>
    <r>
      <rPr>
        <sz val="10"/>
        <color theme="9" tint="-0.249977111117893"/>
        <rFont val="宋体"/>
        <family val="3"/>
        <charset val="134"/>
      </rPr>
      <t>估价对象周边道路状况较好、有</t>
    </r>
    <r>
      <rPr>
        <sz val="10"/>
        <color theme="9" tint="-0.249977111117893"/>
        <rFont val="Arial"/>
        <family val="2"/>
      </rPr>
      <t>300</t>
    </r>
    <r>
      <rPr>
        <sz val="10"/>
        <color theme="9" tint="-0.249977111117893"/>
        <rFont val="宋体"/>
        <family val="3"/>
        <charset val="134"/>
      </rPr>
      <t>、</t>
    </r>
    <r>
      <rPr>
        <sz val="10"/>
        <color theme="9" tint="-0.249977111117893"/>
        <rFont val="Arial"/>
        <family val="2"/>
      </rPr>
      <t>368</t>
    </r>
    <r>
      <rPr>
        <sz val="10"/>
        <color theme="9" tint="-0.249977111117893"/>
        <rFont val="宋体"/>
        <family val="3"/>
        <charset val="134"/>
      </rPr>
      <t>、</t>
    </r>
    <r>
      <rPr>
        <sz val="10"/>
        <color theme="9" tint="-0.249977111117893"/>
        <rFont val="Arial"/>
        <family val="2"/>
      </rPr>
      <t>652</t>
    </r>
    <r>
      <rPr>
        <sz val="10"/>
        <color theme="9" tint="-0.249977111117893"/>
        <rFont val="宋体"/>
        <family val="3"/>
        <charset val="134"/>
      </rPr>
      <t>路等公交线路及地铁</t>
    </r>
    <r>
      <rPr>
        <sz val="10"/>
        <color theme="9" tint="-0.249977111117893"/>
        <rFont val="Arial"/>
        <family val="2"/>
      </rPr>
      <t>10</t>
    </r>
    <r>
      <rPr>
        <sz val="10"/>
        <color theme="9" tint="-0.249977111117893"/>
        <rFont val="宋体"/>
        <family val="3"/>
        <charset val="134"/>
      </rPr>
      <t>号线经过，公共交通通达情况较好、停车便捷程度一般，综合评价交通便捷度较好</t>
    </r>
    <phoneticPr fontId="25" type="noConversion"/>
  </si>
  <si>
    <t>鑫苑国际底商</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</si>
  <si>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</si>
  <si>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</si>
  <si>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t>1-2</t>
  </si>
  <si>
    <t>1-2</t>
    <phoneticPr fontId="31" type="noConversion"/>
  </si>
  <si>
    <t>较好</t>
    <phoneticPr fontId="31" type="noConversion"/>
  </si>
  <si>
    <t>自然人</t>
  </si>
  <si>
    <t>丰台区四方景园二区配套商业</t>
    <phoneticPr fontId="7" type="noConversion"/>
  </si>
  <si>
    <t>估价对象周边商业氛围成熟度一般，有新业广场等，人流量一般，商业繁华度一般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</si>
</sst>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62" fillId="7" borderId="0" xfId="0" applyFont="1" applyFill="1" applyProtection="1">
      <alignment vertical="center"/>
      <protection locked="0"/>
    </xf>
    <xf numFmtId="0" fontId="48" fillId="0" borderId="1" xfId="0" applyFont="1" applyBorder="1" applyAlignment="1" applyProtection="1">
      <alignment horizontal="left"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45" fillId="0" borderId="23" xfId="0" applyFont="1" applyBorder="1" applyAlignment="1" applyProtection="1">
      <alignment vertical="center"/>
      <protection locked="0"/>
    </xf>
    <xf numFmtId="0" fontId="99" fillId="0" borderId="15" xfId="0" applyFont="1" applyFill="1" applyBorder="1" applyAlignment="1">
      <alignment horizontal="left" vertical="center"/>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99" fillId="0" borderId="0" xfId="0" applyFont="1" applyFill="1">
      <alignment vertical="center"/>
    </xf>
    <xf numFmtId="0" fontId="115" fillId="0" borderId="0" xfId="0" applyFont="1" applyFill="1">
      <alignment vertical="center"/>
    </xf>
    <xf numFmtId="0" fontId="115" fillId="0" borderId="0" xfId="0" applyFont="1" applyFill="1" applyAlignment="1">
      <alignment horizontal="left" vertical="center"/>
    </xf>
    <xf numFmtId="0" fontId="99" fillId="0" borderId="0" xfId="0" applyFont="1" applyFill="1" applyAlignment="1">
      <alignment horizontal="left" vertical="center"/>
    </xf>
    <xf numFmtId="0" fontId="78" fillId="0" borderId="1" xfId="0" applyFont="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49" fontId="223" fillId="0" borderId="24" xfId="0" applyNumberFormat="1" applyFont="1" applyFill="1" applyBorder="1" applyAlignment="1" applyProtection="1">
      <alignment vertical="center" wrapText="1"/>
      <protection locked="0"/>
    </xf>
    <xf numFmtId="176" fontId="48" fillId="12" borderId="0" xfId="0" applyNumberFormat="1" applyFont="1" applyFill="1" applyAlignment="1" applyProtection="1">
      <alignment horizontal="center" vertical="center"/>
      <protection locked="0"/>
    </xf>
    <xf numFmtId="49" fontId="45" fillId="0" borderId="44"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115" fillId="0" borderId="5" xfId="0" applyFont="1" applyFill="1" applyBorder="1" applyAlignment="1">
      <alignment horizontal="left" vertical="center"/>
    </xf>
    <xf numFmtId="0" fontId="99" fillId="0" borderId="54" xfId="0" applyFont="1" applyFill="1" applyBorder="1" applyAlignment="1">
      <alignment horizontal="left" vertical="center"/>
    </xf>
    <xf numFmtId="0" fontId="99" fillId="0" borderId="3" xfId="0" applyFont="1" applyFill="1" applyBorder="1" applyAlignment="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北京市丰台区四方景园二区配套商业房地产抵押价值预评估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受贵公司委托，我公司对北京市丰台区四方景园二区配套商业房地产抵押价值进行了预评估。</v>
      </c>
    </row>
    <row r="7" spans="1:2" s="1202" customFormat="1">
      <c r="A7" s="1200" t="s">
        <v>566</v>
      </c>
      <c r="B7" s="1201" t="str">
        <f>'预评函-1'!A7</f>
        <v>估价对象为北京市丰台区四方景园二区配套商业房地产，为所有。根据《国有土地使用证》[]，估价对象（分摊）出让国有建设用地使用权面积为0平方米，建筑面积为1216.65平方米。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四方景园二区配套商业房地产,属开发建设的，该项目尚在开发建设中。根据《国有土地使用证》[]，估价对象（分摊）出让国有建设用地使用权面积为0平方米，规划建筑面积为1216.65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四方景园二区配套商业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2023年5月23日（评估专业人员实地查勘之日）</v>
      </c>
    </row>
    <row r="13" spans="1:2" s="1202" customFormat="1">
      <c r="A13" s="1200" t="s">
        <v>529</v>
      </c>
      <c r="B13" s="1201"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5604</v>
      </c>
    </row>
    <row r="21" spans="1:2" s="1202" customFormat="1">
      <c r="A21" s="1200" t="s">
        <v>537</v>
      </c>
      <c r="B21" s="1201">
        <f ca="1">'预评函-2'!D7</f>
        <v>46061</v>
      </c>
    </row>
    <row r="22" spans="1:2" s="1202" customFormat="1">
      <c r="A22" s="1200" t="s">
        <v>538</v>
      </c>
      <c r="B22" s="1201" t="str">
        <f ca="1">'预评函-2'!D6</f>
        <v>伍仟陆佰零肆万元整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5604</v>
      </c>
    </row>
    <row r="31" spans="1:2" s="1202" customFormat="1">
      <c r="A31" s="1200" t="s">
        <v>576</v>
      </c>
      <c r="B31" s="1201">
        <f ca="1">'预评函-2'!D15</f>
        <v>46061</v>
      </c>
    </row>
    <row r="32" spans="1:2" s="1202" customFormat="1">
      <c r="A32" s="1200" t="s">
        <v>543</v>
      </c>
      <c r="B32" s="1201" t="str">
        <f ca="1">'预评函-2'!D14</f>
        <v>伍仟陆佰零肆万元整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北京市丰台区四方景园二区配套商业房地产</v>
      </c>
    </row>
    <row r="42" spans="1:2" s="1202" customFormat="1">
      <c r="A42" s="1200" t="s">
        <v>590</v>
      </c>
      <c r="B42" s="1201" t="str">
        <f>'预评函-3'!B2</f>
        <v>建筑面积</v>
      </c>
    </row>
    <row r="43" spans="1:2" s="1202" customFormat="1">
      <c r="A43" s="1200" t="s">
        <v>591</v>
      </c>
      <c r="B43" s="1201">
        <f>'预评函-3'!B4</f>
        <v>1216.6500000000001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5604</v>
      </c>
    </row>
    <row r="48" spans="1:2" s="1202" customFormat="1">
      <c r="A48" s="1200" t="s">
        <v>549</v>
      </c>
      <c r="B48" s="1201">
        <f ca="1">'预评函-3'!E4</f>
        <v>46061</v>
      </c>
    </row>
    <row r="49" spans="1:2" s="1202" customFormat="1">
      <c r="A49" s="1200" t="s">
        <v>550</v>
      </c>
      <c r="B49" s="1201" t="str">
        <f ca="1">'预评函-3'!D5</f>
        <v>伍仟陆佰零肆万元整</v>
      </c>
    </row>
    <row r="50" spans="1:2" s="1202" customFormat="1">
      <c r="A50" s="1200" t="s">
        <v>574</v>
      </c>
      <c r="B50" s="1201" t="str">
        <f>'预评函-3'!F2</f>
        <v>在建建筑物价值</v>
      </c>
    </row>
    <row r="51" spans="1:2" s="1202" customFormat="1">
      <c r="A51" s="1200" t="s">
        <v>551</v>
      </c>
      <c r="B51" s="1201">
        <f ca="1">'预评函-3'!F4</f>
        <v>0</v>
      </c>
    </row>
    <row r="52" spans="1:2" s="1202" customFormat="1">
      <c r="A52" s="1200" t="s">
        <v>552</v>
      </c>
      <c r="B52" s="1201">
        <f ca="1">'预评函-3'!G4</f>
        <v>0</v>
      </c>
    </row>
    <row r="53" spans="1:2" s="1202" customFormat="1">
      <c r="A53" s="1200" t="s">
        <v>580</v>
      </c>
      <c r="B53" s="1201" t="str">
        <f ca="1">'预评函-3'!F5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3579</v>
      </c>
      <c r="C5" s="1545" t="s">
        <v>318</v>
      </c>
      <c r="F5" s="1546" t="s">
        <v>1015</v>
      </c>
      <c r="G5" s="1546">
        <v>70</v>
      </c>
      <c r="H5" s="1546" t="s">
        <v>1016</v>
      </c>
      <c r="I5" s="1546" t="s">
        <v>3336</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3337</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3338</v>
      </c>
    </row>
    <row r="8" spans="1:23">
      <c r="A8" s="1544" t="s">
        <v>1025</v>
      </c>
      <c r="B8" s="1544" t="s">
        <v>1026</v>
      </c>
      <c r="C8" s="1545" t="s">
        <v>319</v>
      </c>
      <c r="F8" s="1546" t="s">
        <v>1027</v>
      </c>
      <c r="H8" s="1546" t="s">
        <v>2571</v>
      </c>
      <c r="I8" s="1546" t="s">
        <v>3339</v>
      </c>
    </row>
    <row r="9" spans="1:23">
      <c r="A9" s="1544" t="s">
        <v>1028</v>
      </c>
      <c r="B9" s="1544" t="s">
        <v>1029</v>
      </c>
      <c r="C9" s="1545" t="s">
        <v>320</v>
      </c>
      <c r="F9" s="1546" t="s">
        <v>1030</v>
      </c>
      <c r="H9" s="1546"/>
      <c r="I9" s="1549" t="s">
        <v>3340</v>
      </c>
    </row>
    <row r="10" spans="1:23">
      <c r="A10" s="1544" t="s">
        <v>1031</v>
      </c>
      <c r="B10" s="1544" t="s">
        <v>1032</v>
      </c>
      <c r="C10" s="1545" t="s">
        <v>321</v>
      </c>
      <c r="F10" s="1546" t="s">
        <v>2572</v>
      </c>
      <c r="I10" s="1549" t="s">
        <v>3341</v>
      </c>
    </row>
    <row r="11" spans="1:23">
      <c r="A11" s="1544" t="s">
        <v>1033</v>
      </c>
      <c r="B11" s="1544" t="s">
        <v>1034</v>
      </c>
      <c r="C11" s="1545" t="s">
        <v>322</v>
      </c>
      <c r="F11" s="1546" t="s">
        <v>13</v>
      </c>
      <c r="I11" s="1549" t="s">
        <v>3342</v>
      </c>
    </row>
    <row r="12" spans="1:23">
      <c r="A12" s="1544" t="s">
        <v>1035</v>
      </c>
      <c r="B12" s="1544" t="s">
        <v>1036</v>
      </c>
      <c r="C12" s="1545" t="s">
        <v>323</v>
      </c>
      <c r="I12" s="1549" t="s">
        <v>3343</v>
      </c>
    </row>
    <row r="13" spans="1:23">
      <c r="A13" s="1544" t="s">
        <v>1037</v>
      </c>
      <c r="B13" s="1544" t="s">
        <v>1038</v>
      </c>
      <c r="C13" s="1545" t="s">
        <v>324</v>
      </c>
      <c r="I13" s="1549" t="s">
        <v>3344</v>
      </c>
    </row>
    <row r="14" spans="1:23">
      <c r="A14" s="1544" t="s">
        <v>1039</v>
      </c>
      <c r="B14" s="1544" t="s">
        <v>1040</v>
      </c>
      <c r="C14" s="1546" t="s">
        <v>13</v>
      </c>
      <c r="I14" s="1549" t="s">
        <v>3345</v>
      </c>
    </row>
    <row r="15" spans="1:23">
      <c r="A15" s="1544" t="s">
        <v>1041</v>
      </c>
      <c r="B15" s="1544" t="s">
        <v>1042</v>
      </c>
      <c r="C15" s="1545"/>
      <c r="I15" s="1549" t="s">
        <v>3346</v>
      </c>
    </row>
    <row r="16" spans="1:23">
      <c r="A16" s="1544" t="s">
        <v>1043</v>
      </c>
      <c r="B16" s="1544" t="s">
        <v>312</v>
      </c>
      <c r="C16" s="1545"/>
    </row>
    <row r="17" spans="1:3">
      <c r="A17" s="1544" t="s">
        <v>1044</v>
      </c>
      <c r="B17" s="1544" t="s">
        <v>2284</v>
      </c>
      <c r="C17" s="1545"/>
    </row>
    <row r="18" spans="1:3">
      <c r="A18" s="1544" t="s">
        <v>1045</v>
      </c>
      <c r="B18" s="1544" t="s">
        <v>2427</v>
      </c>
      <c r="C18" s="1545"/>
    </row>
    <row r="19" spans="1:3">
      <c r="A19" s="1544" t="s">
        <v>1046</v>
      </c>
      <c r="B19" s="1544" t="s">
        <v>313</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方景园二区配套商业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2" t="s">
        <v>385</v>
      </c>
      <c r="C54" s="1549" t="s">
        <v>583</v>
      </c>
    </row>
    <row r="55" spans="1:4">
      <c r="A55" s="3533"/>
      <c r="B55" s="1552" t="s">
        <v>386</v>
      </c>
      <c r="C55" s="1549" t="s">
        <v>584</v>
      </c>
    </row>
    <row r="56" spans="1:4">
      <c r="A56" s="3533"/>
      <c r="B56" s="1552" t="s">
        <v>387</v>
      </c>
      <c r="C56" s="1549" t="s">
        <v>588</v>
      </c>
    </row>
    <row r="57" spans="1:4">
      <c r="A57" s="353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34" t="s">
        <v>2574</v>
      </c>
      <c r="J2" s="3534"/>
      <c r="K2" s="3534"/>
      <c r="L2" s="3534"/>
      <c r="M2" s="3534"/>
      <c r="N2" s="3534"/>
      <c r="O2" s="3534"/>
      <c r="P2" s="3534"/>
      <c r="Q2" s="3534"/>
      <c r="R2" s="3534"/>
    </row>
    <row r="3" spans="1:18">
      <c r="A3" s="3017" t="s">
        <v>2495</v>
      </c>
      <c r="B3" s="3018">
        <f>项目基本情况!D3</f>
        <v>45069</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3.57</v>
      </c>
      <c r="D5" s="3022">
        <f>IF(ISERROR(ROUND(POWER(1+E5,A5-C5)*(POWER(1+E5,C5)-1)/(POWER(1+E5,A5)-1),3)),0,ROUND(POWER(1+E5,A5-C5)*(POWER(1+E5,C5)-1)/(POWER(1+E5,A5)-1),4))</f>
        <v>0.16500000000000001</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13.58</v>
      </c>
      <c r="D6" s="3022">
        <f>IF(ISERROR(ROUND(POWER(1+E6,A6-C6)*(POWER(1+E6,C6)-1)/(POWER(1+E6,A6)-1),3)),0,ROUND(POWER(1+E6,A6-C6)*(POWER(1+E6,C6)-1)/(POWER(1+E6,A6)-1),4))</f>
        <v>0.48060000000000003</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33.6</v>
      </c>
      <c r="D7" s="3022">
        <f>IF(ISERROR(ROUND(POWER(1+E7,A7-C7)*(POWER(1+E7,C7)-1)/(POWER(1+E7,A7)-1),3)),0,ROUND(POWER(1+E7,A7-C7)*(POWER(1+E7,C7)-1)/(POWER(1+E7,A7)-1),4))</f>
        <v>0.78249999999999997</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21" sqref="O2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43" t="str">
        <f>IF(B10="北京市","北京市",C10)&amp;F10&amp;IF(结果表!G1="在建","出让国有建设用地使用权及在建建筑物",IF(结果表!G1="土地","出让国有建设用地使用权",))&amp;B9&amp;"预评估"</f>
        <v>北京市丰台区四方景园二区配套商业房地产抵押价值预评估</v>
      </c>
      <c r="C1" s="3544"/>
      <c r="D1" s="3544"/>
      <c r="E1" s="3544"/>
      <c r="F1" s="3544"/>
      <c r="G1" s="3544"/>
      <c r="H1" s="3544"/>
      <c r="I1" s="354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北京市丰台区四方景园二区配套商业房地产抵押价值</v>
      </c>
      <c r="T1" s="1743"/>
      <c r="U1" s="1743"/>
      <c r="V1" s="1743"/>
      <c r="W1" s="1743"/>
      <c r="X1" s="1743"/>
      <c r="Y1" s="1743"/>
      <c r="Z1" s="1743"/>
      <c r="AA1" s="1743"/>
      <c r="AB1" s="1743"/>
    </row>
    <row r="2" spans="1:30">
      <c r="A2" s="2365" t="s">
        <v>2164</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北京市丰台区四方景园二区配套商业房地产</v>
      </c>
      <c r="T2" s="1743"/>
      <c r="U2" s="1743"/>
      <c r="V2" s="1743"/>
      <c r="W2" s="1743"/>
      <c r="X2" s="1743"/>
      <c r="Y2" s="1743"/>
      <c r="Z2" s="1743"/>
      <c r="AA2" s="1743"/>
      <c r="AB2" s="1743"/>
    </row>
    <row r="3" spans="1:30">
      <c r="A3" s="302" t="s">
        <v>2165</v>
      </c>
      <c r="B3" s="2371">
        <v>45069</v>
      </c>
      <c r="C3" s="2372" t="s">
        <v>2166</v>
      </c>
      <c r="D3" s="2371">
        <f>B3</f>
        <v>45069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3371</v>
      </c>
      <c r="C8" s="2388"/>
      <c r="D8" s="3546" t="s">
        <v>2172</v>
      </c>
      <c r="E8" s="2389"/>
      <c r="F8" s="2390"/>
      <c r="G8" s="2661"/>
      <c r="H8" s="2661"/>
      <c r="I8" s="2661"/>
      <c r="J8" s="2437"/>
      <c r="K8" s="2612"/>
      <c r="L8" s="2611"/>
      <c r="M8" s="2611"/>
      <c r="N8" s="2437"/>
      <c r="O8" s="2448"/>
      <c r="P8" s="2437"/>
      <c r="Q8" s="2437"/>
      <c r="R8" s="2437"/>
    </row>
    <row r="9" spans="1:30" ht="13.5" thickBot="1">
      <c r="A9" s="2391" t="s">
        <v>2173</v>
      </c>
      <c r="B9" s="2392" t="s">
        <v>3372</v>
      </c>
      <c r="C9" s="2393"/>
      <c r="D9" s="3547"/>
      <c r="E9" s="2392"/>
      <c r="F9" s="2394"/>
      <c r="G9" s="2663"/>
      <c r="H9" s="2663"/>
      <c r="I9" s="2663"/>
      <c r="J9" s="2437"/>
      <c r="K9" s="2614"/>
      <c r="L9" s="2611"/>
      <c r="M9" s="2611"/>
      <c r="N9" s="2437"/>
      <c r="O9" s="2448"/>
      <c r="P9" s="2437"/>
      <c r="Q9" s="2437"/>
      <c r="R9" s="2437"/>
    </row>
    <row r="10" spans="1:30" ht="13.5" thickTop="1">
      <c r="A10" s="2395" t="s">
        <v>2174</v>
      </c>
      <c r="B10" s="2396" t="s">
        <v>3373</v>
      </c>
      <c r="C10" s="2397"/>
      <c r="D10" s="2380"/>
      <c r="E10" s="2398" t="s">
        <v>2175</v>
      </c>
      <c r="F10" s="3837" t="s">
        <v>3633</v>
      </c>
      <c r="G10" s="2664"/>
      <c r="H10" s="2665"/>
      <c r="I10" s="2666"/>
      <c r="J10" s="2437"/>
      <c r="K10" s="2614"/>
      <c r="L10" s="2611"/>
      <c r="M10" s="2611"/>
      <c r="N10" s="2437"/>
      <c r="O10" s="2448"/>
      <c r="P10" s="2437"/>
      <c r="Q10" s="2437"/>
      <c r="R10" s="2437"/>
    </row>
    <row r="11" spans="1:30">
      <c r="A11" s="2399" t="s">
        <v>2176</v>
      </c>
      <c r="B11" s="2400" t="s">
        <v>3632</v>
      </c>
      <c r="C11" s="2401"/>
      <c r="D11" s="2402"/>
      <c r="E11" s="2368"/>
      <c r="F11" s="2368"/>
      <c r="G11" s="2368"/>
      <c r="H11" s="2368"/>
      <c r="I11" s="2368"/>
      <c r="J11" s="3058"/>
      <c r="K11" s="3057"/>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6" t="s">
        <v>2570</v>
      </c>
      <c r="J12" s="3059"/>
      <c r="K12" s="2611"/>
      <c r="L12" s="2611"/>
      <c r="M12" s="2437"/>
      <c r="N12" s="2448"/>
      <c r="O12" s="2437"/>
      <c r="P12" s="2437"/>
      <c r="Q12" s="2437"/>
      <c r="AD12" s="1743"/>
    </row>
    <row r="13" spans="1:30">
      <c r="A13" s="3420" t="s">
        <v>3328</v>
      </c>
      <c r="B13" s="2405" t="s">
        <v>2185</v>
      </c>
      <c r="C13" s="855"/>
      <c r="D13" s="855">
        <v>52371</v>
      </c>
      <c r="E13" s="855"/>
      <c r="F13" s="855"/>
      <c r="G13" s="855"/>
      <c r="H13" s="855"/>
      <c r="I13" s="855"/>
      <c r="J13" s="3059"/>
      <c r="K13" s="2611"/>
      <c r="L13" s="2611"/>
      <c r="M13" s="2437"/>
      <c r="N13" s="2448"/>
      <c r="O13" s="2437"/>
      <c r="P13" s="2437"/>
      <c r="Q13" s="2437"/>
      <c r="AD13" s="1743"/>
    </row>
    <row r="14" spans="1:30">
      <c r="A14" s="1080"/>
      <c r="B14" s="2405" t="s">
        <v>2186</v>
      </c>
      <c r="C14" s="2406"/>
      <c r="D14" s="2406">
        <v>40</v>
      </c>
      <c r="E14" s="2406"/>
      <c r="F14" s="2406"/>
      <c r="G14" s="2406"/>
      <c r="H14" s="2406"/>
      <c r="I14" s="2406"/>
      <c r="J14" s="3060"/>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20</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2188</v>
      </c>
      <c r="B16" s="3553"/>
      <c r="C16" s="3554"/>
      <c r="D16" s="3555"/>
      <c r="E16" s="2411" t="s">
        <v>2189</v>
      </c>
      <c r="F16" s="3556"/>
      <c r="G16" s="3557"/>
      <c r="H16" s="3557"/>
      <c r="I16" s="3558"/>
      <c r="J16" s="2437"/>
      <c r="K16" s="2615"/>
      <c r="L16" s="2449"/>
      <c r="M16" s="2449"/>
      <c r="N16" s="2507"/>
      <c r="O16" s="2449"/>
      <c r="P16" s="2507"/>
      <c r="Q16" s="2437"/>
      <c r="R16" s="2437"/>
    </row>
    <row r="17" spans="1:28">
      <c r="A17" s="313" t="s">
        <v>2190</v>
      </c>
      <c r="B17" s="302" t="s">
        <v>2191</v>
      </c>
      <c r="C17" s="8">
        <f>'数据-汇总表'!E3</f>
        <v>1216.6500000000001</v>
      </c>
      <c r="D17" s="2320" t="s">
        <v>2192</v>
      </c>
      <c r="E17" s="3559" t="s">
        <v>2193</v>
      </c>
      <c r="F17" s="3560"/>
      <c r="G17" s="3560"/>
      <c r="H17" s="3560"/>
      <c r="I17" s="3561"/>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62" t="s">
        <v>2197</v>
      </c>
      <c r="F18" s="3563"/>
      <c r="G18" s="3563"/>
      <c r="H18" s="3563"/>
      <c r="I18" s="3564"/>
      <c r="J18" s="2437"/>
      <c r="K18" s="2616"/>
      <c r="L18" s="2449"/>
      <c r="M18" s="2449"/>
      <c r="N18" s="2507"/>
      <c r="O18" s="2449"/>
      <c r="P18" s="2507"/>
      <c r="Q18" s="2437"/>
      <c r="R18" s="2437"/>
      <c r="S18" s="2437"/>
      <c r="T18" s="2437"/>
      <c r="U18" s="2437"/>
      <c r="V18" s="2437"/>
    </row>
    <row r="19" spans="1:28" ht="37.5" thickTop="1" thickBot="1">
      <c r="A19" s="327" t="s">
        <v>1054</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49" t="s">
        <v>2201</v>
      </c>
      <c r="C20" s="3550"/>
      <c r="D20" s="3551" t="s">
        <v>2202</v>
      </c>
      <c r="E20" s="3552"/>
      <c r="F20" s="2645" t="s">
        <v>1055</v>
      </c>
      <c r="G20" s="2662"/>
      <c r="H20" s="2662"/>
      <c r="I20" s="2662"/>
      <c r="J20" s="2437"/>
      <c r="K20" s="3548"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1056</v>
      </c>
      <c r="D21" s="1566" t="s">
        <v>2205</v>
      </c>
      <c r="E21" s="2633" t="s">
        <v>1056</v>
      </c>
      <c r="F21" s="2646"/>
      <c r="G21" s="2662"/>
      <c r="H21" s="2662"/>
      <c r="I21" s="2662"/>
      <c r="J21" s="2437"/>
      <c r="K21" s="354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1057</v>
      </c>
      <c r="D22" s="2661"/>
      <c r="E22" s="2661"/>
      <c r="F22" s="2661"/>
      <c r="G22" s="2662"/>
      <c r="H22" s="2662"/>
      <c r="I22" s="2662"/>
      <c r="J22" s="2437"/>
      <c r="K22" s="354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6"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6"/>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6"/>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7"/>
      <c r="B30" s="302" t="s">
        <v>2213</v>
      </c>
      <c r="C30" s="3538"/>
      <c r="D30" s="3539"/>
      <c r="E30" s="2662"/>
      <c r="F30" s="2662"/>
      <c r="G30" s="2662"/>
      <c r="H30" s="2662"/>
      <c r="I30" s="2662"/>
      <c r="J30" s="2437"/>
      <c r="K30" s="2614"/>
      <c r="L30" s="2611"/>
      <c r="M30" s="2611"/>
      <c r="N30" s="2437"/>
      <c r="O30" s="2448"/>
      <c r="P30" s="2437"/>
      <c r="Q30" s="2437"/>
      <c r="R30" s="2437"/>
      <c r="S30" s="2437"/>
      <c r="T30" s="2437"/>
      <c r="U30" s="2437"/>
      <c r="V30" s="2437"/>
    </row>
    <row r="31" spans="1:28">
      <c r="A31" s="3540" t="s">
        <v>2214</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4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4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35" t="s">
        <v>2223</v>
      </c>
      <c r="T34" s="2426" t="str">
        <f>NUMBERSTRING(7-K34,1)&amp;"通"</f>
        <v>七通</v>
      </c>
      <c r="U34" s="2437"/>
      <c r="V34" s="2437"/>
    </row>
    <row r="35" spans="1:30">
      <c r="A35" s="2427"/>
      <c r="B35" s="3542" t="s">
        <v>2224</v>
      </c>
      <c r="C35" s="3542"/>
      <c r="D35" s="3542"/>
      <c r="E35" s="3542"/>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7"/>
      <c r="V35" s="2437"/>
    </row>
    <row r="36" spans="1:30">
      <c r="A36" s="2428"/>
      <c r="B36" s="663" t="s">
        <v>2180</v>
      </c>
      <c r="C36" s="663" t="s">
        <v>2181</v>
      </c>
      <c r="D36" s="663" t="s">
        <v>2179</v>
      </c>
      <c r="E36" s="663" t="s">
        <v>2184</v>
      </c>
      <c r="F36" s="3062" t="s">
        <v>2573</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workbookViewId="0">
      <selection activeCell="J26" sqref="J26"/>
    </sheetView>
  </sheetViews>
  <sheetFormatPr defaultRowHeight="14.25"/>
  <cols>
    <col min="1" max="1" width="9" style="3487"/>
    <col min="2" max="2" width="13.625" style="3487" customWidth="1"/>
    <col min="3" max="3" width="11" style="3487" customWidth="1"/>
    <col min="4" max="4" width="10.75" style="3487" customWidth="1"/>
    <col min="5" max="5" width="12" style="3487" customWidth="1"/>
    <col min="6" max="7" width="9.875" style="3487" customWidth="1"/>
    <col min="8" max="16384" width="9" style="3484"/>
  </cols>
  <sheetData>
    <row r="1" spans="1:7">
      <c r="A1" s="3482" t="s">
        <v>3374</v>
      </c>
      <c r="B1" s="3482" t="s">
        <v>3375</v>
      </c>
      <c r="C1" s="3482" t="s">
        <v>3376</v>
      </c>
      <c r="D1" s="3482" t="s">
        <v>3377</v>
      </c>
      <c r="E1" s="3482" t="s">
        <v>3378</v>
      </c>
      <c r="F1" s="3483" t="s">
        <v>3575</v>
      </c>
      <c r="G1" s="3483" t="s">
        <v>3585</v>
      </c>
    </row>
    <row r="2" spans="1:7">
      <c r="A2" s="3482">
        <v>1</v>
      </c>
      <c r="B2" s="3482" t="s">
        <v>3379</v>
      </c>
      <c r="C2" s="3482" t="s">
        <v>3386</v>
      </c>
      <c r="D2" s="3482">
        <v>5</v>
      </c>
      <c r="E2" s="3482">
        <v>108.47</v>
      </c>
      <c r="F2" s="3483" t="s">
        <v>3387</v>
      </c>
      <c r="G2" s="3483" t="s">
        <v>3387</v>
      </c>
    </row>
    <row r="3" spans="1:7">
      <c r="A3" s="3482">
        <v>2</v>
      </c>
      <c r="B3" s="3482" t="s">
        <v>3380</v>
      </c>
      <c r="C3" s="3482" t="s">
        <v>3386</v>
      </c>
      <c r="D3" s="3482">
        <v>5</v>
      </c>
      <c r="E3" s="3482">
        <v>108.47</v>
      </c>
      <c r="F3" s="3483" t="s">
        <v>3387</v>
      </c>
      <c r="G3" s="3483" t="s">
        <v>3387</v>
      </c>
    </row>
    <row r="4" spans="1:7">
      <c r="A4" s="3482">
        <v>3</v>
      </c>
      <c r="B4" s="3482" t="s">
        <v>3381</v>
      </c>
      <c r="C4" s="3482" t="s">
        <v>3386</v>
      </c>
      <c r="D4" s="3482">
        <v>5</v>
      </c>
      <c r="E4" s="3482">
        <v>108.47</v>
      </c>
      <c r="F4" s="3483" t="s">
        <v>3387</v>
      </c>
      <c r="G4" s="3483" t="s">
        <v>3587</v>
      </c>
    </row>
    <row r="5" spans="1:7">
      <c r="A5" s="3482">
        <v>4</v>
      </c>
      <c r="B5" s="3482" t="s">
        <v>3382</v>
      </c>
      <c r="C5" s="3482" t="s">
        <v>3386</v>
      </c>
      <c r="D5" s="3482">
        <v>5</v>
      </c>
      <c r="E5" s="3482">
        <v>108.47</v>
      </c>
      <c r="F5" s="3483" t="s">
        <v>3387</v>
      </c>
      <c r="G5" s="3483" t="s">
        <v>3387</v>
      </c>
    </row>
    <row r="6" spans="1:7">
      <c r="A6" s="3482">
        <v>5</v>
      </c>
      <c r="B6" s="3482" t="s">
        <v>3383</v>
      </c>
      <c r="C6" s="3482" t="s">
        <v>3386</v>
      </c>
      <c r="D6" s="3482">
        <v>5</v>
      </c>
      <c r="E6" s="3482">
        <v>138.01</v>
      </c>
      <c r="F6" s="3483" t="s">
        <v>3387</v>
      </c>
      <c r="G6" s="3483" t="s">
        <v>3387</v>
      </c>
    </row>
    <row r="7" spans="1:7">
      <c r="A7" s="3482">
        <v>6</v>
      </c>
      <c r="B7" s="3482" t="s">
        <v>3384</v>
      </c>
      <c r="C7" s="3482" t="s">
        <v>3386</v>
      </c>
      <c r="D7" s="3482">
        <v>5</v>
      </c>
      <c r="E7" s="3482">
        <v>138.01</v>
      </c>
      <c r="F7" s="3483" t="s">
        <v>3387</v>
      </c>
      <c r="G7" s="3483" t="s">
        <v>3387</v>
      </c>
    </row>
    <row r="8" spans="1:7">
      <c r="A8" s="3482">
        <v>7</v>
      </c>
      <c r="B8" s="3482" t="s">
        <v>3385</v>
      </c>
      <c r="C8" s="3482" t="s">
        <v>3386</v>
      </c>
      <c r="D8" s="3482">
        <v>5</v>
      </c>
      <c r="E8" s="3482">
        <v>201.75</v>
      </c>
      <c r="F8" s="3483" t="s">
        <v>3387</v>
      </c>
      <c r="G8" s="3483" t="s">
        <v>3387</v>
      </c>
    </row>
    <row r="9" spans="1:7">
      <c r="A9" s="3482">
        <v>8</v>
      </c>
      <c r="B9" s="3482" t="s">
        <v>3388</v>
      </c>
      <c r="C9" s="3482" t="s">
        <v>3386</v>
      </c>
      <c r="D9" s="3482">
        <v>6</v>
      </c>
      <c r="E9" s="3482">
        <v>206.15</v>
      </c>
      <c r="F9" s="3483" t="s">
        <v>3387</v>
      </c>
      <c r="G9" s="3483" t="s">
        <v>3587</v>
      </c>
    </row>
    <row r="10" spans="1:7">
      <c r="A10" s="3482">
        <v>9</v>
      </c>
      <c r="B10" s="3482" t="s">
        <v>3389</v>
      </c>
      <c r="C10" s="3482" t="s">
        <v>3386</v>
      </c>
      <c r="D10" s="3482">
        <v>6</v>
      </c>
      <c r="E10" s="3482">
        <v>109.06</v>
      </c>
      <c r="F10" s="3483" t="s">
        <v>3387</v>
      </c>
      <c r="G10" s="3483" t="s">
        <v>3587</v>
      </c>
    </row>
    <row r="11" spans="1:7">
      <c r="A11" s="3482">
        <v>10</v>
      </c>
      <c r="B11" s="3482" t="s">
        <v>3390</v>
      </c>
      <c r="C11" s="3482" t="s">
        <v>3386</v>
      </c>
      <c r="D11" s="3482">
        <v>6</v>
      </c>
      <c r="E11" s="3482">
        <v>108.47</v>
      </c>
      <c r="F11" s="3483" t="s">
        <v>3387</v>
      </c>
      <c r="G11" s="3483" t="s">
        <v>3387</v>
      </c>
    </row>
    <row r="12" spans="1:7">
      <c r="A12" s="3482">
        <v>11</v>
      </c>
      <c r="B12" s="3482" t="s">
        <v>3391</v>
      </c>
      <c r="C12" s="3482" t="s">
        <v>3386</v>
      </c>
      <c r="D12" s="3482">
        <v>6</v>
      </c>
      <c r="E12" s="3482">
        <v>108.47</v>
      </c>
      <c r="F12" s="3483" t="s">
        <v>3387</v>
      </c>
      <c r="G12" s="3483" t="s">
        <v>3387</v>
      </c>
    </row>
    <row r="13" spans="1:7">
      <c r="A13" s="3482">
        <v>12</v>
      </c>
      <c r="B13" s="3482" t="s">
        <v>3392</v>
      </c>
      <c r="C13" s="3482" t="s">
        <v>3386</v>
      </c>
      <c r="D13" s="3482">
        <v>6</v>
      </c>
      <c r="E13" s="3482">
        <v>108.47</v>
      </c>
      <c r="F13" s="3483" t="s">
        <v>3387</v>
      </c>
      <c r="G13" s="3483" t="s">
        <v>3387</v>
      </c>
    </row>
    <row r="14" spans="1:7">
      <c r="A14" s="3482">
        <v>13</v>
      </c>
      <c r="B14" s="3482" t="s">
        <v>3393</v>
      </c>
      <c r="C14" s="3482" t="s">
        <v>3386</v>
      </c>
      <c r="D14" s="3482">
        <v>6</v>
      </c>
      <c r="E14" s="3482">
        <v>108.47</v>
      </c>
      <c r="F14" s="3483" t="s">
        <v>3387</v>
      </c>
      <c r="G14" s="3483" t="s">
        <v>3387</v>
      </c>
    </row>
    <row r="15" spans="1:7">
      <c r="A15" s="3482">
        <v>14</v>
      </c>
      <c r="B15" s="3482" t="s">
        <v>3394</v>
      </c>
      <c r="C15" s="3482" t="s">
        <v>3386</v>
      </c>
      <c r="D15" s="3482">
        <v>6</v>
      </c>
      <c r="E15" s="3482">
        <v>201.75</v>
      </c>
      <c r="F15" s="3483" t="s">
        <v>3387</v>
      </c>
      <c r="G15" s="3483" t="s">
        <v>3587</v>
      </c>
    </row>
    <row r="16" spans="1:7">
      <c r="A16" s="3482">
        <v>15</v>
      </c>
      <c r="B16" s="3482" t="s">
        <v>3395</v>
      </c>
      <c r="C16" s="3482" t="s">
        <v>3386</v>
      </c>
      <c r="D16" s="3482">
        <v>7</v>
      </c>
      <c r="E16" s="3482">
        <v>142.4</v>
      </c>
      <c r="F16" s="3483" t="s">
        <v>3387</v>
      </c>
      <c r="G16" s="3483" t="s">
        <v>3587</v>
      </c>
    </row>
    <row r="17" spans="1:7">
      <c r="A17" s="3482">
        <v>16</v>
      </c>
      <c r="B17" s="3482" t="s">
        <v>3396</v>
      </c>
      <c r="C17" s="3482" t="s">
        <v>3386</v>
      </c>
      <c r="D17" s="3482">
        <v>7</v>
      </c>
      <c r="E17" s="3482">
        <v>108.47</v>
      </c>
      <c r="F17" s="3483" t="s">
        <v>3387</v>
      </c>
      <c r="G17" s="3483" t="s">
        <v>3387</v>
      </c>
    </row>
    <row r="18" spans="1:7">
      <c r="A18" s="3482">
        <v>17</v>
      </c>
      <c r="B18" s="3482" t="s">
        <v>3397</v>
      </c>
      <c r="C18" s="3482" t="s">
        <v>3386</v>
      </c>
      <c r="D18" s="3482">
        <v>7</v>
      </c>
      <c r="E18" s="3482">
        <v>108.47</v>
      </c>
      <c r="F18" s="3483" t="s">
        <v>3387</v>
      </c>
      <c r="G18" s="3483" t="s">
        <v>3387</v>
      </c>
    </row>
    <row r="19" spans="1:7">
      <c r="A19" s="3482">
        <v>18</v>
      </c>
      <c r="B19" s="3482" t="s">
        <v>3398</v>
      </c>
      <c r="C19" s="3482" t="s">
        <v>3386</v>
      </c>
      <c r="D19" s="3482">
        <v>7</v>
      </c>
      <c r="E19" s="3482">
        <v>108.47</v>
      </c>
      <c r="F19" s="3483" t="s">
        <v>3387</v>
      </c>
      <c r="G19" s="3483" t="s">
        <v>3587</v>
      </c>
    </row>
    <row r="20" spans="1:7">
      <c r="A20" s="3482">
        <v>19</v>
      </c>
      <c r="B20" s="3482" t="s">
        <v>3399</v>
      </c>
      <c r="C20" s="3482" t="s">
        <v>3386</v>
      </c>
      <c r="D20" s="3482">
        <v>7</v>
      </c>
      <c r="E20" s="3482">
        <v>108.47</v>
      </c>
      <c r="F20" s="3483" t="s">
        <v>3387</v>
      </c>
      <c r="G20" s="3483" t="s">
        <v>3587</v>
      </c>
    </row>
    <row r="21" spans="1:7">
      <c r="A21" s="3482">
        <v>20</v>
      </c>
      <c r="B21" s="3482" t="s">
        <v>3400</v>
      </c>
      <c r="C21" s="3482" t="s">
        <v>3386</v>
      </c>
      <c r="D21" s="3482">
        <v>7</v>
      </c>
      <c r="E21" s="3482">
        <v>142.4</v>
      </c>
      <c r="F21" s="3483" t="s">
        <v>3387</v>
      </c>
      <c r="G21" s="3483" t="s">
        <v>3587</v>
      </c>
    </row>
    <row r="22" spans="1:7">
      <c r="A22" s="3482">
        <v>21</v>
      </c>
      <c r="B22" s="3482" t="s">
        <v>3401</v>
      </c>
      <c r="C22" s="3482" t="s">
        <v>3386</v>
      </c>
      <c r="D22" s="3482">
        <v>8</v>
      </c>
      <c r="E22" s="3482">
        <v>208.9</v>
      </c>
      <c r="F22" s="3483" t="s">
        <v>3387</v>
      </c>
      <c r="G22" s="3483" t="s">
        <v>3587</v>
      </c>
    </row>
    <row r="23" spans="1:7">
      <c r="A23" s="3482">
        <v>22</v>
      </c>
      <c r="B23" s="3482" t="s">
        <v>3402</v>
      </c>
      <c r="C23" s="3482" t="s">
        <v>3386</v>
      </c>
      <c r="D23" s="3482">
        <v>8</v>
      </c>
      <c r="E23" s="3482">
        <v>142.4</v>
      </c>
      <c r="F23" s="3483" t="s">
        <v>3387</v>
      </c>
      <c r="G23" s="3483" t="s">
        <v>3587</v>
      </c>
    </row>
    <row r="24" spans="1:7">
      <c r="A24" s="3482">
        <v>23</v>
      </c>
      <c r="B24" s="3482" t="s">
        <v>3403</v>
      </c>
      <c r="C24" s="3482" t="s">
        <v>3386</v>
      </c>
      <c r="D24" s="3482">
        <v>8</v>
      </c>
      <c r="E24" s="3482">
        <v>108.47</v>
      </c>
      <c r="F24" s="3483" t="s">
        <v>3387</v>
      </c>
      <c r="G24" s="3483" t="s">
        <v>3587</v>
      </c>
    </row>
    <row r="25" spans="1:7">
      <c r="A25" s="3482">
        <v>24</v>
      </c>
      <c r="B25" s="3482" t="s">
        <v>3404</v>
      </c>
      <c r="C25" s="3482" t="s">
        <v>3386</v>
      </c>
      <c r="D25" s="3482">
        <v>8</v>
      </c>
      <c r="E25" s="3482">
        <v>108.47</v>
      </c>
      <c r="F25" s="3483" t="s">
        <v>3387</v>
      </c>
      <c r="G25" s="3483" t="s">
        <v>3587</v>
      </c>
    </row>
    <row r="26" spans="1:7">
      <c r="A26" s="3482">
        <v>25</v>
      </c>
      <c r="B26" s="3482" t="s">
        <v>3405</v>
      </c>
      <c r="C26" s="3482" t="s">
        <v>3386</v>
      </c>
      <c r="D26" s="3482">
        <v>8</v>
      </c>
      <c r="E26" s="3482">
        <v>108.47</v>
      </c>
      <c r="F26" s="3483" t="s">
        <v>3387</v>
      </c>
      <c r="G26" s="3483" t="s">
        <v>3587</v>
      </c>
    </row>
    <row r="27" spans="1:7">
      <c r="A27" s="3482">
        <v>26</v>
      </c>
      <c r="B27" s="3482" t="s">
        <v>3406</v>
      </c>
      <c r="C27" s="3482" t="s">
        <v>3386</v>
      </c>
      <c r="D27" s="3482">
        <v>9</v>
      </c>
      <c r="E27" s="3482">
        <v>109.06</v>
      </c>
      <c r="F27" s="3483" t="s">
        <v>3387</v>
      </c>
      <c r="G27" s="3483" t="s">
        <v>3587</v>
      </c>
    </row>
    <row r="28" spans="1:7">
      <c r="A28" s="3482">
        <v>27</v>
      </c>
      <c r="B28" s="3482" t="s">
        <v>3407</v>
      </c>
      <c r="C28" s="3482" t="s">
        <v>3386</v>
      </c>
      <c r="D28" s="3482">
        <v>9</v>
      </c>
      <c r="E28" s="3482">
        <v>109.06</v>
      </c>
      <c r="F28" s="3483" t="s">
        <v>3387</v>
      </c>
      <c r="G28" s="3483" t="s">
        <v>3587</v>
      </c>
    </row>
    <row r="29" spans="1:7">
      <c r="A29" s="3482">
        <v>28</v>
      </c>
      <c r="B29" s="3482" t="s">
        <v>3408</v>
      </c>
      <c r="C29" s="3482" t="s">
        <v>3386</v>
      </c>
      <c r="D29" s="3482">
        <v>9</v>
      </c>
      <c r="E29" s="3482">
        <v>109.06</v>
      </c>
      <c r="F29" s="3483" t="s">
        <v>3387</v>
      </c>
      <c r="G29" s="3483" t="s">
        <v>3587</v>
      </c>
    </row>
    <row r="30" spans="1:7">
      <c r="A30" s="3482">
        <v>29</v>
      </c>
      <c r="B30" s="3482" t="s">
        <v>3409</v>
      </c>
      <c r="C30" s="3482" t="s">
        <v>3386</v>
      </c>
      <c r="D30" s="3482">
        <v>9</v>
      </c>
      <c r="E30" s="3482">
        <v>142.4</v>
      </c>
      <c r="F30" s="3483" t="s">
        <v>3387</v>
      </c>
      <c r="G30" s="3483" t="s">
        <v>3587</v>
      </c>
    </row>
    <row r="31" spans="1:7">
      <c r="A31" s="3482">
        <v>30</v>
      </c>
      <c r="B31" s="3482" t="s">
        <v>3410</v>
      </c>
      <c r="C31" s="3482" t="s">
        <v>3386</v>
      </c>
      <c r="D31" s="3482">
        <v>9</v>
      </c>
      <c r="E31" s="3482">
        <v>108.47</v>
      </c>
      <c r="F31" s="3483" t="s">
        <v>3387</v>
      </c>
      <c r="G31" s="3483" t="s">
        <v>3587</v>
      </c>
    </row>
    <row r="32" spans="1:7">
      <c r="A32" s="3482">
        <v>31</v>
      </c>
      <c r="B32" s="3482" t="s">
        <v>3411</v>
      </c>
      <c r="C32" s="3482" t="s">
        <v>3386</v>
      </c>
      <c r="D32" s="3482">
        <v>9</v>
      </c>
      <c r="E32" s="3482">
        <v>108.47</v>
      </c>
      <c r="F32" s="3483" t="s">
        <v>3387</v>
      </c>
      <c r="G32" s="3483" t="s">
        <v>3587</v>
      </c>
    </row>
    <row r="33" spans="1:7">
      <c r="A33" s="3482">
        <v>32</v>
      </c>
      <c r="B33" s="3482" t="s">
        <v>3412</v>
      </c>
      <c r="C33" s="3482" t="s">
        <v>3386</v>
      </c>
      <c r="D33" s="3482">
        <v>9</v>
      </c>
      <c r="E33" s="3482">
        <v>100.31</v>
      </c>
      <c r="F33" s="3483" t="s">
        <v>3387</v>
      </c>
      <c r="G33" s="3483" t="s">
        <v>3587</v>
      </c>
    </row>
    <row r="34" spans="1:7">
      <c r="A34" s="3482">
        <v>33</v>
      </c>
      <c r="B34" s="3482" t="s">
        <v>3414</v>
      </c>
      <c r="C34" s="3482" t="s">
        <v>3386</v>
      </c>
      <c r="D34" s="3482">
        <v>9</v>
      </c>
      <c r="E34" s="3482">
        <v>108.47</v>
      </c>
      <c r="F34" s="3483" t="s">
        <v>3387</v>
      </c>
      <c r="G34" s="3483" t="s">
        <v>3587</v>
      </c>
    </row>
    <row r="35" spans="1:7">
      <c r="A35" s="3482">
        <v>34</v>
      </c>
      <c r="B35" s="3482" t="s">
        <v>3413</v>
      </c>
      <c r="C35" s="3482" t="s">
        <v>3386</v>
      </c>
      <c r="D35" s="3482">
        <v>9</v>
      </c>
      <c r="E35" s="3482">
        <v>108.47</v>
      </c>
      <c r="F35" s="3483" t="s">
        <v>3387</v>
      </c>
      <c r="G35" s="3483" t="s">
        <v>3587</v>
      </c>
    </row>
    <row r="36" spans="1:7">
      <c r="A36" s="3482">
        <v>35</v>
      </c>
      <c r="B36" s="3482" t="s">
        <v>3415</v>
      </c>
      <c r="C36" s="3482" t="s">
        <v>3386</v>
      </c>
      <c r="D36" s="3482">
        <v>9</v>
      </c>
      <c r="E36" s="3482">
        <v>142.4</v>
      </c>
      <c r="F36" s="3483" t="s">
        <v>3387</v>
      </c>
      <c r="G36" s="3483" t="s">
        <v>3587</v>
      </c>
    </row>
    <row r="37" spans="1:7">
      <c r="A37" s="3482">
        <v>36</v>
      </c>
      <c r="B37" s="3482" t="s">
        <v>3416</v>
      </c>
      <c r="C37" s="3482" t="s">
        <v>3386</v>
      </c>
      <c r="D37" s="3482">
        <v>10</v>
      </c>
      <c r="E37" s="3482">
        <v>109.06</v>
      </c>
      <c r="F37" s="3483" t="s">
        <v>3387</v>
      </c>
      <c r="G37" s="3483" t="s">
        <v>3587</v>
      </c>
    </row>
    <row r="38" spans="1:7">
      <c r="A38" s="3482">
        <v>37</v>
      </c>
      <c r="B38" s="3482" t="s">
        <v>3417</v>
      </c>
      <c r="C38" s="3482" t="s">
        <v>3386</v>
      </c>
      <c r="D38" s="3482">
        <v>10</v>
      </c>
      <c r="E38" s="3482">
        <v>100.31</v>
      </c>
      <c r="F38" s="3483" t="s">
        <v>3387</v>
      </c>
      <c r="G38" s="3483" t="s">
        <v>3587</v>
      </c>
    </row>
    <row r="39" spans="1:7">
      <c r="A39" s="3482">
        <v>38</v>
      </c>
      <c r="B39" s="3482" t="s">
        <v>3418</v>
      </c>
      <c r="C39" s="3482" t="s">
        <v>3386</v>
      </c>
      <c r="D39" s="3482">
        <v>11</v>
      </c>
      <c r="E39" s="3482">
        <v>109.06</v>
      </c>
      <c r="F39" s="3483" t="s">
        <v>3387</v>
      </c>
      <c r="G39" s="3483" t="s">
        <v>3587</v>
      </c>
    </row>
    <row r="40" spans="1:7">
      <c r="A40" s="3482">
        <v>39</v>
      </c>
      <c r="B40" s="3482" t="s">
        <v>3419</v>
      </c>
      <c r="C40" s="3482" t="s">
        <v>3386</v>
      </c>
      <c r="D40" s="3482">
        <v>11</v>
      </c>
      <c r="E40" s="3482">
        <v>208.9</v>
      </c>
      <c r="F40" s="3483" t="s">
        <v>3387</v>
      </c>
      <c r="G40" s="3483" t="s">
        <v>3587</v>
      </c>
    </row>
    <row r="41" spans="1:7">
      <c r="A41" s="3482">
        <v>40</v>
      </c>
      <c r="B41" s="3482" t="s">
        <v>3420</v>
      </c>
      <c r="C41" s="3482" t="s">
        <v>3386</v>
      </c>
      <c r="D41" s="3482">
        <v>11</v>
      </c>
      <c r="E41" s="3482">
        <v>108.47</v>
      </c>
      <c r="F41" s="3483" t="s">
        <v>3387</v>
      </c>
      <c r="G41" s="3483" t="s">
        <v>3587</v>
      </c>
    </row>
    <row r="42" spans="1:7">
      <c r="A42" s="3482">
        <v>41</v>
      </c>
      <c r="B42" s="3482" t="s">
        <v>3421</v>
      </c>
      <c r="C42" s="3482" t="s">
        <v>3386</v>
      </c>
      <c r="D42" s="3482">
        <v>11</v>
      </c>
      <c r="E42" s="3482">
        <v>100.31</v>
      </c>
      <c r="F42" s="3483" t="s">
        <v>3387</v>
      </c>
      <c r="G42" s="3483" t="s">
        <v>3587</v>
      </c>
    </row>
    <row r="43" spans="1:7">
      <c r="A43" s="3482">
        <v>42</v>
      </c>
      <c r="B43" s="3482" t="s">
        <v>3422</v>
      </c>
      <c r="C43" s="3482" t="s">
        <v>3386</v>
      </c>
      <c r="D43" s="3482">
        <v>11</v>
      </c>
      <c r="E43" s="3482">
        <v>108.47</v>
      </c>
      <c r="F43" s="3483" t="s">
        <v>3387</v>
      </c>
      <c r="G43" s="3483" t="s">
        <v>3587</v>
      </c>
    </row>
    <row r="44" spans="1:7">
      <c r="A44" s="3482">
        <v>43</v>
      </c>
      <c r="B44" s="3482" t="s">
        <v>3423</v>
      </c>
      <c r="C44" s="3482" t="s">
        <v>3386</v>
      </c>
      <c r="D44" s="3482">
        <v>11</v>
      </c>
      <c r="E44" s="3482">
        <v>142.4</v>
      </c>
      <c r="F44" s="3483" t="s">
        <v>3387</v>
      </c>
      <c r="G44" s="3483" t="s">
        <v>3587</v>
      </c>
    </row>
    <row r="45" spans="1:7">
      <c r="A45" s="3482">
        <v>44</v>
      </c>
      <c r="B45" s="3482" t="s">
        <v>3424</v>
      </c>
      <c r="C45" s="3482" t="s">
        <v>3386</v>
      </c>
      <c r="D45" s="3482">
        <v>14</v>
      </c>
      <c r="E45" s="3482">
        <v>109.06</v>
      </c>
      <c r="F45" s="3483" t="s">
        <v>3387</v>
      </c>
      <c r="G45" s="3483" t="s">
        <v>3387</v>
      </c>
    </row>
    <row r="46" spans="1:7">
      <c r="A46" s="3482">
        <v>45</v>
      </c>
      <c r="B46" s="3482" t="s">
        <v>3425</v>
      </c>
      <c r="C46" s="3482" t="s">
        <v>3386</v>
      </c>
      <c r="D46" s="3482">
        <v>14</v>
      </c>
      <c r="E46" s="3482">
        <v>109.06</v>
      </c>
      <c r="F46" s="3483" t="s">
        <v>3387</v>
      </c>
      <c r="G46" s="3483" t="s">
        <v>3387</v>
      </c>
    </row>
    <row r="47" spans="1:7">
      <c r="A47" s="3482">
        <v>46</v>
      </c>
      <c r="B47" s="3482" t="s">
        <v>3426</v>
      </c>
      <c r="C47" s="3482" t="s">
        <v>3386</v>
      </c>
      <c r="D47" s="3482">
        <v>14</v>
      </c>
      <c r="E47" s="3482">
        <v>109.06</v>
      </c>
      <c r="F47" s="3483" t="s">
        <v>3387</v>
      </c>
      <c r="G47" s="3483" t="s">
        <v>3387</v>
      </c>
    </row>
    <row r="48" spans="1:7">
      <c r="A48" s="3482">
        <v>47</v>
      </c>
      <c r="B48" s="3482" t="s">
        <v>3427</v>
      </c>
      <c r="C48" s="3482" t="s">
        <v>3386</v>
      </c>
      <c r="D48" s="3482">
        <v>14</v>
      </c>
      <c r="E48" s="3482">
        <v>109.06</v>
      </c>
      <c r="F48" s="3483" t="s">
        <v>3387</v>
      </c>
      <c r="G48" s="3483" t="s">
        <v>3387</v>
      </c>
    </row>
    <row r="49" spans="1:7">
      <c r="A49" s="3482">
        <v>48</v>
      </c>
      <c r="B49" s="3482" t="s">
        <v>3428</v>
      </c>
      <c r="C49" s="3482" t="s">
        <v>3386</v>
      </c>
      <c r="D49" s="3482">
        <v>14</v>
      </c>
      <c r="E49" s="3482">
        <v>109.06</v>
      </c>
      <c r="F49" s="3483" t="s">
        <v>3387</v>
      </c>
      <c r="G49" s="3483" t="s">
        <v>3387</v>
      </c>
    </row>
    <row r="50" spans="1:7">
      <c r="A50" s="3482">
        <v>49</v>
      </c>
      <c r="B50" s="3482" t="s">
        <v>3429</v>
      </c>
      <c r="C50" s="3482" t="s">
        <v>3386</v>
      </c>
      <c r="D50" s="3482">
        <v>14</v>
      </c>
      <c r="E50" s="3482">
        <v>208.9</v>
      </c>
      <c r="F50" s="3483" t="s">
        <v>3387</v>
      </c>
      <c r="G50" s="3483" t="s">
        <v>3387</v>
      </c>
    </row>
    <row r="51" spans="1:7">
      <c r="A51" s="3482">
        <v>50</v>
      </c>
      <c r="B51" s="3482" t="s">
        <v>3430</v>
      </c>
      <c r="C51" s="3482" t="s">
        <v>3386</v>
      </c>
      <c r="D51" s="3482">
        <v>14</v>
      </c>
      <c r="E51" s="3482">
        <v>108.47</v>
      </c>
      <c r="F51" s="3483" t="s">
        <v>3387</v>
      </c>
      <c r="G51" s="3483" t="s">
        <v>3587</v>
      </c>
    </row>
    <row r="52" spans="1:7">
      <c r="A52" s="3482">
        <v>51</v>
      </c>
      <c r="B52" s="3482" t="s">
        <v>3431</v>
      </c>
      <c r="C52" s="3482" t="s">
        <v>3386</v>
      </c>
      <c r="D52" s="3482">
        <v>14</v>
      </c>
      <c r="E52" s="3482">
        <v>108.47</v>
      </c>
      <c r="F52" s="3483" t="s">
        <v>3387</v>
      </c>
      <c r="G52" s="3483" t="s">
        <v>3587</v>
      </c>
    </row>
    <row r="53" spans="1:7">
      <c r="A53" s="3482">
        <v>52</v>
      </c>
      <c r="B53" s="3482" t="s">
        <v>3432</v>
      </c>
      <c r="C53" s="3482" t="s">
        <v>3386</v>
      </c>
      <c r="D53" s="3482">
        <v>14</v>
      </c>
      <c r="E53" s="3482">
        <v>100.31</v>
      </c>
      <c r="F53" s="3483" t="s">
        <v>3387</v>
      </c>
      <c r="G53" s="3483" t="s">
        <v>3587</v>
      </c>
    </row>
    <row r="54" spans="1:7">
      <c r="A54" s="3482">
        <v>53</v>
      </c>
      <c r="B54" s="3482" t="s">
        <v>3501</v>
      </c>
      <c r="C54" s="3482" t="s">
        <v>3386</v>
      </c>
      <c r="D54" s="3482">
        <v>14</v>
      </c>
      <c r="E54" s="3482">
        <v>108.47</v>
      </c>
      <c r="F54" s="3483" t="s">
        <v>3387</v>
      </c>
      <c r="G54" s="3483" t="s">
        <v>3587</v>
      </c>
    </row>
    <row r="55" spans="1:7">
      <c r="A55" s="3482">
        <v>54</v>
      </c>
      <c r="B55" s="3482" t="s">
        <v>3502</v>
      </c>
      <c r="C55" s="3482" t="s">
        <v>3386</v>
      </c>
      <c r="D55" s="3482">
        <v>14</v>
      </c>
      <c r="E55" s="3482">
        <v>142.4</v>
      </c>
      <c r="F55" s="3483" t="s">
        <v>3387</v>
      </c>
      <c r="G55" s="3483" t="s">
        <v>3587</v>
      </c>
    </row>
    <row r="56" spans="1:7">
      <c r="A56" s="3482">
        <v>55</v>
      </c>
      <c r="B56" s="3482" t="s">
        <v>3433</v>
      </c>
      <c r="C56" s="3482" t="s">
        <v>3386</v>
      </c>
      <c r="D56" s="3482">
        <v>15</v>
      </c>
      <c r="E56" s="3482">
        <v>109.06</v>
      </c>
      <c r="F56" s="3483" t="s">
        <v>3387</v>
      </c>
      <c r="G56" s="3483" t="s">
        <v>3587</v>
      </c>
    </row>
    <row r="57" spans="1:7">
      <c r="A57" s="3482">
        <v>56</v>
      </c>
      <c r="B57" s="3482" t="s">
        <v>3434</v>
      </c>
      <c r="C57" s="3482" t="s">
        <v>3386</v>
      </c>
      <c r="D57" s="3482">
        <v>15</v>
      </c>
      <c r="E57" s="3482">
        <v>109.06</v>
      </c>
      <c r="F57" s="3483" t="s">
        <v>3387</v>
      </c>
      <c r="G57" s="3483" t="s">
        <v>3587</v>
      </c>
    </row>
    <row r="58" spans="1:7">
      <c r="A58" s="3482">
        <v>57</v>
      </c>
      <c r="B58" s="3482" t="s">
        <v>3435</v>
      </c>
      <c r="C58" s="3482" t="s">
        <v>3386</v>
      </c>
      <c r="D58" s="3482">
        <v>15</v>
      </c>
      <c r="E58" s="3482">
        <v>208.9</v>
      </c>
      <c r="F58" s="3483" t="s">
        <v>3387</v>
      </c>
      <c r="G58" s="3483" t="s">
        <v>3587</v>
      </c>
    </row>
    <row r="59" spans="1:7">
      <c r="A59" s="3482">
        <v>58</v>
      </c>
      <c r="B59" s="3482" t="s">
        <v>3436</v>
      </c>
      <c r="C59" s="3482" t="s">
        <v>3386</v>
      </c>
      <c r="D59" s="3482">
        <v>15</v>
      </c>
      <c r="E59" s="3482">
        <v>108.47</v>
      </c>
      <c r="F59" s="3483" t="s">
        <v>3387</v>
      </c>
      <c r="G59" s="3483" t="s">
        <v>3587</v>
      </c>
    </row>
    <row r="60" spans="1:7">
      <c r="A60" s="3482">
        <v>59</v>
      </c>
      <c r="B60" s="3482" t="s">
        <v>3437</v>
      </c>
      <c r="C60" s="3482" t="s">
        <v>3386</v>
      </c>
      <c r="D60" s="3482">
        <v>15</v>
      </c>
      <c r="E60" s="3482">
        <v>108.47</v>
      </c>
      <c r="F60" s="3483" t="s">
        <v>3387</v>
      </c>
      <c r="G60" s="3483" t="s">
        <v>3587</v>
      </c>
    </row>
    <row r="61" spans="1:7">
      <c r="A61" s="3482">
        <v>60</v>
      </c>
      <c r="B61" s="3482" t="s">
        <v>3438</v>
      </c>
      <c r="C61" s="3482" t="s">
        <v>3386</v>
      </c>
      <c r="D61" s="3482">
        <v>15</v>
      </c>
      <c r="E61" s="3482">
        <v>100.31</v>
      </c>
      <c r="F61" s="3483" t="s">
        <v>3387</v>
      </c>
      <c r="G61" s="3483" t="s">
        <v>3587</v>
      </c>
    </row>
    <row r="62" spans="1:7">
      <c r="A62" s="3482">
        <v>61</v>
      </c>
      <c r="B62" s="3482" t="s">
        <v>3439</v>
      </c>
      <c r="C62" s="3482" t="s">
        <v>3386</v>
      </c>
      <c r="D62" s="3482">
        <v>15</v>
      </c>
      <c r="E62" s="3482">
        <v>108.47</v>
      </c>
      <c r="F62" s="3483" t="s">
        <v>3387</v>
      </c>
      <c r="G62" s="3483" t="s">
        <v>3587</v>
      </c>
    </row>
    <row r="63" spans="1:7">
      <c r="A63" s="3482">
        <v>62</v>
      </c>
      <c r="B63" s="3482" t="s">
        <v>3440</v>
      </c>
      <c r="C63" s="3482" t="s">
        <v>3386</v>
      </c>
      <c r="D63" s="3482">
        <v>15</v>
      </c>
      <c r="E63" s="3482">
        <v>142.4</v>
      </c>
      <c r="F63" s="3483" t="s">
        <v>3387</v>
      </c>
      <c r="G63" s="3483" t="s">
        <v>3587</v>
      </c>
    </row>
    <row r="64" spans="1:7">
      <c r="A64" s="3482">
        <v>63</v>
      </c>
      <c r="B64" s="3482" t="s">
        <v>3442</v>
      </c>
      <c r="C64" s="3482" t="s">
        <v>3386</v>
      </c>
      <c r="D64" s="3482">
        <v>16</v>
      </c>
      <c r="E64" s="3482">
        <v>208.9</v>
      </c>
      <c r="F64" s="3483" t="s">
        <v>3387</v>
      </c>
      <c r="G64" s="3483" t="s">
        <v>3587</v>
      </c>
    </row>
    <row r="65" spans="1:7">
      <c r="A65" s="3482">
        <v>64</v>
      </c>
      <c r="B65" s="3482" t="s">
        <v>3443</v>
      </c>
      <c r="C65" s="3482" t="s">
        <v>3386</v>
      </c>
      <c r="D65" s="3482">
        <v>16</v>
      </c>
      <c r="E65" s="3482">
        <v>218.12</v>
      </c>
      <c r="F65" s="3483" t="s">
        <v>3441</v>
      </c>
      <c r="G65" s="3483" t="s">
        <v>3587</v>
      </c>
    </row>
    <row r="66" spans="1:7">
      <c r="A66" s="3482">
        <v>65</v>
      </c>
      <c r="B66" s="3482" t="s">
        <v>3444</v>
      </c>
      <c r="C66" s="3482" t="s">
        <v>3386</v>
      </c>
      <c r="D66" s="3482">
        <v>16</v>
      </c>
      <c r="E66" s="3482">
        <v>208.9</v>
      </c>
      <c r="F66" s="3483" t="s">
        <v>3441</v>
      </c>
      <c r="G66" s="3483" t="s">
        <v>3587</v>
      </c>
    </row>
    <row r="67" spans="1:7">
      <c r="A67" s="3482">
        <v>66</v>
      </c>
      <c r="B67" s="3482" t="s">
        <v>3445</v>
      </c>
      <c r="C67" s="3482" t="s">
        <v>3386</v>
      </c>
      <c r="D67" s="3482">
        <v>16</v>
      </c>
      <c r="E67" s="3482">
        <v>250.89</v>
      </c>
      <c r="F67" s="3483" t="s">
        <v>3441</v>
      </c>
      <c r="G67" s="3483" t="s">
        <v>3587</v>
      </c>
    </row>
    <row r="68" spans="1:7">
      <c r="A68" s="3482">
        <v>67</v>
      </c>
      <c r="B68" s="3482" t="s">
        <v>3446</v>
      </c>
      <c r="C68" s="3482" t="s">
        <v>3386</v>
      </c>
      <c r="D68" s="3482">
        <v>16</v>
      </c>
      <c r="E68" s="3482">
        <v>108.47</v>
      </c>
      <c r="F68" s="3483" t="s">
        <v>3441</v>
      </c>
      <c r="G68" s="3483" t="s">
        <v>3587</v>
      </c>
    </row>
    <row r="69" spans="1:7">
      <c r="A69" s="3482">
        <v>68</v>
      </c>
      <c r="B69" s="3482" t="s">
        <v>3447</v>
      </c>
      <c r="C69" s="3482" t="s">
        <v>3386</v>
      </c>
      <c r="D69" s="3482">
        <v>16</v>
      </c>
      <c r="E69" s="3482">
        <v>250.89</v>
      </c>
      <c r="F69" s="3483" t="s">
        <v>3441</v>
      </c>
      <c r="G69" s="3483" t="s">
        <v>3587</v>
      </c>
    </row>
    <row r="70" spans="1:7">
      <c r="A70" s="3482">
        <v>69</v>
      </c>
      <c r="B70" s="3482" t="s">
        <v>3448</v>
      </c>
      <c r="C70" s="3482" t="s">
        <v>3386</v>
      </c>
      <c r="D70" s="3482">
        <v>2</v>
      </c>
      <c r="E70" s="3482">
        <v>125.44</v>
      </c>
      <c r="F70" s="3483" t="s">
        <v>3441</v>
      </c>
      <c r="G70" s="3483" t="s">
        <v>3387</v>
      </c>
    </row>
    <row r="71" spans="1:7">
      <c r="A71" s="3482">
        <v>70</v>
      </c>
      <c r="B71" s="3482" t="s">
        <v>3449</v>
      </c>
      <c r="C71" s="3482" t="s">
        <v>3386</v>
      </c>
      <c r="D71" s="3482">
        <v>2</v>
      </c>
      <c r="E71" s="3482">
        <v>211.49</v>
      </c>
      <c r="F71" s="3483" t="s">
        <v>3441</v>
      </c>
      <c r="G71" s="3483" t="s">
        <v>3387</v>
      </c>
    </row>
    <row r="72" spans="1:7">
      <c r="A72" s="3482">
        <v>71</v>
      </c>
      <c r="B72" s="3482" t="s">
        <v>3450</v>
      </c>
      <c r="C72" s="3482" t="s">
        <v>3386</v>
      </c>
      <c r="D72" s="3482">
        <v>2</v>
      </c>
      <c r="E72" s="3482">
        <v>211.49</v>
      </c>
      <c r="F72" s="3483" t="s">
        <v>3441</v>
      </c>
      <c r="G72" s="3483" t="s">
        <v>3387</v>
      </c>
    </row>
    <row r="73" spans="1:7">
      <c r="A73" s="3482">
        <v>72</v>
      </c>
      <c r="B73" s="3482" t="s">
        <v>3451</v>
      </c>
      <c r="C73" s="3482" t="s">
        <v>3386</v>
      </c>
      <c r="D73" s="3482">
        <v>2</v>
      </c>
      <c r="E73" s="3482">
        <v>125.44</v>
      </c>
      <c r="F73" s="3483" t="s">
        <v>3441</v>
      </c>
      <c r="G73" s="3483" t="s">
        <v>3387</v>
      </c>
    </row>
    <row r="74" spans="1:7">
      <c r="A74" s="3482">
        <v>73</v>
      </c>
      <c r="B74" s="3482" t="s">
        <v>3452</v>
      </c>
      <c r="C74" s="3482" t="s">
        <v>3386</v>
      </c>
      <c r="D74" s="3482">
        <v>2</v>
      </c>
      <c r="E74" s="3482">
        <v>125.44</v>
      </c>
      <c r="F74" s="3483" t="s">
        <v>3441</v>
      </c>
      <c r="G74" s="3483" t="s">
        <v>3387</v>
      </c>
    </row>
    <row r="75" spans="1:7">
      <c r="A75" s="3482">
        <v>74</v>
      </c>
      <c r="B75" s="3482" t="s">
        <v>3453</v>
      </c>
      <c r="C75" s="3482" t="s">
        <v>3386</v>
      </c>
      <c r="D75" s="3482">
        <v>2</v>
      </c>
      <c r="E75" s="3482">
        <v>164.06</v>
      </c>
      <c r="F75" s="3483" t="s">
        <v>3441</v>
      </c>
      <c r="G75" s="3483" t="s">
        <v>3387</v>
      </c>
    </row>
    <row r="76" spans="1:7">
      <c r="A76" s="3482">
        <v>75</v>
      </c>
      <c r="B76" s="3482" t="s">
        <v>3454</v>
      </c>
      <c r="C76" s="3482" t="s">
        <v>3386</v>
      </c>
      <c r="D76" s="3482">
        <v>2</v>
      </c>
      <c r="E76" s="3482">
        <v>169.88</v>
      </c>
      <c r="F76" s="3483" t="s">
        <v>3441</v>
      </c>
      <c r="G76" s="3483" t="s">
        <v>3387</v>
      </c>
    </row>
    <row r="77" spans="1:7">
      <c r="A77" s="3482">
        <v>76</v>
      </c>
      <c r="B77" s="3482" t="s">
        <v>3455</v>
      </c>
      <c r="C77" s="3482" t="s">
        <v>3386</v>
      </c>
      <c r="D77" s="3482">
        <v>2</v>
      </c>
      <c r="E77" s="3482">
        <v>125.44</v>
      </c>
      <c r="F77" s="3483" t="s">
        <v>3441</v>
      </c>
      <c r="G77" s="3483" t="s">
        <v>3387</v>
      </c>
    </row>
    <row r="78" spans="1:7">
      <c r="A78" s="3482">
        <v>77</v>
      </c>
      <c r="B78" s="3482" t="s">
        <v>3456</v>
      </c>
      <c r="C78" s="3482" t="s">
        <v>3386</v>
      </c>
      <c r="D78" s="3482">
        <v>7</v>
      </c>
      <c r="E78" s="3482">
        <v>234.74</v>
      </c>
      <c r="F78" s="3483" t="s">
        <v>3441</v>
      </c>
      <c r="G78" s="3483" t="s">
        <v>3387</v>
      </c>
    </row>
    <row r="79" spans="1:7">
      <c r="A79" s="3482">
        <v>78</v>
      </c>
      <c r="B79" s="3482" t="s">
        <v>3457</v>
      </c>
      <c r="C79" s="3482" t="s">
        <v>3386</v>
      </c>
      <c r="D79" s="3482">
        <v>10</v>
      </c>
      <c r="E79" s="3482">
        <v>125.44</v>
      </c>
      <c r="F79" s="3483" t="s">
        <v>3441</v>
      </c>
      <c r="G79" s="3483" t="s">
        <v>3387</v>
      </c>
    </row>
    <row r="80" spans="1:7">
      <c r="A80" s="3482">
        <v>79</v>
      </c>
      <c r="B80" s="3482" t="s">
        <v>3458</v>
      </c>
      <c r="C80" s="3482" t="s">
        <v>3386</v>
      </c>
      <c r="D80" s="3482">
        <v>10</v>
      </c>
      <c r="E80" s="3482">
        <v>211.49</v>
      </c>
      <c r="F80" s="3483" t="s">
        <v>3441</v>
      </c>
      <c r="G80" s="3483" t="s">
        <v>3387</v>
      </c>
    </row>
    <row r="81" spans="1:8">
      <c r="A81" s="3482">
        <v>80</v>
      </c>
      <c r="B81" s="3482" t="s">
        <v>3459</v>
      </c>
      <c r="C81" s="3482" t="s">
        <v>3386</v>
      </c>
      <c r="D81" s="3482">
        <v>10</v>
      </c>
      <c r="E81" s="3482">
        <v>211.49</v>
      </c>
      <c r="F81" s="3483" t="s">
        <v>3441</v>
      </c>
      <c r="G81" s="3483" t="s">
        <v>3387</v>
      </c>
      <c r="H81" s="3476" t="s">
        <v>3589</v>
      </c>
    </row>
    <row r="82" spans="1:8">
      <c r="A82" s="3482">
        <v>81</v>
      </c>
      <c r="B82" s="3482" t="s">
        <v>3460</v>
      </c>
      <c r="C82" s="3482" t="s">
        <v>3386</v>
      </c>
      <c r="D82" s="3482">
        <v>10</v>
      </c>
      <c r="E82" s="3482">
        <v>125.44</v>
      </c>
      <c r="F82" s="3483" t="s">
        <v>3441</v>
      </c>
      <c r="G82" s="3483" t="s">
        <v>3387</v>
      </c>
      <c r="H82" s="3476" t="s">
        <v>3589</v>
      </c>
    </row>
    <row r="83" spans="1:8">
      <c r="A83" s="3482">
        <v>82</v>
      </c>
      <c r="B83" s="3482" t="s">
        <v>3461</v>
      </c>
      <c r="C83" s="3482" t="s">
        <v>3386</v>
      </c>
      <c r="D83" s="3482">
        <v>10</v>
      </c>
      <c r="E83" s="3482">
        <v>125.44</v>
      </c>
      <c r="F83" s="3483" t="s">
        <v>3441</v>
      </c>
      <c r="G83" s="3483" t="s">
        <v>3387</v>
      </c>
      <c r="H83" s="3476" t="s">
        <v>3589</v>
      </c>
    </row>
    <row r="84" spans="1:8">
      <c r="A84" s="3482">
        <v>83</v>
      </c>
      <c r="B84" s="3482" t="s">
        <v>3462</v>
      </c>
      <c r="C84" s="3482" t="s">
        <v>3386</v>
      </c>
      <c r="D84" s="3482">
        <v>10</v>
      </c>
      <c r="E84" s="3482">
        <v>234.73</v>
      </c>
      <c r="F84" s="3483" t="s">
        <v>3441</v>
      </c>
      <c r="G84" s="3483" t="s">
        <v>3387</v>
      </c>
      <c r="H84" s="3476" t="s">
        <v>3589</v>
      </c>
    </row>
    <row r="85" spans="1:8">
      <c r="A85" s="3482">
        <v>84</v>
      </c>
      <c r="B85" s="3482" t="s">
        <v>3463</v>
      </c>
      <c r="C85" s="3482" t="s">
        <v>3386</v>
      </c>
      <c r="D85" s="3482">
        <v>10</v>
      </c>
      <c r="E85" s="3482">
        <v>234.74</v>
      </c>
      <c r="F85" s="3483" t="s">
        <v>3441</v>
      </c>
      <c r="G85" s="3483" t="s">
        <v>3387</v>
      </c>
      <c r="H85" s="3476" t="s">
        <v>3589</v>
      </c>
    </row>
    <row r="86" spans="1:8">
      <c r="A86" s="3482">
        <v>85</v>
      </c>
      <c r="B86" s="3482" t="s">
        <v>3464</v>
      </c>
      <c r="C86" s="3482" t="s">
        <v>3386</v>
      </c>
      <c r="D86" s="3482">
        <v>10</v>
      </c>
      <c r="E86" s="3482">
        <v>125.44</v>
      </c>
      <c r="F86" s="3483" t="s">
        <v>3441</v>
      </c>
      <c r="G86" s="3483" t="s">
        <v>3387</v>
      </c>
    </row>
    <row r="87" spans="1:8">
      <c r="A87" s="3482">
        <v>86</v>
      </c>
      <c r="B87" s="3482" t="s">
        <v>3465</v>
      </c>
      <c r="C87" s="3482" t="s">
        <v>3386</v>
      </c>
      <c r="D87" s="3482">
        <v>11</v>
      </c>
      <c r="E87" s="3482">
        <v>125.44</v>
      </c>
      <c r="F87" s="3483" t="s">
        <v>3441</v>
      </c>
      <c r="G87" s="3483" t="s">
        <v>3387</v>
      </c>
    </row>
    <row r="88" spans="1:8">
      <c r="A88" s="3482">
        <v>87</v>
      </c>
      <c r="B88" s="3482" t="s">
        <v>3466</v>
      </c>
      <c r="C88" s="3482" t="s">
        <v>3386</v>
      </c>
      <c r="D88" s="3482">
        <v>11</v>
      </c>
      <c r="E88" s="3482">
        <v>211.49</v>
      </c>
      <c r="F88" s="3483" t="s">
        <v>3441</v>
      </c>
      <c r="G88" s="3483" t="s">
        <v>3387</v>
      </c>
    </row>
    <row r="89" spans="1:8">
      <c r="A89" s="3482">
        <v>88</v>
      </c>
      <c r="B89" s="3482" t="s">
        <v>3467</v>
      </c>
      <c r="C89" s="3482" t="s">
        <v>3386</v>
      </c>
      <c r="D89" s="3482">
        <v>11</v>
      </c>
      <c r="E89" s="3482">
        <v>211.49</v>
      </c>
      <c r="F89" s="3483" t="s">
        <v>3441</v>
      </c>
      <c r="G89" s="3483" t="s">
        <v>3387</v>
      </c>
    </row>
    <row r="90" spans="1:8">
      <c r="A90" s="3482">
        <v>89</v>
      </c>
      <c r="B90" s="3482" t="s">
        <v>3468</v>
      </c>
      <c r="C90" s="3482" t="s">
        <v>3386</v>
      </c>
      <c r="D90" s="3482">
        <v>11</v>
      </c>
      <c r="E90" s="3482">
        <v>125.44</v>
      </c>
      <c r="F90" s="3483" t="s">
        <v>3441</v>
      </c>
      <c r="G90" s="3483" t="s">
        <v>3387</v>
      </c>
    </row>
    <row r="91" spans="1:8">
      <c r="A91" s="3482">
        <v>90</v>
      </c>
      <c r="B91" s="3482" t="s">
        <v>3469</v>
      </c>
      <c r="C91" s="3482" t="s">
        <v>3386</v>
      </c>
      <c r="D91" s="3482">
        <v>11</v>
      </c>
      <c r="E91" s="3482">
        <v>125.44</v>
      </c>
      <c r="F91" s="3483" t="s">
        <v>3441</v>
      </c>
      <c r="G91" s="3483" t="s">
        <v>3387</v>
      </c>
    </row>
    <row r="92" spans="1:8">
      <c r="A92" s="3482">
        <v>91</v>
      </c>
      <c r="B92" s="3482" t="s">
        <v>3470</v>
      </c>
      <c r="C92" s="3482" t="s">
        <v>3386</v>
      </c>
      <c r="D92" s="3482">
        <v>11</v>
      </c>
      <c r="E92" s="3482">
        <v>234.73</v>
      </c>
      <c r="F92" s="3483" t="s">
        <v>3441</v>
      </c>
      <c r="G92" s="3483" t="s">
        <v>3387</v>
      </c>
    </row>
    <row r="93" spans="1:8">
      <c r="A93" s="3482">
        <v>92</v>
      </c>
      <c r="B93" s="3482" t="s">
        <v>3471</v>
      </c>
      <c r="C93" s="3482" t="s">
        <v>3386</v>
      </c>
      <c r="D93" s="3482">
        <v>11</v>
      </c>
      <c r="E93" s="3482">
        <v>234.74</v>
      </c>
      <c r="F93" s="3483" t="s">
        <v>3441</v>
      </c>
      <c r="G93" s="3483" t="s">
        <v>3387</v>
      </c>
    </row>
    <row r="94" spans="1:8">
      <c r="A94" s="3482">
        <v>93</v>
      </c>
      <c r="B94" s="3482" t="s">
        <v>3472</v>
      </c>
      <c r="C94" s="3482" t="s">
        <v>3386</v>
      </c>
      <c r="D94" s="3482">
        <v>11</v>
      </c>
      <c r="E94" s="3482">
        <v>125.44</v>
      </c>
      <c r="F94" s="3483" t="s">
        <v>3441</v>
      </c>
      <c r="G94" s="3483" t="s">
        <v>3387</v>
      </c>
    </row>
    <row r="95" spans="1:8">
      <c r="A95" s="3482">
        <v>94</v>
      </c>
      <c r="B95" s="3482" t="s">
        <v>3473</v>
      </c>
      <c r="C95" s="3482" t="s">
        <v>3386</v>
      </c>
      <c r="D95" s="3482">
        <v>18</v>
      </c>
      <c r="E95" s="3482">
        <v>125.44</v>
      </c>
      <c r="F95" s="3483" t="s">
        <v>3441</v>
      </c>
      <c r="G95" s="3483" t="s">
        <v>3387</v>
      </c>
    </row>
    <row r="96" spans="1:8">
      <c r="A96" s="3482">
        <v>95</v>
      </c>
      <c r="B96" s="3482" t="s">
        <v>3474</v>
      </c>
      <c r="C96" s="3482" t="s">
        <v>3386</v>
      </c>
      <c r="D96" s="3482">
        <v>18</v>
      </c>
      <c r="E96" s="3482">
        <v>211.49</v>
      </c>
      <c r="F96" s="3483" t="s">
        <v>3441</v>
      </c>
      <c r="G96" s="3483" t="s">
        <v>3387</v>
      </c>
    </row>
    <row r="97" spans="1:8">
      <c r="A97" s="3482">
        <v>96</v>
      </c>
      <c r="B97" s="3482" t="s">
        <v>3475</v>
      </c>
      <c r="C97" s="3482" t="s">
        <v>3386</v>
      </c>
      <c r="D97" s="3482">
        <v>18</v>
      </c>
      <c r="E97" s="3482">
        <v>211.49</v>
      </c>
      <c r="F97" s="3483" t="s">
        <v>3441</v>
      </c>
      <c r="G97" s="3483" t="s">
        <v>3387</v>
      </c>
    </row>
    <row r="98" spans="1:8">
      <c r="A98" s="3482">
        <v>97</v>
      </c>
      <c r="B98" s="3482" t="s">
        <v>3476</v>
      </c>
      <c r="C98" s="3482" t="s">
        <v>3386</v>
      </c>
      <c r="D98" s="3482">
        <v>18</v>
      </c>
      <c r="E98" s="3482">
        <v>125.44</v>
      </c>
      <c r="F98" s="3483" t="s">
        <v>3441</v>
      </c>
      <c r="G98" s="3483" t="s">
        <v>3387</v>
      </c>
    </row>
    <row r="99" spans="1:8">
      <c r="A99" s="3482">
        <v>98</v>
      </c>
      <c r="B99" s="3482" t="s">
        <v>3477</v>
      </c>
      <c r="C99" s="3482" t="s">
        <v>3386</v>
      </c>
      <c r="D99" s="3482">
        <v>18</v>
      </c>
      <c r="E99" s="3482">
        <v>125.44</v>
      </c>
      <c r="F99" s="3483" t="s">
        <v>3441</v>
      </c>
      <c r="G99" s="3483" t="s">
        <v>3387</v>
      </c>
    </row>
    <row r="100" spans="1:8">
      <c r="A100" s="3482">
        <v>99</v>
      </c>
      <c r="B100" s="3482" t="s">
        <v>3478</v>
      </c>
      <c r="C100" s="3482" t="s">
        <v>3386</v>
      </c>
      <c r="D100" s="3482">
        <v>18</v>
      </c>
      <c r="E100" s="3482">
        <v>234.73</v>
      </c>
      <c r="F100" s="3483" t="s">
        <v>3441</v>
      </c>
      <c r="G100" s="3483" t="s">
        <v>3387</v>
      </c>
    </row>
    <row r="101" spans="1:8">
      <c r="A101" s="3482">
        <v>100</v>
      </c>
      <c r="B101" s="3482" t="s">
        <v>3479</v>
      </c>
      <c r="C101" s="3482" t="s">
        <v>3386</v>
      </c>
      <c r="D101" s="3482">
        <v>18</v>
      </c>
      <c r="E101" s="3482">
        <v>234.74</v>
      </c>
      <c r="F101" s="3483" t="s">
        <v>3441</v>
      </c>
      <c r="G101" s="3483" t="s">
        <v>3387</v>
      </c>
    </row>
    <row r="102" spans="1:8">
      <c r="A102" s="3482">
        <v>101</v>
      </c>
      <c r="B102" s="3482" t="s">
        <v>3480</v>
      </c>
      <c r="C102" s="3482" t="s">
        <v>3386</v>
      </c>
      <c r="D102" s="3482">
        <v>18</v>
      </c>
      <c r="E102" s="3482">
        <v>125.44</v>
      </c>
      <c r="F102" s="3483" t="s">
        <v>3441</v>
      </c>
      <c r="G102" s="3483" t="s">
        <v>3387</v>
      </c>
    </row>
    <row r="103" spans="1:8">
      <c r="A103" s="3482">
        <v>102</v>
      </c>
      <c r="B103" s="3482" t="s">
        <v>3481</v>
      </c>
      <c r="C103" s="3482" t="s">
        <v>3386</v>
      </c>
      <c r="D103" s="3482">
        <v>19</v>
      </c>
      <c r="E103" s="3482">
        <v>125.44</v>
      </c>
      <c r="F103" s="3483" t="s">
        <v>3441</v>
      </c>
      <c r="G103" s="3483" t="s">
        <v>3387</v>
      </c>
    </row>
    <row r="104" spans="1:8">
      <c r="A104" s="3482">
        <v>103</v>
      </c>
      <c r="B104" s="3482" t="s">
        <v>3482</v>
      </c>
      <c r="C104" s="3482" t="s">
        <v>3386</v>
      </c>
      <c r="D104" s="3482">
        <v>19</v>
      </c>
      <c r="E104" s="3482">
        <v>211.49</v>
      </c>
      <c r="F104" s="3483" t="s">
        <v>3441</v>
      </c>
      <c r="G104" s="3483" t="s">
        <v>3387</v>
      </c>
    </row>
    <row r="105" spans="1:8">
      <c r="A105" s="3482">
        <v>104</v>
      </c>
      <c r="B105" s="3482" t="s">
        <v>3483</v>
      </c>
      <c r="C105" s="3482" t="s">
        <v>3386</v>
      </c>
      <c r="D105" s="3482">
        <v>19</v>
      </c>
      <c r="E105" s="3482">
        <v>211.49</v>
      </c>
      <c r="F105" s="3483" t="s">
        <v>3441</v>
      </c>
      <c r="G105" s="3483" t="s">
        <v>3387</v>
      </c>
    </row>
    <row r="106" spans="1:8">
      <c r="A106" s="3482">
        <v>105</v>
      </c>
      <c r="B106" s="3482" t="s">
        <v>3484</v>
      </c>
      <c r="C106" s="3482" t="s">
        <v>3386</v>
      </c>
      <c r="D106" s="3482">
        <v>19</v>
      </c>
      <c r="E106" s="3482">
        <v>125.44</v>
      </c>
      <c r="F106" s="3483" t="s">
        <v>3441</v>
      </c>
      <c r="G106" s="3483" t="s">
        <v>3387</v>
      </c>
    </row>
    <row r="107" spans="1:8">
      <c r="A107" s="3482">
        <v>106</v>
      </c>
      <c r="B107" s="3482" t="s">
        <v>3485</v>
      </c>
      <c r="C107" s="3482" t="s">
        <v>3386</v>
      </c>
      <c r="D107" s="3482">
        <v>19</v>
      </c>
      <c r="E107" s="3482">
        <v>125.44</v>
      </c>
      <c r="F107" s="3483" t="s">
        <v>3441</v>
      </c>
      <c r="G107" s="3483" t="s">
        <v>3387</v>
      </c>
    </row>
    <row r="108" spans="1:8">
      <c r="A108" s="3482">
        <v>107</v>
      </c>
      <c r="B108" s="3482" t="s">
        <v>3486</v>
      </c>
      <c r="C108" s="3482" t="s">
        <v>3386</v>
      </c>
      <c r="D108" s="3482">
        <v>19</v>
      </c>
      <c r="E108" s="3482">
        <v>234.73</v>
      </c>
      <c r="F108" s="3483" t="s">
        <v>3441</v>
      </c>
      <c r="G108" s="3483" t="s">
        <v>3387</v>
      </c>
    </row>
    <row r="109" spans="1:8">
      <c r="A109" s="3482">
        <v>108</v>
      </c>
      <c r="B109" s="3482" t="s">
        <v>3487</v>
      </c>
      <c r="C109" s="3482" t="s">
        <v>3386</v>
      </c>
      <c r="D109" s="3482">
        <v>19</v>
      </c>
      <c r="E109" s="3482">
        <v>234.74</v>
      </c>
      <c r="F109" s="3483" t="s">
        <v>3441</v>
      </c>
      <c r="G109" s="3483" t="s">
        <v>3387</v>
      </c>
    </row>
    <row r="110" spans="1:8">
      <c r="A110" s="3482">
        <v>109</v>
      </c>
      <c r="B110" s="3482" t="s">
        <v>3488</v>
      </c>
      <c r="C110" s="3482" t="s">
        <v>3386</v>
      </c>
      <c r="D110" s="3482">
        <v>19</v>
      </c>
      <c r="E110" s="3482">
        <v>125.44</v>
      </c>
      <c r="F110" s="3483" t="s">
        <v>3441</v>
      </c>
      <c r="G110" s="3483" t="s">
        <v>3387</v>
      </c>
    </row>
    <row r="111" spans="1:8">
      <c r="A111" s="3565" t="s">
        <v>3490</v>
      </c>
      <c r="B111" s="3566"/>
      <c r="C111" s="3566"/>
      <c r="D111" s="3567"/>
      <c r="E111" s="3482">
        <f>SUM(E2:E110)</f>
        <v>16024.920000000006</v>
      </c>
      <c r="F111" s="3483" t="s">
        <v>3616</v>
      </c>
      <c r="G111" s="3483"/>
    </row>
    <row r="112" spans="1:8">
      <c r="A112" s="3482">
        <v>110</v>
      </c>
      <c r="B112" s="3482" t="s">
        <v>3489</v>
      </c>
      <c r="C112" s="3482" t="s">
        <v>3386</v>
      </c>
      <c r="D112" s="3482">
        <v>1</v>
      </c>
      <c r="E112" s="3482">
        <v>282.85000000000002</v>
      </c>
      <c r="F112" s="3483" t="s">
        <v>3500</v>
      </c>
      <c r="G112" s="3483"/>
      <c r="H112" s="3485" t="s">
        <v>3603</v>
      </c>
    </row>
    <row r="113" spans="1:8">
      <c r="A113" s="3482">
        <v>110</v>
      </c>
      <c r="B113" s="3482" t="s">
        <v>3491</v>
      </c>
      <c r="C113" s="3482" t="s">
        <v>3386</v>
      </c>
      <c r="D113" s="3482">
        <v>1</v>
      </c>
      <c r="E113" s="3482">
        <v>204.95</v>
      </c>
      <c r="F113" s="3483" t="s">
        <v>3500</v>
      </c>
      <c r="G113" s="3483"/>
      <c r="H113" s="3485" t="s">
        <v>3603</v>
      </c>
    </row>
    <row r="114" spans="1:8">
      <c r="A114" s="3482">
        <v>110</v>
      </c>
      <c r="B114" s="3482" t="s">
        <v>3492</v>
      </c>
      <c r="C114" s="3482" t="s">
        <v>3386</v>
      </c>
      <c r="D114" s="3482">
        <v>1</v>
      </c>
      <c r="E114" s="3482">
        <v>256.02999999999997</v>
      </c>
      <c r="F114" s="3483" t="s">
        <v>3500</v>
      </c>
      <c r="G114" s="3483"/>
      <c r="H114" s="3485" t="s">
        <v>3604</v>
      </c>
    </row>
    <row r="115" spans="1:8">
      <c r="A115" s="3482">
        <v>110</v>
      </c>
      <c r="B115" s="3482" t="s">
        <v>3493</v>
      </c>
      <c r="C115" s="3482" t="s">
        <v>3386</v>
      </c>
      <c r="D115" s="3482">
        <v>1</v>
      </c>
      <c r="E115" s="3482">
        <v>467.92</v>
      </c>
      <c r="F115" s="3483" t="s">
        <v>3500</v>
      </c>
      <c r="G115" s="3483"/>
      <c r="H115" s="3485" t="s">
        <v>3604</v>
      </c>
    </row>
    <row r="116" spans="1:8">
      <c r="A116" s="3482">
        <v>110</v>
      </c>
      <c r="B116" s="3482" t="s">
        <v>3494</v>
      </c>
      <c r="C116" s="3482" t="s">
        <v>3386</v>
      </c>
      <c r="D116" s="3482">
        <v>1</v>
      </c>
      <c r="E116" s="3482">
        <v>396.96</v>
      </c>
      <c r="F116" s="3483" t="s">
        <v>3500</v>
      </c>
      <c r="G116" s="3483"/>
      <c r="H116" s="3486">
        <v>711</v>
      </c>
    </row>
    <row r="117" spans="1:8">
      <c r="A117" s="3482">
        <v>110</v>
      </c>
      <c r="B117" s="3482" t="s">
        <v>3495</v>
      </c>
      <c r="C117" s="3482" t="s">
        <v>3386</v>
      </c>
      <c r="D117" s="3482">
        <v>1</v>
      </c>
      <c r="E117" s="3482">
        <v>251.25</v>
      </c>
      <c r="F117" s="3483" t="s">
        <v>3500</v>
      </c>
      <c r="G117" s="3483"/>
      <c r="H117" s="3486" t="s">
        <v>3605</v>
      </c>
    </row>
    <row r="118" spans="1:8">
      <c r="A118" s="3482">
        <v>110</v>
      </c>
      <c r="B118" s="3482" t="s">
        <v>3496</v>
      </c>
      <c r="C118" s="3482" t="s">
        <v>3386</v>
      </c>
      <c r="D118" s="3482">
        <v>1</v>
      </c>
      <c r="E118" s="3482">
        <v>195.05</v>
      </c>
      <c r="F118" s="3483" t="s">
        <v>3500</v>
      </c>
      <c r="G118" s="3483"/>
      <c r="H118" s="3486" t="s">
        <v>3606</v>
      </c>
    </row>
    <row r="119" spans="1:8">
      <c r="A119" s="3482">
        <v>110</v>
      </c>
      <c r="B119" s="3482" t="s">
        <v>3497</v>
      </c>
      <c r="C119" s="3482" t="s">
        <v>3386</v>
      </c>
      <c r="D119" s="3482">
        <v>1</v>
      </c>
      <c r="E119" s="3482">
        <v>324.41000000000003</v>
      </c>
      <c r="F119" s="3483" t="s">
        <v>3500</v>
      </c>
      <c r="G119" s="3483"/>
      <c r="H119" s="3486" t="s">
        <v>3607</v>
      </c>
    </row>
    <row r="120" spans="1:8">
      <c r="A120" s="3482">
        <v>110</v>
      </c>
      <c r="B120" s="3482" t="s">
        <v>3498</v>
      </c>
      <c r="C120" s="3482" t="s">
        <v>3386</v>
      </c>
      <c r="D120" s="3482">
        <v>1</v>
      </c>
      <c r="E120" s="3482">
        <v>480.71</v>
      </c>
      <c r="F120" s="3483" t="s">
        <v>3500</v>
      </c>
      <c r="G120" s="3483"/>
      <c r="H120" s="3486" t="s">
        <v>3608</v>
      </c>
    </row>
    <row r="121" spans="1:8">
      <c r="A121" s="3482">
        <v>110</v>
      </c>
      <c r="B121" s="3482" t="s">
        <v>3499</v>
      </c>
      <c r="C121" s="3482" t="s">
        <v>3386</v>
      </c>
      <c r="D121" s="3482">
        <v>1</v>
      </c>
      <c r="E121" s="3482">
        <v>283.31</v>
      </c>
      <c r="F121" s="3483" t="s">
        <v>3500</v>
      </c>
      <c r="G121" s="3483"/>
      <c r="H121" s="3486" t="s">
        <v>3609</v>
      </c>
    </row>
    <row r="122" spans="1:8">
      <c r="A122" s="3565" t="s">
        <v>3574</v>
      </c>
      <c r="B122" s="3566"/>
      <c r="C122" s="3566"/>
      <c r="D122" s="3567"/>
      <c r="E122" s="3482">
        <f>SUM(E112:E121)</f>
        <v>3143.44</v>
      </c>
      <c r="F122" s="3483" t="s">
        <v>3616</v>
      </c>
      <c r="G122" s="3483"/>
    </row>
    <row r="123" spans="1:8">
      <c r="A123" s="3565" t="s">
        <v>2586</v>
      </c>
      <c r="B123" s="3566"/>
      <c r="C123" s="3566"/>
      <c r="D123" s="3567"/>
      <c r="E123" s="3482">
        <f>SUM(E122,E111)</f>
        <v>19168.360000000004</v>
      </c>
      <c r="F123" s="3483" t="s">
        <v>3616</v>
      </c>
      <c r="G123" s="3483"/>
    </row>
  </sheetData>
  <mergeCells count="3">
    <mergeCell ref="A111:D111"/>
    <mergeCell ref="A122:D122"/>
    <mergeCell ref="A123:D12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1216.6500000000001</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f>A15</f>
        <v>0</v>
      </c>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1216.6500000000001</v>
      </c>
      <c r="H5" s="13">
        <f t="shared" ref="H5:AT5" si="0">SUM(H13:H656)</f>
        <v>1216.6500000000001</v>
      </c>
      <c r="I5" s="13">
        <f t="shared" si="0"/>
        <v>1216.6500000000001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1216.6500000000001</v>
      </c>
      <c r="BA5" s="15">
        <f t="shared" si="1"/>
        <v>1216.6500000000001</v>
      </c>
      <c r="BB5" s="15">
        <f t="shared" si="1"/>
        <v>1216.6500000000001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3503</v>
      </c>
      <c r="J9" s="808"/>
      <c r="K9" s="1601"/>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f>K9</f>
        <v>0</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3488" t="s">
        <v>3617</v>
      </c>
      <c r="D13" s="1623" t="s">
        <v>3504</v>
      </c>
      <c r="E13" s="13">
        <f>IF($C$3="是",ROUND($A$3*G13/$B$3,2),ROUND($A$3*(G13-AT13)/$B$3,2))</f>
        <v>0</v>
      </c>
      <c r="F13" s="29"/>
      <c r="G13" s="30">
        <f>H13+AC13+AT13</f>
        <v>1216.6500000000001</v>
      </c>
      <c r="H13" s="17">
        <f>SUMIF(I$12:AB$12,"总值",I13:AB13)</f>
        <v>1216.6500000000001</v>
      </c>
      <c r="I13" s="1624">
        <v>1216.6500000000001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配套商业</v>
      </c>
      <c r="AY13" s="1347">
        <f>ROUND($AY$6*AZ13/$AZ$5,2)</f>
        <v>0</v>
      </c>
      <c r="AZ13" s="13">
        <f>BA13+BL13</f>
        <v>1216.6500000000001</v>
      </c>
      <c r="BA13" s="13">
        <f>SUM(BB13:BK13)</f>
        <v>1216.6500000000001</v>
      </c>
      <c r="BB13" s="13">
        <f>IF($D13="是",I13-J13,0)</f>
        <v>1216.6500000000001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65"/>
      <c r="D14" s="1623" t="s">
        <v>3504</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85" zoomScaleNormal="100" zoomScaleSheetLayoutView="85"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77" t="s">
        <v>1130</v>
      </c>
      <c r="B2" s="3577"/>
      <c r="C2" s="3577"/>
      <c r="D2" s="795" t="s">
        <v>1106</v>
      </c>
      <c r="E2" s="1637" t="s">
        <v>1107</v>
      </c>
      <c r="F2" s="2657"/>
      <c r="G2" s="2648"/>
      <c r="H2" s="2649"/>
      <c r="I2" s="2323" t="s">
        <v>1131</v>
      </c>
      <c r="J2" s="2657"/>
      <c r="K2" s="2657"/>
      <c r="L2" s="2657"/>
      <c r="M2" s="2657"/>
      <c r="N2" s="2659"/>
      <c r="O2" s="2657"/>
      <c r="P2" s="2657"/>
    </row>
    <row r="3" spans="1:16" ht="15.75" thickBot="1">
      <c r="A3" s="3578" t="s">
        <v>1104</v>
      </c>
      <c r="B3" s="3578"/>
      <c r="C3" s="3578"/>
      <c r="D3" s="43">
        <f>'数据-基础表'!AY6</f>
        <v>0</v>
      </c>
      <c r="E3" s="43">
        <f>'数据-基础表'!AZ5</f>
        <v>1216.6500000000001</v>
      </c>
      <c r="F3" s="2657"/>
      <c r="G3" s="1144"/>
      <c r="H3" s="1025" t="s">
        <v>1105</v>
      </c>
      <c r="I3" s="854" t="e">
        <f>ROUND('数据-基础表'!B3/'数据-基础表'!A3,2)</f>
        <v>#DIV/0!</v>
      </c>
      <c r="J3" s="2657"/>
      <c r="K3" s="2657"/>
      <c r="L3" s="2657"/>
      <c r="M3" s="2657"/>
      <c r="N3" s="2659"/>
      <c r="O3" s="2657"/>
      <c r="P3" s="2657"/>
    </row>
    <row r="4" spans="1:16" ht="15">
      <c r="A4" s="3579"/>
      <c r="B4" s="3580"/>
      <c r="C4" s="3581"/>
      <c r="D4" s="1639" t="s">
        <v>1106</v>
      </c>
      <c r="E4" s="1640" t="s">
        <v>1107</v>
      </c>
      <c r="F4" s="2657"/>
      <c r="G4" s="2650" t="s">
        <v>1132</v>
      </c>
      <c r="H4" s="1025" t="s">
        <v>1112</v>
      </c>
      <c r="I4" s="854" t="e">
        <f>ROUND(SUMIF('数据-基础表'!I9:AS9,"地上",'数据-基础表'!I5:AS5)/'数据-基础表'!A3,2)</f>
        <v>#DIV/0!</v>
      </c>
      <c r="J4" s="2657"/>
      <c r="K4" s="2657"/>
      <c r="L4" s="2657"/>
      <c r="M4" s="2657"/>
      <c r="N4" s="2659"/>
      <c r="O4" s="2657"/>
      <c r="P4" s="2657"/>
    </row>
    <row r="5" spans="1:16">
      <c r="A5" s="44" t="s">
        <v>1108</v>
      </c>
      <c r="B5" s="3582" t="s">
        <v>1109</v>
      </c>
      <c r="C5" s="3582"/>
      <c r="D5" s="45">
        <f>ROUND($D$3*E5/$E$3,2)</f>
        <v>0</v>
      </c>
      <c r="E5" s="46">
        <f>SUMIF('数据-基础表'!$11:$11,"住宅",'数据-基础表'!$5:$5)</f>
        <v>0</v>
      </c>
      <c r="F5" s="2657"/>
      <c r="G5" s="1144"/>
      <c r="H5" s="1025" t="s">
        <v>1105</v>
      </c>
      <c r="I5" s="854" t="e">
        <f>ROUND(E31/D31,2)</f>
        <v>#DIV/0!</v>
      </c>
      <c r="J5" s="2657"/>
      <c r="K5" s="2657"/>
      <c r="L5" s="2657"/>
      <c r="M5" s="2657"/>
      <c r="N5" s="2657"/>
      <c r="O5" s="2657"/>
      <c r="P5" s="2657"/>
    </row>
    <row r="6" spans="1:16" ht="15" thickBot="1">
      <c r="A6" s="1642"/>
      <c r="B6" s="3582" t="s">
        <v>1110</v>
      </c>
      <c r="C6" s="3582"/>
      <c r="D6" s="45">
        <f>ROUND($D$3*E6/$E$3,2)</f>
        <v>0</v>
      </c>
      <c r="E6" s="46">
        <f>E3-E5</f>
        <v>1216.6500000000001</v>
      </c>
      <c r="F6" s="2657"/>
      <c r="G6" s="2651" t="s">
        <v>1111</v>
      </c>
      <c r="H6" s="1145" t="s">
        <v>1112</v>
      </c>
      <c r="I6" s="2652" t="e">
        <f>ROUND(F31/D31,2)</f>
        <v>#DIV/0!</v>
      </c>
      <c r="J6" s="2657"/>
      <c r="K6" s="2657"/>
      <c r="L6" s="2657"/>
      <c r="M6" s="2657"/>
      <c r="N6" s="2657"/>
      <c r="O6" s="2657"/>
      <c r="P6" s="2657"/>
    </row>
    <row r="7" spans="1:16" ht="15.75" thickBot="1">
      <c r="A7" s="3574"/>
      <c r="B7" s="3575"/>
      <c r="C7" s="3576"/>
      <c r="D7" s="1639" t="s">
        <v>1106</v>
      </c>
      <c r="E7" s="1643"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1216.6500000000001</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0</v>
      </c>
      <c r="E16" s="50">
        <f>SUM(E8:E15)</f>
        <v>1216.6500000000001</v>
      </c>
      <c r="F16" s="2657"/>
      <c r="G16" s="2658"/>
      <c r="H16" s="1646" t="s">
        <v>1134</v>
      </c>
      <c r="I16" s="1647"/>
      <c r="J16" s="1138"/>
      <c r="K16" s="3571" t="s">
        <v>1134</v>
      </c>
      <c r="L16" s="3572"/>
      <c r="M16" s="3572"/>
      <c r="N16" s="3572"/>
      <c r="O16" s="3572"/>
      <c r="P16" s="3573"/>
    </row>
    <row r="17" spans="1:19" ht="15">
      <c r="A17" s="1648" t="s">
        <v>1135</v>
      </c>
      <c r="B17" s="1649" t="s">
        <v>1136</v>
      </c>
      <c r="C17" s="1650" t="s">
        <v>1137</v>
      </c>
      <c r="D17" s="1651" t="s">
        <v>1125</v>
      </c>
      <c r="E17" s="1652" t="s">
        <v>1126</v>
      </c>
      <c r="F17" s="1653"/>
      <c r="G17" s="1654"/>
      <c r="H17" s="1655" t="s">
        <v>1138</v>
      </c>
      <c r="I17" s="1656" t="s">
        <v>1123</v>
      </c>
      <c r="J17" s="1138"/>
      <c r="K17" s="3568" t="s">
        <v>1139</v>
      </c>
      <c r="L17" s="3569"/>
      <c r="M17" s="3570"/>
      <c r="N17" s="3568" t="s">
        <v>1140</v>
      </c>
      <c r="O17" s="3569"/>
      <c r="P17" s="3570"/>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4" t="s">
        <v>3618</v>
      </c>
      <c r="D19" s="45">
        <f>ROUND($D$3*E19/$E$3,2)</f>
        <v>0</v>
      </c>
      <c r="E19" s="53">
        <f t="shared" ref="E19:E26" si="1">SUM(F19:G19)</f>
        <v>1216.6500000000001</v>
      </c>
      <c r="F19" s="2792">
        <f>'数据-基础表'!I13</f>
        <v>1216.6500000000001</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'数据-基础表'!B13</f>
        <v>0</v>
      </c>
      <c r="S19" s="1026">
        <f t="shared" ref="R19:S26" si="5">E19+I19</f>
        <v>1216.6500000000001</v>
      </c>
    </row>
    <row r="20" spans="1:19">
      <c r="A20" s="1668"/>
      <c r="B20" s="47" t="s">
        <v>1152</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'数据-基础表'!B14</f>
        <v>0</v>
      </c>
      <c r="S20" s="1026">
        <f t="shared" si="5"/>
        <v>0</v>
      </c>
    </row>
    <row r="21" spans="1:19">
      <c r="A21" s="1668"/>
      <c r="B21" s="47" t="s">
        <v>1152</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1216.6500000000001</v>
      </c>
      <c r="F27" s="1139">
        <f>IF(SUM(F19:F26)=E8,SUM(F19:F26),"地上面积有误")</f>
        <v>1216.6500000000001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1216.6500000000001</v>
      </c>
    </row>
    <row r="28" spans="1:19">
      <c r="A28" s="1668"/>
      <c r="B28" s="47" t="s">
        <v>1154</v>
      </c>
      <c r="C28" s="1037"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1157</v>
      </c>
      <c r="D31" s="675">
        <f>D27+D30</f>
        <v>0</v>
      </c>
      <c r="E31" s="675">
        <f>E27+E30</f>
        <v>1216.6500000000001</v>
      </c>
      <c r="F31" s="676">
        <f>F27+F30</f>
        <v>1216.6500000000001</v>
      </c>
      <c r="G31" s="677">
        <f>G27+G30</f>
        <v>0</v>
      </c>
      <c r="H31" s="2657"/>
      <c r="I31" s="2657"/>
      <c r="J31" s="2657"/>
      <c r="K31" s="2657"/>
      <c r="L31" s="2657"/>
      <c r="M31" s="2657"/>
      <c r="N31" s="2657"/>
      <c r="O31" s="2657"/>
      <c r="P31" s="2657"/>
    </row>
    <row r="32" spans="1:19">
      <c r="A32" s="1641"/>
      <c r="B32" s="1641" t="s">
        <v>1158</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28" sqref="F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1.1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7" customFormat="1" ht="15.75" thickBot="1">
      <c r="A2" s="1681" t="s">
        <v>1160</v>
      </c>
      <c r="B2" s="1044">
        <f>项目基本情况!D3</f>
        <v>45069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0.5">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3576</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配套商业</v>
      </c>
      <c r="B6" s="1711" t="str">
        <f>IF(A6=0,"","经营性")</f>
        <v>经营性</v>
      </c>
      <c r="C6" s="1712" t="s">
        <v>673</v>
      </c>
      <c r="D6" s="857">
        <f>SUMIF(项目基本情况!C$12:I$12,C6,项目基本情况!C$14:I$14)</f>
        <v>40</v>
      </c>
      <c r="E6" s="856">
        <f>IF(B6="","",SUMIF(项目基本情况!C$12:I$12,C6,项目基本情况!C$13:I$13))</f>
        <v>52371</v>
      </c>
      <c r="F6" s="64">
        <f>SUMIF(项目基本情况!C$12:I$12,C6,项目基本情况!C$15:I$15)</f>
        <v>20</v>
      </c>
      <c r="G6" s="65">
        <f>IF(ISERROR(ROUND(POWER(1+H6,D6-F6)*(POWER(1+H6,F6)-1)/(POWER(1+H6,D6)-1),3)),0,ROUND(POWER(1+H6,D6-F6)*(POWER(1+H6,F6)-1)/(POWER(1+H6,D6)-1),3))</f>
        <v>0.72599999999999998</v>
      </c>
      <c r="H6" s="731">
        <v>0.05</v>
      </c>
      <c r="I6" s="731">
        <v>0.06</v>
      </c>
      <c r="J6" s="66">
        <v>7.4999999999999997E-2</v>
      </c>
      <c r="K6" s="1029">
        <f>SUMIF('数据-汇总表'!C$19:C$33,A6,'数据-汇总表'!E$19:E$33)</f>
        <v>1216.6500000000001</v>
      </c>
      <c r="L6" s="732">
        <v>4000</v>
      </c>
      <c r="M6" s="67">
        <f t="shared" ref="M6:M14" si="0">ROUND(K6*L6/10000,0)</f>
        <v>487</v>
      </c>
      <c r="N6" s="730">
        <f>(N20+N21)/2</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5">
        <v>8.8000000000000007</v>
      </c>
      <c r="V6" s="70">
        <v>2.5000000000000001E-2</v>
      </c>
      <c r="W6" s="70">
        <v>0.1</v>
      </c>
      <c r="X6" s="1039"/>
      <c r="Y6" s="71"/>
      <c r="Z6" s="72"/>
      <c r="AA6" s="66"/>
      <c r="AB6" s="66"/>
      <c r="AC6" s="1039"/>
      <c r="AD6" s="73"/>
      <c r="AE6" s="1040">
        <f ca="1">IF(AN6="",0,SUMIF(INDIRECT("'"&amp;AN6&amp;"'"&amp;"!E:E"),$AE$5,INDIRECT("'"&amp;AN6&amp;"'"&amp;"!F:F")))</f>
        <v>20</v>
      </c>
      <c r="AF6" s="1346"/>
      <c r="AG6" s="138">
        <f>IF(AF6="",0,AE6-AF6)</f>
        <v>0</v>
      </c>
      <c r="AH6" s="3425">
        <f>K6</f>
        <v>1216.6500000000001</v>
      </c>
      <c r="AI6" s="76">
        <v>365</v>
      </c>
      <c r="AJ6" s="77"/>
      <c r="AK6" s="78">
        <v>0.01</v>
      </c>
      <c r="AL6" s="79">
        <v>1E-3</v>
      </c>
      <c r="AM6" s="80">
        <v>0.01</v>
      </c>
      <c r="AN6" s="1713" t="s">
        <v>3577</v>
      </c>
      <c r="AO6" s="52">
        <f ca="1">SUMIF(INDIRECT("'"&amp;AN6&amp;"'"&amp;"!A:A"),"总价",INDIRECT("'"&amp;AN6&amp;"'"&amp;"!B:B"))</f>
        <v>4271.0780999999997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7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5"/>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0.72599999999999998</v>
      </c>
      <c r="H16" s="90">
        <f>ROUND(SUMPRODUCT(H6:H13,K6:K13)/SUMPRODUCT((H6:H13&gt;0)*(K6:K13)),3)</f>
        <v>0.05</v>
      </c>
      <c r="I16" s="91"/>
      <c r="J16" s="91"/>
      <c r="K16" s="92">
        <f>SUM(K6:K15)</f>
        <v>1216.6500000000001</v>
      </c>
      <c r="L16" s="93">
        <f>ROUND(M16*10000/SUM(K6:K14),0)</f>
        <v>4003</v>
      </c>
      <c r="M16" s="93">
        <f>SUM(M6:M14)</f>
        <v>487</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1210</v>
      </c>
      <c r="B19" s="103">
        <v>0</v>
      </c>
      <c r="C19" s="2796" t="s">
        <v>2296</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1211</v>
      </c>
      <c r="B20" s="104">
        <v>1</v>
      </c>
      <c r="C20" s="2797" t="s">
        <v>2294</v>
      </c>
      <c r="D20" s="2673"/>
      <c r="E20" s="2670"/>
      <c r="F20" s="2670"/>
      <c r="G20" s="2670"/>
      <c r="H20" s="2670"/>
      <c r="I20" s="2670"/>
      <c r="J20" s="2670"/>
      <c r="K20" s="24"/>
      <c r="L20" s="2669"/>
      <c r="M20" s="3489" t="s">
        <v>3619</v>
      </c>
      <c r="N20" s="730">
        <f>ROUND(1-(2023-2005)/60,2)</f>
        <v>0.7</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1212</v>
      </c>
      <c r="B21" s="104">
        <f>B20</f>
        <v>1</v>
      </c>
      <c r="C21" s="2670"/>
      <c r="D21" s="2673"/>
      <c r="E21" s="2670"/>
      <c r="F21" s="2670"/>
      <c r="G21" s="2670"/>
      <c r="H21" s="2670"/>
      <c r="I21" s="2670"/>
      <c r="J21" s="2670"/>
      <c r="K21" s="2669"/>
      <c r="L21" s="2669"/>
      <c r="M21" s="3489" t="s">
        <v>3620</v>
      </c>
      <c r="N21" s="730">
        <v>0.8</v>
      </c>
      <c r="O21" s="2668"/>
      <c r="P21" s="2668"/>
      <c r="Q21" s="2668"/>
      <c r="R21" s="2668"/>
      <c r="S21" s="2668"/>
      <c r="T21" s="2668"/>
      <c r="U21" s="2668">
        <f>3914669/K16/365</f>
        <v>8.8152883310279915</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1213</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1214</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1215</v>
      </c>
      <c r="B24" s="106">
        <f>B20-B21</f>
        <v>0</v>
      </c>
      <c r="C24" s="2670"/>
      <c r="D24" s="2673"/>
      <c r="E24" s="2670"/>
      <c r="F24" s="2670"/>
      <c r="G24" s="2670"/>
      <c r="H24" s="2670"/>
      <c r="I24" s="2670"/>
      <c r="J24" s="2670"/>
      <c r="K24" s="2669">
        <f>K16*0.45</f>
        <v>547.49250000000006</v>
      </c>
      <c r="L24" s="2669" t="s">
        <v>3627</v>
      </c>
      <c r="M24" s="2668">
        <v>1</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3491">
        <f>K16-K24</f>
        <v>669.15750000000003</v>
      </c>
      <c r="L25" s="2669" t="s">
        <v>3628</v>
      </c>
      <c r="M25" s="2668">
        <v>0.75</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1216</v>
      </c>
      <c r="B26" s="1724" t="s">
        <v>1217</v>
      </c>
      <c r="C26" s="2674" t="s">
        <v>1218</v>
      </c>
      <c r="D26" s="2673"/>
      <c r="E26" s="2670"/>
      <c r="F26" s="2670"/>
      <c r="G26" s="2670"/>
      <c r="H26" s="2670"/>
      <c r="I26" s="2670"/>
      <c r="J26" s="2670"/>
      <c r="K26" s="3491">
        <f>K24+K25</f>
        <v>1216.6500000000001</v>
      </c>
      <c r="L26" s="2669"/>
      <c r="M26" s="2668">
        <f>(M24*K24+K25*M25)/K26</f>
        <v>0.86249999999999993</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1219</v>
      </c>
      <c r="B27" s="107"/>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1230</v>
      </c>
      <c r="B38" s="115">
        <f>B37</f>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3615</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1235</v>
      </c>
      <c r="B44" s="119">
        <v>7.0000000000000007E-2</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1244</v>
      </c>
      <c r="B53" s="1736"/>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83" t="s">
        <v>2277</v>
      </c>
      <c r="B1" s="3584"/>
      <c r="C1" s="3584"/>
      <c r="D1" s="3584"/>
      <c r="E1" s="3584"/>
      <c r="F1" s="3584"/>
      <c r="G1" s="358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2462"/>
      <c r="D3" s="2463"/>
      <c r="E3" s="2440" t="s">
        <v>2275</v>
      </c>
      <c r="F3" s="2464" t="s">
        <v>2248</v>
      </c>
      <c r="G3" s="2465" t="s">
        <v>2276</v>
      </c>
      <c r="H3" s="798"/>
      <c r="I3" s="798"/>
      <c r="J3" s="798"/>
      <c r="K3" s="798"/>
      <c r="L3" s="798"/>
      <c r="M3" s="798"/>
      <c r="N3" s="798"/>
      <c r="O3" s="798"/>
      <c r="P3" s="798"/>
      <c r="Q3" s="798"/>
      <c r="R3" s="798"/>
    </row>
    <row r="4" spans="1:29" ht="36">
      <c r="A4" s="2440"/>
      <c r="B4" s="323" t="s">
        <v>2249</v>
      </c>
      <c r="C4" s="3490" t="s">
        <v>3634</v>
      </c>
      <c r="D4" s="2463"/>
      <c r="E4" s="2467"/>
      <c r="F4" s="1371" t="s">
        <v>2250</v>
      </c>
      <c r="G4" s="2468" t="s">
        <v>2251</v>
      </c>
      <c r="H4" s="798"/>
      <c r="I4" s="798"/>
      <c r="J4" s="798"/>
      <c r="K4" s="798"/>
      <c r="L4" s="798"/>
      <c r="M4" s="798"/>
      <c r="N4" s="798"/>
      <c r="O4" s="798"/>
      <c r="P4" s="798"/>
      <c r="Q4" s="798"/>
      <c r="R4" s="798"/>
    </row>
    <row r="5" spans="1:29" ht="24">
      <c r="A5" s="2440"/>
      <c r="B5" s="323" t="s">
        <v>2252</v>
      </c>
      <c r="C5" s="2466"/>
      <c r="D5" s="2463"/>
      <c r="E5" s="2467"/>
      <c r="F5" s="323" t="s">
        <v>2253</v>
      </c>
      <c r="G5" s="2468" t="s">
        <v>2254</v>
      </c>
      <c r="H5" s="798"/>
      <c r="I5" s="798"/>
      <c r="J5" s="798"/>
      <c r="K5" s="798"/>
      <c r="L5" s="798"/>
      <c r="M5" s="798"/>
      <c r="N5" s="798"/>
      <c r="O5" s="798"/>
      <c r="P5" s="798"/>
      <c r="Q5" s="798"/>
      <c r="R5" s="798"/>
    </row>
    <row r="6" spans="1:29" ht="61.5">
      <c r="A6" s="2440"/>
      <c r="B6" s="323" t="s">
        <v>2255</v>
      </c>
      <c r="C6" s="2468" t="s">
        <v>3625</v>
      </c>
      <c r="D6" s="2463"/>
      <c r="E6" s="2467"/>
      <c r="F6" s="323" t="s">
        <v>2256</v>
      </c>
      <c r="G6" s="2468" t="s">
        <v>2257</v>
      </c>
      <c r="H6" s="798"/>
      <c r="I6" s="798"/>
      <c r="J6" s="798"/>
      <c r="K6" s="798"/>
      <c r="L6" s="798"/>
      <c r="M6" s="798"/>
      <c r="N6" s="798"/>
      <c r="O6" s="798"/>
      <c r="P6" s="798"/>
      <c r="Q6" s="798"/>
      <c r="R6" s="798"/>
    </row>
    <row r="7" spans="1:29" ht="26.25" thickBot="1">
      <c r="A7" s="2440"/>
      <c r="B7" s="323" t="s">
        <v>2253</v>
      </c>
      <c r="C7" s="2468" t="s">
        <v>3505</v>
      </c>
      <c r="D7" s="2469"/>
      <c r="E7" s="2470"/>
      <c r="F7" s="2471" t="s">
        <v>2258</v>
      </c>
      <c r="G7" s="2472" t="s">
        <v>2259</v>
      </c>
      <c r="H7" s="798"/>
      <c r="I7" s="798"/>
      <c r="J7" s="798"/>
      <c r="K7" s="798"/>
      <c r="L7" s="798"/>
      <c r="M7" s="798"/>
      <c r="N7" s="798"/>
      <c r="O7" s="798"/>
      <c r="P7" s="798"/>
      <c r="Q7" s="798"/>
      <c r="R7" s="798"/>
    </row>
    <row r="8" spans="1:29" ht="25.5">
      <c r="A8" s="2440"/>
      <c r="B8" s="323" t="s">
        <v>2256</v>
      </c>
      <c r="C8" s="2468" t="s">
        <v>3506</v>
      </c>
      <c r="D8" s="2469"/>
      <c r="E8" s="2469"/>
      <c r="F8" s="2473"/>
      <c r="G8" s="2473"/>
      <c r="H8" s="798"/>
      <c r="I8" s="798"/>
      <c r="J8" s="798"/>
      <c r="K8" s="798"/>
      <c r="L8" s="798"/>
      <c r="M8" s="798"/>
      <c r="N8" s="798"/>
      <c r="O8" s="798"/>
      <c r="P8" s="798"/>
      <c r="Q8" s="798"/>
      <c r="R8" s="798"/>
    </row>
    <row r="9" spans="1:29" ht="48">
      <c r="A9" s="2440"/>
      <c r="B9" s="323" t="s">
        <v>2260</v>
      </c>
      <c r="C9" s="3490" t="s">
        <v>3623</v>
      </c>
      <c r="D9" s="2463"/>
      <c r="E9" s="2469"/>
      <c r="F9" s="2473"/>
      <c r="G9" s="2473"/>
      <c r="H9" s="798"/>
      <c r="I9" s="798"/>
      <c r="J9" s="798"/>
      <c r="K9" s="798"/>
      <c r="L9" s="798"/>
      <c r="M9" s="798"/>
      <c r="N9" s="798"/>
      <c r="O9" s="798"/>
      <c r="P9" s="798"/>
      <c r="Q9" s="798"/>
      <c r="R9" s="798"/>
    </row>
    <row r="10" spans="1:29" s="2479" customFormat="1" ht="15" thickBot="1">
      <c r="A10" s="2441"/>
      <c r="B10" s="2474" t="s">
        <v>2261</v>
      </c>
      <c r="C10" s="2475" t="s">
        <v>3624</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25.5">
      <c r="A15" s="2442" t="s">
        <v>2264</v>
      </c>
      <c r="B15" s="2495" t="s">
        <v>2247</v>
      </c>
      <c r="C15" s="2496">
        <f>C3</f>
        <v>0</v>
      </c>
      <c r="D15" s="2463"/>
      <c r="E15" s="2443" t="s">
        <v>2265</v>
      </c>
      <c r="F15" s="2495" t="s">
        <v>2266</v>
      </c>
      <c r="G15" s="2497" t="str">
        <f>G3</f>
        <v>估价对象位于XX开发区，园区建设成熟度XX，产业集聚程度XX</v>
      </c>
    </row>
    <row r="16" spans="1:29" ht="38.25">
      <c r="A16" s="2444"/>
      <c r="B16" s="2498" t="s">
        <v>2249</v>
      </c>
      <c r="C16" s="2499" t="str">
        <f>C4</f>
        <v>估价对象周边商业氛围成熟度一般，有新业广场等，人流量一般，商业繁华度一般</v>
      </c>
      <c r="D16" s="2463"/>
      <c r="E16" s="2445"/>
      <c r="F16" s="2500" t="s">
        <v>2250</v>
      </c>
      <c r="G16" s="2501" t="str">
        <f>G4</f>
        <v>估价对象周边道路状况、公共交通通达情况、停车便捷程度，综合评价交通便捷度较好</v>
      </c>
    </row>
    <row r="17" spans="1:18">
      <c r="A17" s="2444"/>
      <c r="B17" s="2498" t="s">
        <v>2252</v>
      </c>
      <c r="C17" s="2499">
        <f>C5</f>
        <v>0</v>
      </c>
      <c r="D17" s="2469"/>
      <c r="E17" s="2445"/>
      <c r="F17" s="2500" t="s">
        <v>2267</v>
      </c>
      <c r="G17" s="2502"/>
    </row>
    <row r="18" spans="1:18" ht="63.75">
      <c r="A18" s="2444"/>
      <c r="B18" s="2500" t="s">
        <v>2255</v>
      </c>
      <c r="C18" s="2501" t="str">
        <f>C6</f>
        <v>估价对象周边道路状况较好、有300、368、652路等公交线路及地铁10号线经过，公共交通通达情况较好、停车便捷程度一般，综合评价交通便捷度较好</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ht="51">
      <c r="A20" s="2444"/>
      <c r="B20" s="2500" t="s">
        <v>2269</v>
      </c>
      <c r="C20" s="2499" t="str">
        <f>C9</f>
        <v>区域自然环境：北京动物园、官园公园；人文环境：北京天文馆、北京建筑大学；综合评价环境状况邮编</v>
      </c>
      <c r="D20" s="2469"/>
      <c r="E20" s="2445"/>
      <c r="F20" s="323" t="s">
        <v>2256</v>
      </c>
      <c r="G20" s="2501" t="str">
        <f>G6</f>
        <v>估价对象所在区域基础设施水平</v>
      </c>
    </row>
    <row r="21" spans="1:18" ht="25.5">
      <c r="A21" s="2444"/>
      <c r="B21" s="323" t="s">
        <v>2253</v>
      </c>
      <c r="C21" s="2501" t="str">
        <f>C7</f>
        <v>估价对象所在区域公共配套设施齐备情况较好</v>
      </c>
      <c r="D21" s="2463"/>
      <c r="E21" s="2445"/>
      <c r="F21" s="2500" t="s">
        <v>2270</v>
      </c>
      <c r="G21" s="2503"/>
    </row>
    <row r="22" spans="1:18" ht="13.5" customHeight="1">
      <c r="A22" s="2444"/>
      <c r="B22" s="323" t="s">
        <v>2256</v>
      </c>
      <c r="C22" s="2501" t="str">
        <f>C8</f>
        <v>估价对象所在区域基础设施水平七通</v>
      </c>
      <c r="D22" s="2463"/>
      <c r="E22" s="2445"/>
      <c r="F22" s="2500" t="s">
        <v>2261</v>
      </c>
      <c r="G22" s="2502"/>
    </row>
    <row r="23" spans="1:18" s="798"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8" customFormat="1" ht="15" thickBot="1">
      <c r="A24" s="2447"/>
      <c r="B24" s="2504" t="s">
        <v>2272</v>
      </c>
      <c r="C24" s="2506" t="str">
        <f>C10</f>
        <v>快速路-南三环东路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A35" sqref="A35"/>
    </sheetView>
  </sheetViews>
  <sheetFormatPr defaultColWidth="9" defaultRowHeight="13.5"/>
  <cols>
    <col min="1" max="1" width="25" style="2511" customWidth="1"/>
    <col min="2" max="9" width="15.75" style="2511" customWidth="1"/>
    <col min="10" max="10" width="9" style="2511"/>
    <col min="11" max="11" width="9.625" style="2511" customWidth="1"/>
    <col min="12" max="16384" width="9" style="2511"/>
  </cols>
  <sheetData>
    <row r="1" spans="1:12" ht="16.5">
      <c r="A1" s="2510" t="s">
        <v>665</v>
      </c>
      <c r="B1" s="2510">
        <f>SUM(B14:B23)</f>
        <v>1216.6500000000001</v>
      </c>
      <c r="C1" s="2683"/>
      <c r="D1" s="2683"/>
      <c r="E1" s="2683"/>
      <c r="F1" s="2683"/>
      <c r="G1" s="2684"/>
      <c r="H1" s="2685"/>
      <c r="I1" s="2685"/>
      <c r="J1" s="2685"/>
      <c r="K1" s="2685"/>
    </row>
    <row r="2" spans="1:12" ht="16.5">
      <c r="A2" s="2510" t="s">
        <v>653</v>
      </c>
      <c r="B2" s="2510">
        <f>SUM(C14:C23)</f>
        <v>0</v>
      </c>
      <c r="C2" s="2683"/>
      <c r="D2" s="2683"/>
      <c r="E2" s="2683"/>
      <c r="F2" s="2683"/>
      <c r="G2" s="2684"/>
      <c r="H2" s="2685"/>
      <c r="I2" s="2685"/>
      <c r="J2" s="2685"/>
      <c r="K2" s="2685"/>
    </row>
    <row r="3" spans="1:12" ht="16.5">
      <c r="A3" s="2510" t="s">
        <v>662</v>
      </c>
      <c r="B3" s="2512">
        <f>项目基本情况!D3</f>
        <v>45069</v>
      </c>
      <c r="C3" s="2683"/>
      <c r="D3" s="2683"/>
      <c r="E3" s="2683"/>
      <c r="F3" s="2683"/>
      <c r="G3" s="2684"/>
      <c r="H3" s="2685"/>
      <c r="I3" s="2685"/>
      <c r="J3" s="2685"/>
      <c r="K3" s="2685"/>
    </row>
    <row r="4" spans="1:12" ht="33">
      <c r="A4" s="2510" t="s">
        <v>661</v>
      </c>
      <c r="B4" s="2510" t="s">
        <v>660</v>
      </c>
      <c r="C4" s="2510" t="s">
        <v>659</v>
      </c>
      <c r="D4" s="2510" t="s">
        <v>658</v>
      </c>
      <c r="E4" s="2683"/>
      <c r="F4" s="2684"/>
      <c r="G4" s="2684"/>
      <c r="H4" s="2685"/>
      <c r="I4" s="2685"/>
      <c r="J4" s="2685"/>
      <c r="K4" s="2685">
        <v>103175</v>
      </c>
      <c r="L4" s="2511">
        <f ca="1">K4-B5</f>
        <v>97571</v>
      </c>
    </row>
    <row r="5" spans="1:12" ht="16.5">
      <c r="A5" s="2510" t="s">
        <v>657</v>
      </c>
      <c r="B5" s="2510">
        <f ca="1">SUM(D14:D23)</f>
        <v>5604</v>
      </c>
      <c r="C5" s="2510">
        <f ca="1">IF(B5=D14,结果表!H102,ROUND(B5*10000/$B$1,0))</f>
        <v>46061</v>
      </c>
      <c r="D5" s="2510" t="e">
        <f ca="1">ROUND(B5*10000/$B$2,0)</f>
        <v>#DIV/0!</v>
      </c>
      <c r="E5" s="2683"/>
      <c r="F5" s="2684"/>
      <c r="G5" s="2684"/>
      <c r="H5" s="2685"/>
      <c r="I5" s="2685"/>
      <c r="J5" s="2685"/>
      <c r="K5" s="2685"/>
    </row>
    <row r="6" spans="1:12" ht="16.5">
      <c r="A6" s="2510" t="s">
        <v>656</v>
      </c>
      <c r="B6" s="2510">
        <f ca="1">SUM(G14:G23)</f>
        <v>5604</v>
      </c>
      <c r="C6" s="2510">
        <f ca="1">IF(B6=G14,结果表!H108,ROUND(B6*10000/$B$1,0))</f>
        <v>46061</v>
      </c>
      <c r="D6" s="2510" t="e">
        <f ca="1">ROUND(B6*10000/$B$2,0)</f>
        <v>#DIV/0!</v>
      </c>
      <c r="E6" s="2683"/>
      <c r="F6" s="2684"/>
      <c r="G6" s="2684"/>
      <c r="H6" s="2685"/>
      <c r="I6" s="2685"/>
      <c r="J6" s="2685"/>
      <c r="K6" s="2685"/>
    </row>
    <row r="7" spans="1:12" ht="16.5">
      <c r="A7" s="2510" t="s">
        <v>664</v>
      </c>
      <c r="B7" s="2510">
        <f>SUM(H14:H23)</f>
        <v>0</v>
      </c>
      <c r="C7" s="2510" t="str">
        <f>IF(B7=H14,结果表!H110,ROUND(B7*10000/$B$1,0))</f>
        <v>——</v>
      </c>
      <c r="D7" s="2510" t="e">
        <f>ROUND(B7*10000/$B$2,0)</f>
        <v>#DIV/0!</v>
      </c>
      <c r="E7" s="2683"/>
      <c r="F7" s="2684"/>
      <c r="G7" s="2684"/>
      <c r="H7" s="2685"/>
      <c r="I7" s="2685"/>
      <c r="J7" s="2685"/>
      <c r="K7" s="2685"/>
    </row>
    <row r="8" spans="1:12" ht="16.5">
      <c r="A8" s="2510" t="s">
        <v>587</v>
      </c>
      <c r="B8" s="2510">
        <f>SUM(I14:I23)</f>
        <v>0</v>
      </c>
      <c r="C8" s="2510" t="str">
        <f>IF(B8=I14,结果表!H112,ROUND(B8*10000/$B$1,0))</f>
        <v>——</v>
      </c>
      <c r="D8" s="2510" t="e">
        <f>ROUND(B8*10000/$B$2,0)</f>
        <v>#DIV/0!</v>
      </c>
      <c r="E8" s="2683"/>
      <c r="F8" s="2684"/>
      <c r="G8" s="2684"/>
      <c r="H8" s="2685"/>
      <c r="I8" s="2685"/>
      <c r="J8" s="2685"/>
      <c r="K8" s="2685"/>
    </row>
    <row r="9" spans="1:12" ht="16.5">
      <c r="A9" s="2510" t="s">
        <v>655</v>
      </c>
      <c r="B9" s="2518"/>
      <c r="C9" s="2683"/>
      <c r="D9" s="2683"/>
      <c r="E9" s="2683"/>
      <c r="F9" s="2684"/>
      <c r="G9" s="2684"/>
      <c r="H9" s="2685"/>
      <c r="I9" s="2685"/>
      <c r="J9" s="2685"/>
      <c r="K9" s="2685"/>
    </row>
    <row r="10" spans="1:12" ht="16.5">
      <c r="A10" s="2510" t="s">
        <v>654</v>
      </c>
      <c r="B10" s="2510">
        <f>IF(E10="",0,ROUND(B1*(E10*365/G10)/10000,0))</f>
        <v>0</v>
      </c>
      <c r="C10" s="2510" t="s">
        <v>3352</v>
      </c>
      <c r="D10" s="2510" t="s">
        <v>3353</v>
      </c>
      <c r="E10" s="3438"/>
      <c r="F10" s="3442" t="s">
        <v>3354</v>
      </c>
      <c r="G10" s="3439"/>
      <c r="H10" s="2685"/>
      <c r="I10" s="2685"/>
      <c r="J10" s="2685"/>
      <c r="K10" s="2685"/>
    </row>
    <row r="11" spans="1:12" ht="16.5">
      <c r="A11" s="2510" t="s">
        <v>670</v>
      </c>
      <c r="B11" s="2518"/>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3" t="s">
        <v>669</v>
      </c>
      <c r="B13" s="2514" t="s">
        <v>666</v>
      </c>
      <c r="C13" s="2514" t="s">
        <v>668</v>
      </c>
      <c r="D13" s="2514" t="s">
        <v>667</v>
      </c>
      <c r="E13" s="2510" t="s">
        <v>659</v>
      </c>
      <c r="F13" s="2510" t="s">
        <v>658</v>
      </c>
      <c r="G13" s="2514" t="s">
        <v>652</v>
      </c>
      <c r="H13" s="2514" t="s">
        <v>663</v>
      </c>
      <c r="I13" s="2514" t="s">
        <v>651</v>
      </c>
      <c r="J13" s="2684"/>
      <c r="K13" s="2685"/>
    </row>
    <row r="14" spans="1:12" ht="16.5">
      <c r="A14" s="2515" t="s">
        <v>650</v>
      </c>
      <c r="B14" s="2516">
        <f>'数据-基础表'!I13</f>
        <v>1216.6500000000001</v>
      </c>
      <c r="C14" s="2516"/>
      <c r="D14" s="2516">
        <f ca="1">结果表!G19</f>
        <v>5604</v>
      </c>
      <c r="E14" s="2516">
        <f ca="1">ROUND(D14*10000/B14,0)</f>
        <v>46061</v>
      </c>
      <c r="F14" s="2516" t="e">
        <f ca="1">ROUND(D14*10000/C14,0)</f>
        <v>#DIV/0!</v>
      </c>
      <c r="G14" s="2516">
        <f ca="1">D14</f>
        <v>5604</v>
      </c>
      <c r="H14" s="2516"/>
      <c r="I14" s="2516"/>
      <c r="J14" s="2684"/>
      <c r="K14" s="2685"/>
    </row>
    <row r="15" spans="1:12" ht="16.5">
      <c r="A15" s="2515" t="s">
        <v>649</v>
      </c>
      <c r="B15" s="2516"/>
      <c r="C15" s="2516"/>
      <c r="D15" s="2516"/>
      <c r="E15" s="2516" t="e">
        <f t="shared" ref="E15:E23" si="0">ROUND(D15*10000/B15,0)</f>
        <v>#DIV/0!</v>
      </c>
      <c r="F15" s="2516" t="e">
        <f t="shared" ref="F15:F23" si="1">ROUND(D15*10000/C15,0)</f>
        <v>#DIV/0!</v>
      </c>
      <c r="G15" s="1330"/>
      <c r="H15" s="1330"/>
      <c r="I15" s="2517"/>
      <c r="J15" s="2684"/>
      <c r="K15" s="2685"/>
    </row>
    <row r="16" spans="1:12"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I118" sqref="I118"/>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3610</v>
      </c>
      <c r="D1" s="1745"/>
      <c r="E1" s="1745"/>
      <c r="F1" s="1747" t="s">
        <v>1262</v>
      </c>
      <c r="G1" s="1559" t="s">
        <v>3583</v>
      </c>
      <c r="H1" s="1748" t="str">
        <f>IF(G1="现房","——","估价对象范围")</f>
        <v>——</v>
      </c>
      <c r="I1" s="1749" t="s">
        <v>3584</v>
      </c>
    </row>
    <row r="2" spans="1:12" ht="21.75" customHeight="1" thickBot="1">
      <c r="A2" s="3619" t="str">
        <f>项目基本情况!S2</f>
        <v>北京市丰台区四方景园二区配套商业房地产</v>
      </c>
      <c r="B2" s="3620"/>
      <c r="C2" s="3620"/>
      <c r="D2" s="3620"/>
      <c r="E2" s="3620"/>
      <c r="F2" s="3620"/>
      <c r="G2" s="3620"/>
      <c r="H2" s="3620"/>
      <c r="I2" s="3621"/>
    </row>
    <row r="3" spans="1:12" ht="12.75">
      <c r="A3" s="3623" t="s">
        <v>1263</v>
      </c>
      <c r="B3" s="3624"/>
      <c r="C3" s="3624"/>
      <c r="D3" s="3624"/>
      <c r="E3" s="3624"/>
      <c r="F3" s="3624"/>
      <c r="G3" s="3624"/>
      <c r="H3" s="3624"/>
      <c r="I3" s="3624"/>
    </row>
    <row r="4" spans="1:12" ht="14.25">
      <c r="A4" s="1752" t="s">
        <v>1264</v>
      </c>
      <c r="B4" s="1753" t="s">
        <v>1265</v>
      </c>
      <c r="C4" s="1754" t="s">
        <v>3614</v>
      </c>
      <c r="D4" s="1754" t="s">
        <v>3577</v>
      </c>
      <c r="E4" s="3625" t="s">
        <v>1266</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1267</v>
      </c>
      <c r="B5" s="3586">
        <v>25</v>
      </c>
      <c r="C5" s="3602"/>
      <c r="D5" s="3622"/>
      <c r="E5" s="131" t="s">
        <v>1268</v>
      </c>
      <c r="F5" s="1755"/>
      <c r="G5" s="1755"/>
      <c r="H5" s="1755"/>
      <c r="I5" s="1371"/>
    </row>
    <row r="6" spans="1:12" ht="12.75">
      <c r="A6" s="3599"/>
      <c r="B6" s="3586"/>
      <c r="C6" s="3603"/>
      <c r="D6" s="3622"/>
      <c r="E6" s="131" t="s">
        <v>1269</v>
      </c>
      <c r="F6" s="1755"/>
      <c r="G6" s="1755"/>
      <c r="H6" s="1755"/>
      <c r="I6" s="1371"/>
    </row>
    <row r="7" spans="1:12" ht="12.75">
      <c r="A7" s="3599"/>
      <c r="B7" s="3586"/>
      <c r="C7" s="3604"/>
      <c r="D7" s="3622"/>
      <c r="E7" s="131" t="s">
        <v>1270</v>
      </c>
      <c r="F7" s="1755"/>
      <c r="G7" s="1755"/>
      <c r="H7" s="1755"/>
      <c r="I7" s="1371"/>
    </row>
    <row r="8" spans="1:12" ht="12.75">
      <c r="A8" s="3599" t="s">
        <v>1271</v>
      </c>
      <c r="B8" s="3586">
        <v>15</v>
      </c>
      <c r="C8" s="3602"/>
      <c r="D8" s="3622"/>
      <c r="E8" s="131" t="s">
        <v>1272</v>
      </c>
      <c r="F8" s="1755"/>
      <c r="G8" s="1755"/>
      <c r="H8" s="1755"/>
      <c r="I8" s="1371"/>
    </row>
    <row r="9" spans="1:12" ht="12.75">
      <c r="A9" s="3599"/>
      <c r="B9" s="3586"/>
      <c r="C9" s="3604"/>
      <c r="D9" s="3622"/>
      <c r="E9" s="131" t="s">
        <v>1273</v>
      </c>
      <c r="F9" s="1755"/>
      <c r="G9" s="1755"/>
      <c r="H9" s="1755"/>
      <c r="I9" s="1371"/>
    </row>
    <row r="10" spans="1:12" ht="12.75">
      <c r="A10" s="3599" t="s">
        <v>1274</v>
      </c>
      <c r="B10" s="3586">
        <v>15</v>
      </c>
      <c r="C10" s="3602"/>
      <c r="D10" s="3622"/>
      <c r="E10" s="131" t="s">
        <v>1275</v>
      </c>
      <c r="F10" s="1755"/>
      <c r="G10" s="1755"/>
      <c r="H10" s="1755"/>
      <c r="I10" s="1371"/>
    </row>
    <row r="11" spans="1:12" ht="12.75">
      <c r="A11" s="3599"/>
      <c r="B11" s="3586"/>
      <c r="C11" s="3604"/>
      <c r="D11" s="3622"/>
      <c r="E11" s="131" t="s">
        <v>1276</v>
      </c>
      <c r="F11" s="1755"/>
      <c r="G11" s="1755"/>
      <c r="H11" s="1755"/>
      <c r="I11" s="1371"/>
    </row>
    <row r="12" spans="1:12" ht="12.75">
      <c r="A12" s="3599" t="s">
        <v>1277</v>
      </c>
      <c r="B12" s="3586">
        <v>15</v>
      </c>
      <c r="C12" s="3602"/>
      <c r="D12" s="3622"/>
      <c r="E12" s="131" t="s">
        <v>1278</v>
      </c>
      <c r="F12" s="1755"/>
      <c r="G12" s="1755"/>
      <c r="H12" s="1755"/>
      <c r="I12" s="1371"/>
    </row>
    <row r="13" spans="1:12" ht="12.75">
      <c r="A13" s="3599"/>
      <c r="B13" s="3586"/>
      <c r="C13" s="3604"/>
      <c r="D13" s="3622"/>
      <c r="E13" s="131" t="s">
        <v>1279</v>
      </c>
      <c r="F13" s="1755"/>
      <c r="G13" s="1755"/>
      <c r="H13" s="1755"/>
      <c r="I13" s="1371"/>
    </row>
    <row r="14" spans="1:12" ht="12.75">
      <c r="A14" s="3599" t="s">
        <v>1280</v>
      </c>
      <c r="B14" s="3586">
        <v>30</v>
      </c>
      <c r="C14" s="3602">
        <v>6</v>
      </c>
      <c r="D14" s="3622">
        <v>4</v>
      </c>
      <c r="E14" s="131" t="s">
        <v>1281</v>
      </c>
      <c r="F14" s="1755"/>
      <c r="G14" s="1755"/>
      <c r="H14" s="1755"/>
      <c r="I14" s="1371"/>
    </row>
    <row r="15" spans="1:12" ht="12.75">
      <c r="A15" s="3599"/>
      <c r="B15" s="3586"/>
      <c r="C15" s="3603"/>
      <c r="D15" s="3622"/>
      <c r="E15" s="131" t="s">
        <v>1282</v>
      </c>
      <c r="F15" s="1755"/>
      <c r="G15" s="1755"/>
      <c r="H15" s="1755"/>
      <c r="I15" s="1371"/>
    </row>
    <row r="16" spans="1:12" ht="12.75">
      <c r="A16" s="3599"/>
      <c r="B16" s="3586"/>
      <c r="C16" s="3604"/>
      <c r="D16" s="3622"/>
      <c r="E16" s="131" t="s">
        <v>1283</v>
      </c>
      <c r="F16" s="1755"/>
      <c r="G16" s="1755"/>
      <c r="H16" s="1755"/>
      <c r="I16" s="1371"/>
    </row>
    <row r="17" spans="1:36" ht="18" customHeight="1">
      <c r="A17" s="1756" t="s">
        <v>1284</v>
      </c>
      <c r="B17" s="56"/>
      <c r="C17" s="132">
        <f>SUM(C5:C16)</f>
        <v>6</v>
      </c>
      <c r="D17" s="132">
        <f>SUM(D5:D16)</f>
        <v>4</v>
      </c>
      <c r="E17" s="129"/>
      <c r="F17" s="129"/>
      <c r="G17" s="129"/>
      <c r="H17" s="129"/>
      <c r="I17" s="129"/>
      <c r="K17" s="302"/>
      <c r="L17" s="302" t="s">
        <v>1285</v>
      </c>
      <c r="M17" s="302" t="s">
        <v>1286</v>
      </c>
    </row>
    <row r="18" spans="1:36" ht="21.75" customHeight="1" thickBot="1">
      <c r="A18" s="1757" t="s">
        <v>1287</v>
      </c>
      <c r="B18" s="1758"/>
      <c r="C18" s="133">
        <f>ROUND(C17/SUM(C17:D17),2)</f>
        <v>0.6</v>
      </c>
      <c r="D18" s="133">
        <f>1-C18</f>
        <v>0.4</v>
      </c>
      <c r="E18" s="3609" t="s">
        <v>2126</v>
      </c>
      <c r="F18" s="3610"/>
      <c r="G18" s="3610"/>
      <c r="H18" s="3610"/>
      <c r="I18" s="3610"/>
      <c r="K18" s="302" t="s">
        <v>1288</v>
      </c>
      <c r="L18" s="302">
        <f>IF(C1="",'数据-汇总表'!E3,SUMIF(项目类型,C1,'数据-汇总表'!E17:E26)+SUMIF(项目类型,C1,'数据-汇总表'!I17:I26))</f>
        <v>1216.6500000000001</v>
      </c>
      <c r="M18" s="302">
        <f>IF(C1="",'数据-汇总表'!E3,SUMIF(项目类型,C1,'数据-汇总表'!E17:E26))</f>
        <v>1216.6500000000001</v>
      </c>
    </row>
    <row r="19" spans="1:36" ht="15">
      <c r="A19" s="1759" t="s">
        <v>1289</v>
      </c>
      <c r="B19" s="1760" t="s">
        <v>1290</v>
      </c>
      <c r="C19" s="134">
        <f ca="1">SUMIF(INDIRECT("'"&amp;C4&amp;"'"&amp;"!A:A"),结果表!B19,INDIRECT("'"&amp;C4&amp;"'"&amp;"!B:B"))</f>
        <v>6492.0443999999998</v>
      </c>
      <c r="D19" s="135">
        <f ca="1">SUMIF(INDIRECT("'"&amp;D4&amp;"'"&amp;"!A:A"),结果表!B19,INDIRECT("'"&amp;D4&amp;"'"&amp;"!B:B"))</f>
        <v>4271.0780999999997</v>
      </c>
      <c r="E19" s="1759" t="s">
        <v>1291</v>
      </c>
      <c r="F19" s="1760" t="s">
        <v>1290</v>
      </c>
      <c r="G19" s="136">
        <f ca="1">ROUND(C19*$C$18+D19*$D$18,0)</f>
        <v>5604</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53360</v>
      </c>
      <c r="D20" s="138">
        <f ca="1">SUMIF(INDIRECT("'"&amp;D4&amp;"'"&amp;"!A:A"),结果表!B20,INDIRECT("'"&amp;D4&amp;"'"&amp;"!B:B"))</f>
        <v>35105</v>
      </c>
      <c r="E20" s="1762"/>
      <c r="F20" s="1025" t="s">
        <v>1294</v>
      </c>
      <c r="G20" s="139">
        <f ca="1">ROUND(C20*$C$18+D20*$D$18,0)</f>
        <v>46058</v>
      </c>
      <c r="H20" s="807" t="s">
        <v>1295</v>
      </c>
      <c r="I20" s="129"/>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row>
    <row r="22" spans="1:36" ht="15.75" thickBot="1">
      <c r="A22" s="1686" t="s">
        <v>1297</v>
      </c>
      <c r="B22" s="1765"/>
      <c r="C22" s="1766"/>
      <c r="D22" s="720">
        <f ca="1">IF(C19&lt;D19,D19/C19-1,C19/D19-1)</f>
        <v>0.52000133174806629</v>
      </c>
      <c r="E22" s="129"/>
      <c r="F22" s="129"/>
      <c r="G22" s="129"/>
      <c r="H22" s="129"/>
      <c r="I22" s="129"/>
      <c r="K22" s="3464">
        <v>103175</v>
      </c>
    </row>
    <row r="23" spans="1:36" ht="13.5" thickBot="1">
      <c r="A23" s="1745"/>
      <c r="B23" s="1745"/>
      <c r="C23" s="1745"/>
      <c r="D23" s="1745"/>
      <c r="E23" s="129"/>
      <c r="F23" s="129"/>
      <c r="G23" s="129"/>
      <c r="H23" s="129"/>
      <c r="I23" s="129"/>
    </row>
    <row r="24" spans="1:36" ht="14.25">
      <c r="A24" s="3593" t="s">
        <v>1298</v>
      </c>
      <c r="B24" s="1760" t="s">
        <v>1290</v>
      </c>
      <c r="C24" s="136">
        <f>IF(B30=0,0,D30)</f>
        <v>0</v>
      </c>
      <c r="D24" s="1767"/>
      <c r="E24" s="129"/>
      <c r="F24" s="129"/>
      <c r="G24" s="129"/>
      <c r="H24" s="129"/>
      <c r="I24" s="129"/>
    </row>
    <row r="25" spans="1:36" ht="14.25">
      <c r="A25" s="3594"/>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5604</v>
      </c>
      <c r="D32" s="1773" t="s">
        <v>3600</v>
      </c>
      <c r="E32" s="129"/>
      <c r="F32" s="129"/>
      <c r="G32" s="129"/>
      <c r="H32" s="129"/>
      <c r="I32" s="129"/>
    </row>
    <row r="33" spans="1:15" ht="15">
      <c r="A33" s="785" t="s">
        <v>1305</v>
      </c>
      <c r="B33" s="1774"/>
      <c r="C33" s="1775" t="s">
        <v>3598</v>
      </c>
      <c r="D33" s="1776" t="s">
        <v>3577</v>
      </c>
      <c r="E33" s="1777" t="s">
        <v>1306</v>
      </c>
      <c r="F33" s="1778" t="str">
        <f>IF(D32="楼面单价","取值（单价）","取值（总价）")</f>
        <v>取值（总价）</v>
      </c>
      <c r="G33" s="129"/>
      <c r="H33" s="129"/>
      <c r="I33" s="129"/>
    </row>
    <row r="34" spans="1:15" ht="15">
      <c r="A34" s="1779"/>
      <c r="B34" s="1780" t="s">
        <v>1307</v>
      </c>
      <c r="C34" s="148">
        <f ca="1">IF(C33="自定义",F34,C32-C35)</f>
        <v>5604</v>
      </c>
      <c r="D34" s="860">
        <f ca="1">IF(C33="自定义",ROUND(C34/C32,3),IF(C33="收益比率",SUMIF(INDIRECT("'"&amp;D33&amp;"'"&amp;"!b:b"),"土地收益比率",INDIRECT("'"&amp;D33&amp;"'"&amp;"!c:c")),SUMIF(INDIRECT("'"&amp;D33&amp;"'"&amp;"!b:b"),"土地成本比率",INDIRECT("'"&amp;D33&amp;"'"&amp;"!c:c"))))</f>
        <v>1</v>
      </c>
      <c r="E34" s="1781" t="s">
        <v>1308</v>
      </c>
      <c r="F34" s="1329"/>
      <c r="G34" s="129"/>
      <c r="H34" s="129"/>
      <c r="I34" s="129"/>
    </row>
    <row r="35" spans="1:15" ht="15.75" thickBot="1">
      <c r="A35" s="1782"/>
      <c r="B35" s="1783" t="s">
        <v>1309</v>
      </c>
      <c r="C35" s="1169">
        <f ca="1">IF(C33="自定义",F35,ROUND(C32*D35,0))</f>
        <v>0</v>
      </c>
      <c r="D35" s="1170">
        <f ca="1">IF(C33="自定义",ROUND(C35/C32,3),IF(C33="收益比率",SUMIF(INDIRECT("'"&amp;D33&amp;"'"&amp;"!b:b"),"建筑物收益比率",INDIRECT("'"&amp;D33&amp;"'"&amp;"!c:c")),SUMIF(INDIRECT("'"&amp;D33&amp;"'"&amp;"!b:b"),"建筑物成本比率",INDIRECT("'"&amp;D33&amp;"'"&amp;"!c:c"))))</f>
        <v>0</v>
      </c>
      <c r="E35" s="1784" t="s">
        <v>1310</v>
      </c>
      <c r="F35" s="154"/>
      <c r="G35" s="129"/>
      <c r="H35" s="129"/>
      <c r="I35" s="129"/>
    </row>
    <row r="36" spans="1:15" ht="15.75" thickBot="1">
      <c r="A36" s="3613" t="s">
        <v>1311</v>
      </c>
      <c r="B36" s="1785" t="s">
        <v>1312</v>
      </c>
      <c r="C36" s="145"/>
      <c r="D36" s="1786"/>
      <c r="E36" s="1787"/>
      <c r="F36" s="1788"/>
      <c r="G36" s="129"/>
      <c r="H36" s="129"/>
      <c r="I36" s="129"/>
    </row>
    <row r="37" spans="1:15" ht="15.75" thickBot="1">
      <c r="A37" s="3614"/>
      <c r="B37" s="1672" t="s">
        <v>1313</v>
      </c>
      <c r="C37" s="147"/>
      <c r="D37" s="1138"/>
      <c r="E37" s="1138"/>
      <c r="F37" s="1788"/>
      <c r="G37" s="129"/>
      <c r="H37" s="129"/>
      <c r="I37" s="129"/>
    </row>
    <row r="38" spans="1:15" ht="15.75" thickBot="1">
      <c r="A38" s="3615"/>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90" t="s">
        <v>1325</v>
      </c>
      <c r="B45" s="3591"/>
      <c r="C45" s="3592"/>
      <c r="D45" s="155">
        <f ca="1">ROUND(H101*F45,0)</f>
        <v>5604</v>
      </c>
      <c r="E45" s="156" t="s">
        <v>1326</v>
      </c>
      <c r="F45" s="157">
        <v>1</v>
      </c>
      <c r="G45" s="158" t="s">
        <v>1327</v>
      </c>
      <c r="H45" s="129"/>
      <c r="I45" s="129"/>
      <c r="J45" s="3668" t="s">
        <v>1328</v>
      </c>
      <c r="K45" s="3668"/>
      <c r="L45" s="3668"/>
      <c r="M45" s="3668"/>
      <c r="N45" s="3668"/>
      <c r="O45" s="3668"/>
    </row>
    <row r="46" spans="1:15" ht="14.25" customHeight="1">
      <c r="A46" s="3587" t="s">
        <v>1329</v>
      </c>
      <c r="B46" s="3588"/>
      <c r="C46" s="3588"/>
      <c r="D46" s="3588"/>
      <c r="E46" s="3588"/>
      <c r="F46" s="3588"/>
      <c r="G46" s="3589"/>
      <c r="H46" s="1804"/>
      <c r="I46" s="159"/>
      <c r="J46" s="2521">
        <v>1</v>
      </c>
      <c r="K46" s="3649" t="s">
        <v>1330</v>
      </c>
      <c r="L46" s="3649"/>
      <c r="M46" s="3669"/>
      <c r="N46" s="3669"/>
      <c r="O46" s="3669"/>
    </row>
    <row r="47" spans="1:15" ht="12" customHeight="1">
      <c r="A47" s="160" t="s">
        <v>1331</v>
      </c>
      <c r="B47" s="161"/>
      <c r="C47" s="162"/>
      <c r="D47" s="1086" t="s">
        <v>1332</v>
      </c>
      <c r="E47" s="302" t="s">
        <v>1333</v>
      </c>
      <c r="F47" s="163" t="s">
        <v>1334</v>
      </c>
      <c r="G47" s="2544" t="s">
        <v>1335</v>
      </c>
      <c r="H47" s="2545"/>
      <c r="I47" s="159"/>
      <c r="J47" s="2521">
        <v>2</v>
      </c>
      <c r="K47" s="3649" t="s">
        <v>1336</v>
      </c>
      <c r="L47" s="3649"/>
      <c r="M47" s="3670">
        <f>'数据-取费表'!B2</f>
        <v>45069</v>
      </c>
      <c r="N47" s="3670"/>
      <c r="O47" s="3670"/>
    </row>
    <row r="48" spans="1:15" ht="25.5">
      <c r="A48" s="3618" t="s">
        <v>1337</v>
      </c>
      <c r="B48" s="3601"/>
      <c r="C48" s="360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1338</v>
      </c>
      <c r="H48" s="2548"/>
      <c r="I48" s="1804"/>
      <c r="J48" s="2521">
        <v>3</v>
      </c>
      <c r="K48" s="3649" t="s">
        <v>1339</v>
      </c>
      <c r="L48" s="3649"/>
      <c r="M48" s="3671">
        <f ca="1">H101</f>
        <v>5604</v>
      </c>
      <c r="N48" s="3671"/>
      <c r="O48" s="3671"/>
    </row>
    <row r="49" spans="1:35" ht="25.5" customHeight="1">
      <c r="A49" s="2331" t="s">
        <v>1340</v>
      </c>
      <c r="B49" s="3585" t="s">
        <v>1341</v>
      </c>
      <c r="C49" s="3585"/>
      <c r="D49" s="1588">
        <v>0</v>
      </c>
      <c r="E49" s="324" t="s">
        <v>1342</v>
      </c>
      <c r="F49" s="2422" t="s">
        <v>28</v>
      </c>
      <c r="G49" s="3655"/>
      <c r="H49" s="2308" t="s">
        <v>2129</v>
      </c>
      <c r="I49" s="2309"/>
      <c r="J49" s="2521">
        <v>4</v>
      </c>
      <c r="K49" s="3649" t="str">
        <f>IF(项目基本情况!E8="房地产抵押价值","房地产抵押价值","抵押担保权已注销时的房地产抵押价值")</f>
        <v>抵押担保权已注销时的房地产抵押价值</v>
      </c>
      <c r="L49" s="3649"/>
      <c r="M49" s="3671" t="str">
        <f>IF(项目基本情况!E8="房地产抵押价值",H107,H109)</f>
        <v>——</v>
      </c>
      <c r="N49" s="3671"/>
      <c r="O49" s="3671"/>
    </row>
    <row r="50" spans="1:35" ht="25.5" customHeight="1">
      <c r="A50" s="2549"/>
      <c r="B50" s="3585" t="s">
        <v>1343</v>
      </c>
      <c r="C50" s="3585"/>
      <c r="D50" s="2550"/>
      <c r="E50" s="332"/>
      <c r="F50" s="2422"/>
      <c r="G50" s="3656"/>
      <c r="H50" s="2310" t="s">
        <v>2130</v>
      </c>
      <c r="I50" s="2309"/>
      <c r="J50" s="3668" t="s">
        <v>1344</v>
      </c>
      <c r="K50" s="3668"/>
      <c r="L50" s="3668"/>
      <c r="M50" s="3668"/>
      <c r="N50" s="3668"/>
      <c r="O50" s="3668"/>
    </row>
    <row r="51" spans="1:35" ht="20.45" customHeight="1">
      <c r="A51" s="2551"/>
      <c r="B51" s="3585" t="s">
        <v>1345</v>
      </c>
      <c r="C51" s="3585"/>
      <c r="D51" s="1086"/>
      <c r="E51" s="327"/>
      <c r="F51" s="2422"/>
      <c r="G51" s="3657"/>
      <c r="H51" s="2310" t="s">
        <v>2131</v>
      </c>
      <c r="I51" s="2309"/>
      <c r="J51" s="2522" t="s">
        <v>1346</v>
      </c>
      <c r="K51" s="3649" t="s">
        <v>1347</v>
      </c>
      <c r="L51" s="3649"/>
      <c r="M51" s="2522" t="s">
        <v>1348</v>
      </c>
      <c r="N51" s="2522" t="s">
        <v>1349</v>
      </c>
      <c r="O51" s="2522" t="s">
        <v>1350</v>
      </c>
    </row>
    <row r="52" spans="1:35" ht="24" customHeight="1">
      <c r="A52" s="2333" t="s">
        <v>1351</v>
      </c>
      <c r="B52" s="3585" t="s">
        <v>1352</v>
      </c>
      <c r="C52" s="3585"/>
      <c r="D52" s="1086">
        <f ca="1">ROUND(D45*'数据-取费表'!B41/(1+'数据-取费表'!C42),0)</f>
        <v>299</v>
      </c>
      <c r="E52" s="2332" t="s">
        <v>1353</v>
      </c>
      <c r="F52" s="2552">
        <f>'数据-取费表'!B41</f>
        <v>5.6000000000000001E-2</v>
      </c>
      <c r="G52" s="2553"/>
      <c r="H52" s="2542"/>
      <c r="I52" s="1805"/>
      <c r="J52" s="2521">
        <v>1</v>
      </c>
      <c r="K52" s="3650" t="s">
        <v>1354</v>
      </c>
      <c r="L52" s="3650"/>
      <c r="M52" s="2523" t="b">
        <f>D48</f>
        <v>0</v>
      </c>
      <c r="N52" s="2521" t="str">
        <f>E48</f>
        <v>销售额×税（费）率</v>
      </c>
      <c r="O52" s="2524">
        <f>F48</f>
        <v>5.6000000000000001E-2</v>
      </c>
    </row>
    <row r="53" spans="1:35" ht="12" customHeight="1">
      <c r="A53" s="2333" t="s">
        <v>1355</v>
      </c>
      <c r="B53" s="3611" t="s">
        <v>2282</v>
      </c>
      <c r="C53" s="3612"/>
      <c r="D53" s="1086">
        <f ca="1">ROUND(D45*'数据-取费表'!B41/(1+'数据-取费表'!C42),0)</f>
        <v>299</v>
      </c>
      <c r="E53" s="2332" t="s">
        <v>1353</v>
      </c>
      <c r="F53" s="2552">
        <f>'数据-取费表'!B41</f>
        <v>5.6000000000000001E-2</v>
      </c>
      <c r="G53" s="2553"/>
      <c r="H53" s="2542"/>
      <c r="I53" s="1805"/>
      <c r="J53" s="2521">
        <v>2</v>
      </c>
      <c r="K53" s="3650" t="s">
        <v>1356</v>
      </c>
      <c r="L53" s="3650"/>
      <c r="M53" s="2523">
        <f t="shared" ref="M53:O54" ca="1" si="0">D55</f>
        <v>3</v>
      </c>
      <c r="N53" s="2521" t="str">
        <f t="shared" si="0"/>
        <v>销售额×税（费）率</v>
      </c>
      <c r="O53" s="2524" t="str">
        <f t="shared" si="0"/>
        <v>免征</v>
      </c>
    </row>
    <row r="54" spans="1:35" ht="12" customHeight="1">
      <c r="A54" s="2333" t="s">
        <v>1357</v>
      </c>
      <c r="B54" s="3611" t="s">
        <v>2283</v>
      </c>
      <c r="C54" s="3612"/>
      <c r="D54" s="1086">
        <f ca="1">C68</f>
        <v>299</v>
      </c>
      <c r="E54" s="327" t="s">
        <v>1358</v>
      </c>
      <c r="F54" s="2552">
        <f>'数据-取费表'!B41</f>
        <v>5.6000000000000001E-2</v>
      </c>
      <c r="G54" s="2553"/>
      <c r="H54" s="2554"/>
      <c r="I54" s="1805"/>
      <c r="J54" s="2521">
        <v>3</v>
      </c>
      <c r="K54" s="3650" t="s">
        <v>1359</v>
      </c>
      <c r="L54" s="3650"/>
      <c r="M54" s="2523">
        <f t="shared" ca="1" si="0"/>
        <v>3172</v>
      </c>
      <c r="N54" s="2521" t="str">
        <f t="shared" si="0"/>
        <v>增值额×税（费）率</v>
      </c>
      <c r="O54" s="2525" t="str">
        <f t="shared" si="0"/>
        <v>免征</v>
      </c>
    </row>
    <row r="55" spans="1:35" ht="24" customHeight="1">
      <c r="A55" s="3600" t="s">
        <v>1360</v>
      </c>
      <c r="B55" s="3601"/>
      <c r="C55" s="3601"/>
      <c r="D55" s="2322">
        <f ca="1">IF(H55="个人住宅",0,ROUND(D45*I55,0))</f>
        <v>3</v>
      </c>
      <c r="E55" s="2332" t="s">
        <v>1361</v>
      </c>
      <c r="F55" s="2552" t="str">
        <f>IF(H55="正常",I55,"免征")</f>
        <v>免征</v>
      </c>
      <c r="G55" s="2553"/>
      <c r="H55" s="2548"/>
      <c r="I55" s="165">
        <f>'数据-取费表'!B49</f>
        <v>5.0000000000000001E-4</v>
      </c>
      <c r="J55" s="2521">
        <f>IF(H59="非个人房产","",4)</f>
        <v>4</v>
      </c>
      <c r="K55" s="3650" t="str">
        <f>IF(H59="非个人房产","——","个人所得税")</f>
        <v>个人所得税</v>
      </c>
      <c r="L55" s="3650"/>
      <c r="M55" s="2526">
        <f ca="1">D59</f>
        <v>53</v>
      </c>
      <c r="N55" s="2038" t="str">
        <f>E59</f>
        <v>差额计税</v>
      </c>
      <c r="O55" s="2527">
        <f>F59</f>
        <v>0.01</v>
      </c>
    </row>
    <row r="56" spans="1:35" ht="24.75">
      <c r="A56" s="3600" t="s">
        <v>1362</v>
      </c>
      <c r="B56" s="3601"/>
      <c r="C56" s="3601"/>
      <c r="D56" s="2322">
        <f ca="1">IF(H56="个人住宅",D57,D58)</f>
        <v>3172</v>
      </c>
      <c r="E56" s="2332" t="s">
        <v>1363</v>
      </c>
      <c r="F56" s="2552" t="str">
        <f>IF(H56="正常",F58,"免征")</f>
        <v>免征</v>
      </c>
      <c r="G56" s="2555" t="s">
        <v>1364</v>
      </c>
      <c r="H56" s="2556"/>
      <c r="I56" s="1806"/>
      <c r="J56" s="2521" t="str">
        <f>IF(项目基本情况!K6="上海银行",IF(J55="",4,J55+1),"")</f>
        <v/>
      </c>
      <c r="K56" s="3673" t="str">
        <f>IF(项目基本情况!K6="上海银行","其他处置费用","")</f>
        <v/>
      </c>
      <c r="L56" s="3674"/>
      <c r="M56" s="2523" t="str">
        <f>IF(项目基本情况!K6="上海银行",M69,"")</f>
        <v/>
      </c>
      <c r="N56" s="3673" t="str">
        <f>IF(项目基本情况!K6="上海银行","包含处置中涉及的律师、诉讼、拍卖、评估等费用","")</f>
        <v/>
      </c>
      <c r="O56" s="3676"/>
    </row>
    <row r="57" spans="1:35" ht="12.75">
      <c r="A57" s="2333" t="s">
        <v>1340</v>
      </c>
      <c r="B57" s="3611" t="s">
        <v>1365</v>
      </c>
      <c r="C57" s="3612"/>
      <c r="D57" s="1588">
        <v>0</v>
      </c>
      <c r="E57" s="324" t="s">
        <v>1342</v>
      </c>
      <c r="F57" s="302"/>
      <c r="G57" s="2553"/>
      <c r="H57" s="2557"/>
      <c r="I57" s="1806"/>
      <c r="J57" s="3650">
        <f>IF(AND(J55="",J56=""),4,IF(项目基本情况!K6="上海银行",结果表!J56+1,结果表!J55+1))</f>
        <v>5</v>
      </c>
      <c r="K57" s="3650" t="s">
        <v>1366</v>
      </c>
      <c r="L57" s="2528" t="s">
        <v>1367</v>
      </c>
      <c r="M57" s="2529"/>
      <c r="N57" s="2530">
        <f ca="1">SUMIF(M52:M56,"&lt;9e307")</f>
        <v>3228</v>
      </c>
      <c r="O57" s="2531"/>
      <c r="P57" s="2687" t="e">
        <f ca="1">N57/M49</f>
        <v>#VALUE!</v>
      </c>
    </row>
    <row r="58" spans="1:35" ht="24.75">
      <c r="A58" s="2333" t="s">
        <v>1351</v>
      </c>
      <c r="B58" s="3611" t="s">
        <v>1368</v>
      </c>
      <c r="C58" s="3585"/>
      <c r="D58" s="2322">
        <f ca="1">IF(H58="转让取得",C81,C97)</f>
        <v>3172</v>
      </c>
      <c r="E58" s="2332" t="s">
        <v>1363</v>
      </c>
      <c r="F58" s="302" t="s">
        <v>28</v>
      </c>
      <c r="G58" s="2553"/>
      <c r="H58" s="2556"/>
      <c r="I58" s="1806"/>
      <c r="J58" s="3650"/>
      <c r="K58" s="3650"/>
      <c r="L58" s="2528" t="s">
        <v>1369</v>
      </c>
      <c r="M58" s="2532"/>
      <c r="N58" s="2533" t="str">
        <f ca="1">NUMBERSTRING(INT(N57*10000),2)&amp;"元整"</f>
        <v>叁仟贰佰贰拾捌万元整</v>
      </c>
      <c r="O58" s="2534"/>
    </row>
    <row r="59" spans="1:35" ht="24.75" thickBot="1">
      <c r="A59" s="3653" t="s">
        <v>1370</v>
      </c>
      <c r="B59" s="3654"/>
      <c r="C59" s="3654"/>
      <c r="D59" s="2558">
        <f ca="1">IF(H59="非个人房产","——",IF(H59="个人住宅（满五唯一有凭证）",0,IF(H59="个人其他（无凭证）",ROUND(D45*F59,0),ROUND(C67*F59,0))))</f>
        <v>53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51">
        <f>J57+1</f>
        <v>6</v>
      </c>
      <c r="K59" s="3650" t="s">
        <v>1371</v>
      </c>
      <c r="L59" s="2521" t="s">
        <v>1367</v>
      </c>
      <c r="M59" s="2535"/>
      <c r="N59" s="2536" t="e">
        <f ca="1">M49-N57</f>
        <v>#VALUE!</v>
      </c>
      <c r="O59" s="2537"/>
    </row>
    <row r="60" spans="1:35" ht="12" customHeight="1">
      <c r="A60" s="1807"/>
      <c r="B60" s="1745"/>
      <c r="C60" s="1745"/>
      <c r="D60" s="1745"/>
      <c r="E60" s="1576"/>
      <c r="F60" s="1806"/>
      <c r="G60" s="1806"/>
      <c r="H60" s="1808"/>
      <c r="I60" s="129"/>
      <c r="J60" s="3652"/>
      <c r="K60" s="3650"/>
      <c r="L60" s="2528" t="s">
        <v>1369</v>
      </c>
      <c r="M60" s="2532"/>
      <c r="N60" s="2533" t="e">
        <f ca="1">NUMBERSTRING(INT(N59*10000),2)&amp;"元整"</f>
        <v>#VALUE!</v>
      </c>
      <c r="O60" s="2534"/>
    </row>
    <row r="61" spans="1:35" ht="13.5" thickBot="1">
      <c r="A61" s="3598" t="s">
        <v>1372</v>
      </c>
      <c r="B61" s="3598"/>
      <c r="C61" s="3598"/>
      <c r="D61" s="3598"/>
      <c r="E61" s="3598"/>
      <c r="F61" s="1806"/>
      <c r="G61" s="1806"/>
      <c r="H61" s="1808"/>
      <c r="I61" s="129"/>
      <c r="J61" s="2521">
        <f>J59+1</f>
        <v>7</v>
      </c>
      <c r="K61" s="3650" t="s">
        <v>1373</v>
      </c>
      <c r="L61" s="3650"/>
      <c r="M61" s="2538"/>
      <c r="N61" s="2539" t="e">
        <f ca="1">ROUND(N59*10000/'数据-汇总表'!E3,0)</f>
        <v>#VALUE!</v>
      </c>
      <c r="O61" s="2540"/>
    </row>
    <row r="62" spans="1:35" ht="12.75">
      <c r="A62" s="3616" t="s">
        <v>1374</v>
      </c>
      <c r="B62" s="3617"/>
      <c r="C62" s="2019"/>
      <c r="D62" s="2019" t="s">
        <v>1375</v>
      </c>
      <c r="E62" s="166" t="s">
        <v>1376</v>
      </c>
      <c r="F62" s="1806"/>
      <c r="G62" s="1806"/>
      <c r="H62" s="1808"/>
      <c r="I62" s="129"/>
    </row>
    <row r="63" spans="1:35" ht="12.75">
      <c r="A63" s="173" t="s">
        <v>330</v>
      </c>
      <c r="B63" s="167" t="s">
        <v>1377</v>
      </c>
      <c r="C63" s="2562">
        <f ca="1">ROUND((C64+C65)/(1+'数据-取费表'!C42),0)</f>
        <v>5337</v>
      </c>
      <c r="D63" s="167"/>
      <c r="E63" s="168"/>
      <c r="F63" s="1806"/>
      <c r="G63" s="1806"/>
      <c r="H63" s="1808"/>
      <c r="I63" s="129"/>
      <c r="J63" s="3675" t="s">
        <v>1378</v>
      </c>
      <c r="K63" s="1331" t="s">
        <v>1379</v>
      </c>
      <c r="L63" s="1331"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f ca="1">D45</f>
        <v>5604</v>
      </c>
      <c r="D64" s="170" t="s">
        <v>26</v>
      </c>
      <c r="E64" s="172"/>
      <c r="F64" s="1806"/>
      <c r="G64" s="1806"/>
      <c r="H64" s="1808"/>
      <c r="I64" s="129"/>
      <c r="J64" s="3675"/>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75"/>
      <c r="K65" s="1331" t="s">
        <v>1384</v>
      </c>
      <c r="L65" s="1331"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75"/>
      <c r="K66" s="1331" t="s">
        <v>1386</v>
      </c>
      <c r="L66" s="1331" t="e">
        <f>M49*0.5%</f>
        <v>#VALUE!</v>
      </c>
      <c r="M66" s="302" t="e">
        <f>IF(L66&gt;0.5,0.5,ROUND(L66,0))</f>
        <v>#VALUE!</v>
      </c>
      <c r="N66" s="2542" t="s">
        <v>1387</v>
      </c>
      <c r="Z66" s="1750"/>
      <c r="AI66" s="1751"/>
    </row>
    <row r="67" spans="1:35" ht="14.25" customHeight="1">
      <c r="A67" s="173" t="s">
        <v>328</v>
      </c>
      <c r="B67" s="174" t="s">
        <v>1388</v>
      </c>
      <c r="C67" s="2566">
        <f ca="1">C63-C66</f>
        <v>5337</v>
      </c>
      <c r="D67" s="170" t="s">
        <v>26</v>
      </c>
      <c r="E67" s="172"/>
      <c r="F67" s="1806"/>
      <c r="G67" s="1806"/>
      <c r="H67" s="1808"/>
      <c r="I67" s="129"/>
      <c r="J67" s="3675"/>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f ca="1">IF(C67&lt;=0,0,ROUND(C67*D68,0))</f>
        <v>299</v>
      </c>
      <c r="D68" s="2568">
        <f>'数据-取费表'!B41</f>
        <v>5.6000000000000001E-2</v>
      </c>
      <c r="E68" s="178"/>
      <c r="F68" s="1806"/>
      <c r="G68" s="1806"/>
      <c r="H68" s="1808"/>
      <c r="I68" s="129"/>
      <c r="J68" s="3675"/>
      <c r="K68" s="1331" t="s">
        <v>1391</v>
      </c>
      <c r="L68" s="1331"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75"/>
      <c r="K69" s="1331" t="s">
        <v>1392</v>
      </c>
      <c r="L69" s="1331"/>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37" t="s">
        <v>1393</v>
      </c>
      <c r="B70" s="3638"/>
      <c r="C70" s="3638"/>
      <c r="D70" s="3638"/>
      <c r="E70" s="3638"/>
      <c r="F70" s="3638"/>
      <c r="G70" s="3638"/>
      <c r="H70" s="363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6" t="s">
        <v>1374</v>
      </c>
      <c r="B71" s="3617"/>
      <c r="C71" s="2019"/>
      <c r="D71" s="2019"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 ca="1">ROUND(D45/(1+'数据-取费表'!C42),0)</f>
        <v>5337</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 ca="1">C74+C78</f>
        <v>32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11" t="s">
        <v>1401</v>
      </c>
      <c r="F76" s="3585"/>
      <c r="G76" s="3585"/>
      <c r="H76" s="363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 ca="1">ROUND(D45*D78/(1+'数据-取费表'!C42),0)</f>
        <v>32</v>
      </c>
      <c r="D78" s="2575">
        <f>'数据-取费表'!B43</f>
        <v>6.000000000000001E-3</v>
      </c>
      <c r="E78" s="3595" t="s">
        <v>1405</v>
      </c>
      <c r="F78" s="3596"/>
      <c r="G78" s="3596"/>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 ca="1">C72-C73</f>
        <v>5305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 ca="1">IF(C79&lt;=0,0,C79/C73)</f>
        <v>165.78125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 ca="1">ROUND(IF(C79&lt;=0,0,IF(C80&gt;=200%,C79*60%-C73*35%,IF(C80&gt;=100%,C79*50%-C73*15%,IF(C80&gt;=50%,C79*40%-C73*5%,IF(C80&lt;50%,C79*30%,0))))),0)</f>
        <v>3172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7" t="s">
        <v>1409</v>
      </c>
      <c r="B83" s="3638"/>
      <c r="C83" s="3638"/>
      <c r="D83" s="3638"/>
      <c r="E83" s="3638"/>
      <c r="F83" s="3638"/>
      <c r="G83" s="3638"/>
      <c r="H83" s="363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6" t="s">
        <v>1374</v>
      </c>
      <c r="B84" s="3617"/>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 ca="1">ROUND(D45/(1+'数据-取费表'!C42),0)</f>
        <v>5337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 ca="1">IF(H88="仅含出让金",C87+C90+C91+C92+C93+C94,C87+C91+C92+C93+C94)</f>
        <v>32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677" t="s">
        <v>2124</v>
      </c>
      <c r="H90" s="3678"/>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595" t="s">
        <v>1418</v>
      </c>
      <c r="F91" s="3596"/>
      <c r="G91" s="359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595" t="s">
        <v>1421</v>
      </c>
      <c r="F92" s="3596"/>
      <c r="G92" s="3596"/>
      <c r="H92" s="3605"/>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 ca="1">ROUND(D45*D93/(1+'数据-取费表'!C42),0)</f>
        <v>32</v>
      </c>
      <c r="D93" s="2575">
        <f>'数据-取费表'!B43</f>
        <v>6.000000000000001E-3</v>
      </c>
      <c r="E93" s="3595" t="s">
        <v>1405</v>
      </c>
      <c r="F93" s="3596"/>
      <c r="G93" s="3596"/>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06" t="s">
        <v>1425</v>
      </c>
      <c r="F94" s="3607"/>
      <c r="G94" s="3607"/>
      <c r="H94" s="360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 ca="1">ROUND(C85-C86,0)</f>
        <v>5305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 ca="1">IF(C95&lt;=0,0,C95/C86)</f>
        <v>165.78125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 ca="1">ROUND(IF(C95&lt;=0,0,IF(C96&gt;=200%,C95*60%-C86*35%,IF(C96&gt;=100%,C95*50%-C86*15%,IF(C96&gt;=50%,C95*40%-C86*5%,IF(C96&lt;50%,C95*30%,0))))),0)</f>
        <v>3172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79" t="s">
        <v>1427</v>
      </c>
      <c r="B100" s="3580"/>
      <c r="C100" s="3580"/>
      <c r="D100" s="3597"/>
      <c r="E100" s="3580" t="s">
        <v>1428</v>
      </c>
      <c r="F100" s="3580"/>
      <c r="G100" s="3580"/>
      <c r="H100" s="3597"/>
      <c r="I100" s="129"/>
    </row>
    <row r="101" spans="1:35" ht="18.75" customHeight="1">
      <c r="A101" s="3658" t="s">
        <v>1429</v>
      </c>
      <c r="B101" s="3659"/>
      <c r="C101" s="2583" t="str">
        <f>C4</f>
        <v>比较法-商业</v>
      </c>
      <c r="D101" s="2584" t="str">
        <f>D4</f>
        <v>收益法 (元)</v>
      </c>
      <c r="E101" s="3672" t="s">
        <v>1430</v>
      </c>
      <c r="F101" s="3629"/>
      <c r="G101" s="1825" t="s">
        <v>1431</v>
      </c>
      <c r="H101" s="2593">
        <f ca="1">H118</f>
        <v>5604</v>
      </c>
      <c r="I101" s="129"/>
    </row>
    <row r="102" spans="1:35" ht="18.75" customHeight="1">
      <c r="A102" s="3631" t="s">
        <v>1432</v>
      </c>
      <c r="B102" s="2582" t="s">
        <v>1431</v>
      </c>
      <c r="C102" s="2583">
        <f ca="1">IF(D32="楼面单价",ROUND(C19,0),C19)</f>
        <v>6492.0443999999998</v>
      </c>
      <c r="D102" s="2584">
        <f ca="1">IF(D32="楼面单价",ROUND(D19,0),D19)</f>
        <v>4271.0780999999997</v>
      </c>
      <c r="E102" s="3672"/>
      <c r="F102" s="3629"/>
      <c r="G102" s="1825" t="s">
        <v>1433</v>
      </c>
      <c r="H102" s="2553">
        <f ca="1">I118</f>
        <v>46061</v>
      </c>
      <c r="I102" s="129"/>
    </row>
    <row r="103" spans="1:35" ht="42.75" customHeight="1">
      <c r="A103" s="3631"/>
      <c r="B103" s="2582" t="s">
        <v>1433</v>
      </c>
      <c r="C103" s="2585">
        <f ca="1">C20</f>
        <v>53360</v>
      </c>
      <c r="D103" s="2586">
        <f ca="1">D20</f>
        <v>35105</v>
      </c>
      <c r="E103" s="3666" t="s">
        <v>1434</v>
      </c>
      <c r="F103" s="3667"/>
      <c r="G103" s="1826" t="s">
        <v>1435</v>
      </c>
      <c r="H103" s="2593">
        <f>IF(D36="正常操作",H104+H105+H106,H105+H106)</f>
        <v>0</v>
      </c>
      <c r="I103" s="129"/>
    </row>
    <row r="104" spans="1:35" ht="18.75" customHeight="1">
      <c r="A104" s="3631" t="s">
        <v>1436</v>
      </c>
      <c r="B104" s="2587" t="s">
        <v>1431</v>
      </c>
      <c r="C104" s="2588">
        <f ca="1">H118</f>
        <v>5604</v>
      </c>
      <c r="D104" s="2589"/>
      <c r="E104" s="1672" t="s">
        <v>1437</v>
      </c>
      <c r="F104" s="1664"/>
      <c r="G104" s="1826" t="s">
        <v>1435</v>
      </c>
      <c r="H104" s="2594">
        <f>IF(D36="同一抵押权人同一抵押物续贷",C36&amp;"（续贷，未扣减，详见特别提示）",C36)</f>
        <v>0</v>
      </c>
      <c r="I104" s="129"/>
    </row>
    <row r="105" spans="1:35" ht="18.75" customHeight="1" thickBot="1">
      <c r="A105" s="3632"/>
      <c r="B105" s="2590" t="s">
        <v>1433</v>
      </c>
      <c r="C105" s="2591">
        <f ca="1">I118</f>
        <v>46061</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28" t="str">
        <f>IF(项目基本情况!E8="已注销","——","3.房地产抵押价值")</f>
        <v>3.房地产抵押价值</v>
      </c>
      <c r="F107" s="3629"/>
      <c r="G107" s="1825" t="s">
        <v>1431</v>
      </c>
      <c r="H107" s="2593">
        <f ca="1">IF(E107="——","——",H101-H103)</f>
        <v>5604</v>
      </c>
      <c r="I107" s="129"/>
    </row>
    <row r="108" spans="1:35" ht="18.75" customHeight="1">
      <c r="A108" s="129"/>
      <c r="B108" s="129"/>
      <c r="C108" s="129"/>
      <c r="D108" s="129"/>
      <c r="E108" s="3628"/>
      <c r="F108" s="3629"/>
      <c r="G108" s="1825" t="s">
        <v>1433</v>
      </c>
      <c r="H108" s="2553">
        <f ca="1">IF(H107=H101,H102,ROUND(H107*10000/'数据-汇总表'!E3,0))</f>
        <v>46061</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5" t="s">
        <v>1431</v>
      </c>
      <c r="H109" s="2596" t="str">
        <f>IF(E109="——","——",H101-H105-H106)</f>
        <v>——</v>
      </c>
      <c r="I109" s="129"/>
    </row>
    <row r="110" spans="1:35" ht="18.75" customHeight="1">
      <c r="A110" s="129"/>
      <c r="B110" s="129"/>
      <c r="C110" s="129"/>
      <c r="D110" s="129"/>
      <c r="E110" s="3628"/>
      <c r="F110" s="3629"/>
      <c r="G110" s="1825" t="s">
        <v>1433</v>
      </c>
      <c r="H110" s="2553"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5" t="s">
        <v>1431</v>
      </c>
      <c r="H111" s="2593" t="str">
        <f>IF(E111="——","——",N59)</f>
        <v>——</v>
      </c>
      <c r="I111" s="129"/>
    </row>
    <row r="112" spans="1:35" ht="18.75" customHeight="1" thickBot="1">
      <c r="A112" s="129"/>
      <c r="B112" s="129"/>
      <c r="C112" s="129"/>
      <c r="D112" s="129"/>
      <c r="E112" s="3661"/>
      <c r="F112" s="3662"/>
      <c r="G112" s="1828" t="s">
        <v>1433</v>
      </c>
      <c r="H112" s="2597" t="str">
        <f>IF(E111="——","——",N61)</f>
        <v>——</v>
      </c>
      <c r="I112" s="129"/>
    </row>
    <row r="113" spans="1:27" ht="18.75" customHeight="1">
      <c r="A113" s="129"/>
      <c r="B113" s="129"/>
      <c r="C113" s="129"/>
      <c r="D113" s="129"/>
      <c r="E113" s="3633" t="s">
        <v>1439</v>
      </c>
      <c r="F113" s="3633"/>
      <c r="G113" s="3633"/>
      <c r="H113" s="3633"/>
      <c r="I113" s="129"/>
    </row>
    <row r="114" spans="1:27" ht="3.75" customHeight="1">
      <c r="A114" s="1745"/>
      <c r="B114" s="1745"/>
      <c r="C114" s="1745"/>
      <c r="D114" s="1745"/>
      <c r="E114" s="1807"/>
      <c r="F114" s="1807"/>
      <c r="G114" s="1807"/>
      <c r="H114" s="1807"/>
      <c r="I114" s="1745"/>
    </row>
    <row r="115" spans="1:27" ht="18.75" customHeight="1">
      <c r="A115" s="3643" t="s">
        <v>1441</v>
      </c>
      <c r="B115" s="3644"/>
      <c r="C115" s="3644"/>
      <c r="D115" s="3644"/>
      <c r="E115" s="3644"/>
      <c r="F115" s="3644"/>
      <c r="G115" s="3644"/>
      <c r="H115" s="3644"/>
      <c r="I115" s="3645"/>
    </row>
    <row r="116" spans="1:27" ht="27" customHeight="1">
      <c r="A116" s="3599" t="s">
        <v>1442</v>
      </c>
      <c r="B116" s="3634" t="s">
        <v>1443</v>
      </c>
      <c r="C116" s="3634" t="s">
        <v>1444</v>
      </c>
      <c r="D116" s="3647" t="s">
        <v>1445</v>
      </c>
      <c r="E116" s="3648"/>
      <c r="F116" s="3642" t="s">
        <v>1446</v>
      </c>
      <c r="G116" s="3642"/>
      <c r="H116" s="3599" t="s">
        <v>1447</v>
      </c>
      <c r="I116" s="3599"/>
    </row>
    <row r="117" spans="1:27" ht="18.75" customHeight="1">
      <c r="A117" s="3599"/>
      <c r="B117" s="3635"/>
      <c r="C117" s="3635"/>
      <c r="D117" s="2327" t="s">
        <v>1448</v>
      </c>
      <c r="E117" s="2327" t="s">
        <v>1449</v>
      </c>
      <c r="F117" s="2327" t="s">
        <v>1448</v>
      </c>
      <c r="G117" s="2327" t="s">
        <v>1450</v>
      </c>
      <c r="H117" s="2327" t="s">
        <v>1448</v>
      </c>
      <c r="I117" s="2327" t="s">
        <v>1450</v>
      </c>
    </row>
    <row r="118" spans="1:27" ht="24.75" customHeight="1">
      <c r="A118" s="2598" t="str">
        <f>项目基本情况!S2</f>
        <v>北京市丰台区四方景园二区配套商业房地产</v>
      </c>
      <c r="B118" s="2327">
        <f>M18</f>
        <v>1216.6500000000001</v>
      </c>
      <c r="C118" s="2327">
        <f>M19</f>
        <v>0</v>
      </c>
      <c r="D118" s="2327">
        <f ca="1">ROUND(IF(D32="总价",C34,E118*B118/10000),0)</f>
        <v>5604</v>
      </c>
      <c r="E118" s="2327">
        <f ca="1">ROUND(IF(C33="自定义",IF(D32="楼面单价",C34,D118*10000/B118),I118-G118),0)</f>
        <v>46061</v>
      </c>
      <c r="F118" s="2327">
        <f ca="1">ROUND(IF(D32="总价",C35,G118*B118/10000),0)</f>
        <v>0</v>
      </c>
      <c r="G118" s="2327">
        <f ca="1">ROUND(IF(D32="楼面单价",C35,F118*10000/B118),0)</f>
        <v>0</v>
      </c>
      <c r="H118" s="2327">
        <f ca="1">ROUND(IF(D32="总价",C32,I118*B118/10000),0)</f>
        <v>5604</v>
      </c>
      <c r="I118" s="2327">
        <f ca="1">ROUND(IF(D32="楼面单价",C32,H118*10000/B118),0)</f>
        <v>46061</v>
      </c>
    </row>
    <row r="119" spans="1:27" ht="18.75" customHeight="1">
      <c r="A119" s="3599" t="s">
        <v>1451</v>
      </c>
      <c r="B119" s="3599"/>
      <c r="C119" s="3599"/>
      <c r="D119" s="3639" t="str">
        <f ca="1">NUMBERSTRING(INT(D118*10000),2)&amp;"元整"</f>
        <v>伍仟陆佰零肆万元整</v>
      </c>
      <c r="E119" s="3641"/>
      <c r="F119" s="3639" t="str">
        <f ca="1">NUMBERSTRING(INT(F118*10000),2)&amp;"元整"</f>
        <v>零元整</v>
      </c>
      <c r="G119" s="3641"/>
      <c r="H119" s="3639" t="str">
        <f ca="1">NUMBERSTRING(INT(H118*10000),2)&amp;"元整"</f>
        <v>伍仟陆佰零肆万元整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9" t="s">
        <v>1451</v>
      </c>
      <c r="B121" s="3640"/>
      <c r="C121" s="3641"/>
      <c r="D121" s="3639" t="str">
        <f>IF(D120=0,"零元整",NUMBERSTRING(INT(D120*10000),2)&amp;"元整")</f>
        <v>零元整</v>
      </c>
      <c r="E121" s="3640"/>
      <c r="F121" s="3640"/>
      <c r="G121" s="3640"/>
      <c r="H121" s="3640"/>
      <c r="I121" s="3641"/>
      <c r="AA121" s="724"/>
    </row>
    <row r="122" spans="1:27" ht="18.75" customHeight="1">
      <c r="A122" s="3630" t="str">
        <f>IF(项目基本情况!B9="房地产市场价值","",MID(E107,3,LEN(E107)-2))</f>
        <v>房地产抵押价值</v>
      </c>
      <c r="B122" s="3630"/>
      <c r="C122" s="3630"/>
      <c r="D122" s="3663">
        <f ca="1">H107</f>
        <v>5604</v>
      </c>
      <c r="E122" s="3664"/>
      <c r="F122" s="3664"/>
      <c r="G122" s="3664"/>
      <c r="H122" s="3664"/>
      <c r="I122" s="3665"/>
      <c r="AA122" s="724"/>
    </row>
    <row r="123" spans="1:27" ht="18.75" customHeight="1">
      <c r="A123" s="3599" t="s">
        <v>1451</v>
      </c>
      <c r="B123" s="3599"/>
      <c r="C123" s="3599"/>
      <c r="D123" s="3639" t="str">
        <f ca="1">NUMBERSTRING(INT(D122*10000),2)&amp;"元整"</f>
        <v>伍仟陆佰零肆万元整</v>
      </c>
      <c r="E123" s="3640"/>
      <c r="F123" s="3640"/>
      <c r="G123" s="3640"/>
      <c r="H123" s="3640"/>
      <c r="I123" s="3641"/>
      <c r="AA123" s="724"/>
    </row>
    <row r="124" spans="1:27" ht="18.75" customHeight="1">
      <c r="A124" s="3630" t="str">
        <f>IF(项目基本情况!B9="房地产市场价值","",MID(E109,3,LEN(E109)-2))</f>
        <v/>
      </c>
      <c r="B124" s="3630"/>
      <c r="C124" s="3630"/>
      <c r="D124" s="3663" t="str">
        <f>H109</f>
        <v>——</v>
      </c>
      <c r="E124" s="3664"/>
      <c r="F124" s="3664"/>
      <c r="G124" s="3664"/>
      <c r="H124" s="3664"/>
      <c r="I124" s="3665"/>
      <c r="AA124" s="724"/>
    </row>
    <row r="125" spans="1:27" ht="18.75" customHeight="1">
      <c r="A125" s="3599" t="s">
        <v>1451</v>
      </c>
      <c r="B125" s="3599"/>
      <c r="C125" s="3599"/>
      <c r="D125" s="3639" t="e">
        <f>NUMBERSTRING(INT(D124*10000),2)&amp;"元整"</f>
        <v>#VALUE!</v>
      </c>
      <c r="E125" s="3640"/>
      <c r="F125" s="3640"/>
      <c r="G125" s="3640"/>
      <c r="H125" s="3640"/>
      <c r="I125" s="3641"/>
      <c r="AA125" s="724"/>
    </row>
    <row r="126" spans="1:27" ht="18.75" customHeight="1">
      <c r="A126" s="3630" t="str">
        <f>IF(项目基本情况!B9="房地产市场价值","",MID(E111,3,LEN(E111)-2))</f>
        <v/>
      </c>
      <c r="B126" s="3630"/>
      <c r="C126" s="3630"/>
      <c r="D126" s="3663" t="str">
        <f>H111</f>
        <v>——</v>
      </c>
      <c r="E126" s="3664"/>
      <c r="F126" s="3664"/>
      <c r="G126" s="3664"/>
      <c r="H126" s="3664"/>
      <c r="I126" s="3665"/>
      <c r="AA126" s="724"/>
    </row>
    <row r="127" spans="1:27" ht="18.75" customHeight="1">
      <c r="A127" s="3599" t="s">
        <v>1451</v>
      </c>
      <c r="B127" s="3599"/>
      <c r="C127" s="3599"/>
      <c r="D127" s="3639" t="e">
        <f>NUMBERSTRING(INT(D126*10000),2)&amp;"元整"</f>
        <v>#VALUE!</v>
      </c>
      <c r="E127" s="3640"/>
      <c r="F127" s="3640"/>
      <c r="G127" s="3640"/>
      <c r="H127" s="3640"/>
      <c r="I127" s="3641"/>
      <c r="AA127" s="724"/>
    </row>
    <row r="128" spans="1:27" ht="21.75" customHeight="1">
      <c r="A128" s="3646" t="s">
        <v>1452</v>
      </c>
      <c r="B128" s="3646"/>
      <c r="C128" s="3646"/>
      <c r="D128" s="3646"/>
      <c r="E128" s="3646"/>
      <c r="F128" s="3646"/>
      <c r="G128" s="3646"/>
      <c r="H128" s="3646"/>
      <c r="I128" s="3646"/>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3" t="str">
        <f>项目基本情况!B1</f>
        <v>北京市丰台区四方景园二区配套商业房地产抵押价值预评估</v>
      </c>
      <c r="C37" s="3493"/>
      <c r="D37" s="3493"/>
      <c r="E37" s="3493"/>
      <c r="F37" s="3493"/>
      <c r="G37" s="3493"/>
      <c r="H37" s="3493"/>
      <c r="I37" s="3493"/>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7</v>
      </c>
    </row>
    <row r="2" spans="1:9" s="200" customFormat="1" ht="18" customHeight="1">
      <c r="A2" s="201" t="s">
        <v>1461</v>
      </c>
      <c r="B2" s="202">
        <f ca="1">IF(D2="——",C52,C52-E2)</f>
        <v>573</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4710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4"/>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c r="H9" s="1136"/>
      <c r="I9" s="1856" t="s">
        <v>1478</v>
      </c>
    </row>
    <row r="10" spans="1:9" s="214" customFormat="1" ht="13.5" customHeight="1">
      <c r="A10" s="778" t="s">
        <v>356</v>
      </c>
      <c r="B10" s="224" t="s">
        <v>1479</v>
      </c>
      <c r="C10" s="225">
        <f ca="1">ROUND(D10*E10/10000,0)</f>
        <v>0</v>
      </c>
      <c r="D10" s="844">
        <f ca="1">IF(B1="",'数据-汇总表'!E6,IF(INDIRECT("'数据-取费表'!c"&amp;$G$1)="住宅",INDIRECT("'数据-取费表'!s"&amp;$G$1),INDIRECT("'数据-取费表'!k"&amp;$G$1)+INDIRECT("'数据-取费表'!s"&amp;$G$1)))</f>
        <v>1216.6500000000001</v>
      </c>
      <c r="E10" s="225">
        <f>'数据-取费表'!B28</f>
        <v>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24</v>
      </c>
      <c r="D19" s="848">
        <f ca="1">D9+D10</f>
        <v>1216.6500000000001</v>
      </c>
      <c r="E19" s="211">
        <f>'数据-取费表'!B31</f>
        <v>200</v>
      </c>
      <c r="F19" s="231"/>
      <c r="G19" s="1854"/>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1</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5</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ROUND((C5+C19+C20)*F27*'数据-取费表'!B21/'数据-取费表'!B20,0)</f>
        <v>5</v>
      </c>
      <c r="D28" s="235"/>
      <c r="E28" s="236"/>
      <c r="F28" s="246"/>
      <c r="G28" s="247"/>
    </row>
    <row r="29" spans="1:7" s="214" customFormat="1" ht="13.5" customHeight="1">
      <c r="A29" s="779"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533</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487</v>
      </c>
      <c r="D34" s="217"/>
      <c r="E34" s="220"/>
      <c r="F34" s="257">
        <f ca="1">IF('数据-取费表'!B24=0,1,IF(B1="",'数据-取费表'!N16,INDIRECT("'数据-取费表'!n"&amp;$G$1)))</f>
        <v>1</v>
      </c>
      <c r="G34" s="219" t="s">
        <v>1525</v>
      </c>
    </row>
    <row r="35" spans="1:7" ht="13.5" customHeight="1">
      <c r="A35" s="779" t="s">
        <v>351</v>
      </c>
      <c r="B35" s="215" t="s">
        <v>1526</v>
      </c>
      <c r="C35" s="220">
        <f ca="1">ROUND(C34*F35,0)</f>
        <v>15</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24</v>
      </c>
      <c r="D37" s="217">
        <f ca="1">D19</f>
        <v>1216.6500000000001</v>
      </c>
      <c r="E37" s="249">
        <f>'数据-取费表'!B35</f>
        <v>200</v>
      </c>
      <c r="F37" s="259"/>
      <c r="G37" s="261" t="s">
        <v>1531</v>
      </c>
    </row>
    <row r="38" spans="1:7" ht="13.5" customHeight="1">
      <c r="A38" s="779"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11</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ROUND(IF('数据-取费表'!B22&lt;=1,C33*F22*'数据-取费表'!B21/2,C33*(POWER((1+F22),'数据-取费表'!B21/2)-1)),0)</f>
        <v>11</v>
      </c>
      <c r="D42" s="238"/>
      <c r="E42" s="238"/>
      <c r="F42" s="239"/>
      <c r="G42" s="3679" t="s">
        <v>1543</v>
      </c>
    </row>
    <row r="43" spans="1:7" ht="13.5" customHeight="1">
      <c r="A43" s="779" t="s">
        <v>347</v>
      </c>
      <c r="B43" s="215" t="s">
        <v>1544</v>
      </c>
      <c r="C43" s="238">
        <f ca="1">ROUND(IF('数据-取费表'!B22&lt;=1,C39*F22*'数据-取费表'!B21/2,C39*(POWER((1+F22),'数据-取费表'!B21/2)-1)),0)</f>
        <v>0</v>
      </c>
      <c r="D43" s="238"/>
      <c r="E43" s="238"/>
      <c r="F43" s="239"/>
      <c r="G43" s="3680"/>
    </row>
    <row r="44" spans="1:7" ht="13.5" customHeight="1">
      <c r="A44" s="779" t="s">
        <v>348</v>
      </c>
      <c r="B44" s="215" t="s">
        <v>1545</v>
      </c>
      <c r="C44" s="238">
        <f ca="1">ROUND(IF('数据-取费表'!B22&lt;=1,C40*F22*'数据-取费表'!B21/2,C40*(POWER((1+F22),'数据-取费表'!B21/2)-1)),4)</f>
        <v>4.0000000000000002E-4</v>
      </c>
      <c r="D44" s="238"/>
      <c r="E44" s="238"/>
      <c r="F44" s="239"/>
      <c r="G44" s="3681"/>
    </row>
    <row r="45" spans="1:7" s="214" customFormat="1" ht="13.5" customHeight="1">
      <c r="A45" s="255" t="s">
        <v>1546</v>
      </c>
      <c r="B45" s="244" t="s">
        <v>1512</v>
      </c>
      <c r="C45" s="245">
        <f ca="1">C46</f>
        <v>109</v>
      </c>
      <c r="D45" s="235">
        <f ca="1">C47</f>
        <v>4.0000000000000001E-3</v>
      </c>
      <c r="E45" s="236" t="s">
        <v>1538</v>
      </c>
      <c r="F45" s="246">
        <f ca="1">F27</f>
        <v>0.2</v>
      </c>
      <c r="G45" s="247" t="s">
        <v>1547</v>
      </c>
    </row>
    <row r="46" spans="1:7" s="214" customFormat="1" ht="13.5" customHeight="1">
      <c r="A46" s="779" t="s">
        <v>346</v>
      </c>
      <c r="B46" s="248" t="s">
        <v>1548</v>
      </c>
      <c r="C46" s="249">
        <f ca="1">ROUND((C33+C39)*F27,0)</f>
        <v>109</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720</v>
      </c>
      <c r="D49" s="232"/>
      <c r="E49" s="232"/>
      <c r="F49" s="264"/>
      <c r="G49" s="234" t="s">
        <v>1553</v>
      </c>
    </row>
    <row r="50" spans="1:7" s="258" customFormat="1" ht="24">
      <c r="A50" s="255" t="s">
        <v>1554</v>
      </c>
      <c r="B50" s="210" t="s">
        <v>1555</v>
      </c>
      <c r="C50" s="232"/>
      <c r="D50" s="232"/>
      <c r="E50" s="232"/>
      <c r="F50" s="264">
        <f>IF('数据-取费表'!B24=0,'数据-取费表'!N16,1)</f>
        <v>0.75</v>
      </c>
      <c r="G50" s="247" t="s">
        <v>1556</v>
      </c>
    </row>
    <row r="51" spans="1:7" ht="16.5" customHeight="1">
      <c r="A51" s="255" t="s">
        <v>1557</v>
      </c>
      <c r="B51" s="210" t="s">
        <v>1558</v>
      </c>
      <c r="C51" s="232">
        <f ca="1">ROUND(C49*F50,0)</f>
        <v>540</v>
      </c>
      <c r="D51" s="232"/>
      <c r="E51" s="232"/>
      <c r="F51" s="264"/>
      <c r="G51" s="234" t="s">
        <v>1559</v>
      </c>
    </row>
    <row r="52" spans="1:7" s="208" customFormat="1" ht="16.5" thickBot="1">
      <c r="A52" s="265" t="s">
        <v>1560</v>
      </c>
      <c r="B52" s="266"/>
      <c r="C52" s="267">
        <f ca="1">C31+C51</f>
        <v>573</v>
      </c>
      <c r="D52" s="266"/>
      <c r="E52" s="266"/>
      <c r="F52" s="266"/>
      <c r="G52" s="268"/>
    </row>
    <row r="55" spans="1:7" ht="15">
      <c r="B55" s="270" t="s">
        <v>1561</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7</v>
      </c>
      <c r="H1" s="1060" t="str">
        <f>IF(ISERROR(FIND("住宅",B1)),"非住宅","住宅")</f>
        <v>非住宅</v>
      </c>
    </row>
    <row r="2" spans="1:8" s="200" customFormat="1" ht="18" customHeight="1">
      <c r="A2" s="201" t="s">
        <v>1461</v>
      </c>
      <c r="B2" s="3421">
        <f ca="1">ROUND(IF(D2="——",C52/10000,C52/10000-E2),4)</f>
        <v>572.97850000000005</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4709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0</v>
      </c>
      <c r="D10" s="844">
        <f ca="1">IF(B1="",'数据-汇总表'!E6,IF(INDIRECT("'数据-取费表'!c"&amp;$G$1)="住宅",INDIRECT("'数据-取费表'!s"&amp;$G$1),INDIRECT("'数据-取费表'!k"&amp;$G$1)+INDIRECT("'数据-取费表'!s"&amp;$G$1)))</f>
        <v>1216.6500000000001</v>
      </c>
      <c r="E10" s="225">
        <f>'数据-取费表'!B28</f>
        <v>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243330</v>
      </c>
      <c r="D19" s="848">
        <f ca="1">D9+D10</f>
        <v>1216.6500000000001</v>
      </c>
      <c r="E19" s="211">
        <f>'数据-取费表'!B31</f>
        <v>200</v>
      </c>
      <c r="F19" s="231"/>
      <c r="G19" s="1854"/>
    </row>
    <row r="20" spans="1:7" s="214" customFormat="1" ht="13.5" customHeight="1">
      <c r="A20" s="255" t="s">
        <v>1573</v>
      </c>
      <c r="B20" s="210" t="s">
        <v>1574</v>
      </c>
      <c r="C20" s="232">
        <f ca="1">ROUND((C5+C19)*F20,0)</f>
        <v>4867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10199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79" t="s">
        <v>1471</v>
      </c>
      <c r="B23" s="215" t="s">
        <v>1582</v>
      </c>
      <c r="C23" s="1127">
        <f ca="1">ROUND(IF('数据-取费表'!B22&lt;=1,C5*F22*'数据-取费表'!B22,C5*(POWER((1+F22),'数据-取费表'!B22)-1)),0)</f>
        <v>0</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10098</v>
      </c>
      <c r="D24" s="238"/>
      <c r="E24" s="238"/>
      <c r="F24" s="239"/>
      <c r="G24" s="240" t="s">
        <v>1585</v>
      </c>
    </row>
    <row r="25" spans="1:7" s="214" customFormat="1" ht="24">
      <c r="A25" s="779" t="s">
        <v>1475</v>
      </c>
      <c r="B25" s="215" t="s">
        <v>1586</v>
      </c>
      <c r="C25" s="1127">
        <f ca="1">ROUND(IF('数据-取费表'!B22&lt;=1,C20*F22*'数据-取费表'!B22/2,C20*(POWER((1+F22),'数据-取费表'!B22/2)-1)),0)</f>
        <v>101</v>
      </c>
      <c r="D25" s="238"/>
      <c r="E25" s="241"/>
      <c r="F25" s="239"/>
      <c r="G25" s="242" t="s">
        <v>1587</v>
      </c>
    </row>
    <row r="26" spans="1:7" s="214" customFormat="1">
      <c r="A26" s="779"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49639</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ROUND((C5+C19+C20)*F27,0)</f>
        <v>49639</v>
      </c>
      <c r="D28" s="235"/>
      <c r="E28" s="236"/>
      <c r="F28" s="246"/>
      <c r="G28" s="247"/>
    </row>
    <row r="29" spans="1:7" s="214" customFormat="1" ht="13.5" customHeight="1">
      <c r="A29" s="779"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333986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5328927</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4866600</v>
      </c>
      <c r="D34" s="217"/>
      <c r="E34" s="220"/>
      <c r="F34" s="257"/>
      <c r="G34" s="219"/>
    </row>
    <row r="35" spans="1:7" ht="13.5" customHeight="1">
      <c r="A35" s="779" t="s">
        <v>351</v>
      </c>
      <c r="B35" s="215" t="s">
        <v>1526</v>
      </c>
      <c r="C35" s="220">
        <f ca="1">ROUND(C34*F35,0)</f>
        <v>145998</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243330</v>
      </c>
      <c r="D37" s="217">
        <f ca="1">D19</f>
        <v>1216.6500000000001</v>
      </c>
      <c r="E37" s="249">
        <f>'数据-取费表'!B35</f>
        <v>200</v>
      </c>
      <c r="F37" s="259"/>
      <c r="G37" s="261"/>
    </row>
    <row r="38" spans="1:7" ht="13.5" customHeight="1">
      <c r="A38" s="779" t="s">
        <v>354</v>
      </c>
      <c r="B38" s="215" t="s">
        <v>1532</v>
      </c>
      <c r="C38" s="220">
        <f ca="1">ROUND(C34*F38,0)</f>
        <v>72999</v>
      </c>
      <c r="D38" s="220"/>
      <c r="E38" s="220"/>
      <c r="F38" s="259">
        <f>'数据-取费表'!B36</f>
        <v>1.4999999999999999E-2</v>
      </c>
      <c r="G38" s="219" t="s">
        <v>1527</v>
      </c>
    </row>
    <row r="39" spans="1:7" s="214" customFormat="1" ht="13.5" customHeight="1">
      <c r="A39" s="255" t="s">
        <v>1533</v>
      </c>
      <c r="B39" s="210" t="s">
        <v>1534</v>
      </c>
      <c r="C39" s="232">
        <f ca="1">ROUND(C33*F20,0)</f>
        <v>106579</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112787</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ROUND(IF('数据-取费表'!B22&lt;=1,C33*F22*'数据-取费表'!B20/2,C33*(POWER((1+F22),'数据-取费表'!B20/2)-1)),0)</f>
        <v>110575</v>
      </c>
      <c r="D42" s="238"/>
      <c r="E42" s="238"/>
      <c r="F42" s="239"/>
      <c r="G42" s="3679" t="s">
        <v>1590</v>
      </c>
    </row>
    <row r="43" spans="1:7" ht="13.5" customHeight="1">
      <c r="A43" s="779" t="s">
        <v>347</v>
      </c>
      <c r="B43" s="215" t="s">
        <v>1544</v>
      </c>
      <c r="C43" s="238">
        <f ca="1">ROUND(IF('数据-取费表'!B22&lt;=1,C39*F22*'数据-取费表'!B20/2,C39*(POWER((1+F22),'数据-取费表'!B20/2)-1)),0)</f>
        <v>2212</v>
      </c>
      <c r="D43" s="238"/>
      <c r="E43" s="238"/>
      <c r="F43" s="239"/>
      <c r="G43" s="3680"/>
    </row>
    <row r="44" spans="1:7" ht="13.5" customHeight="1">
      <c r="A44" s="779" t="s">
        <v>348</v>
      </c>
      <c r="B44" s="215" t="s">
        <v>1545</v>
      </c>
      <c r="C44" s="238">
        <f ca="1">ROUND(IF('数据-取费表'!B22&lt;=1,C40*F22*'数据-取费表'!B20/2,C40*(POWER((1+F22),'数据-取费表'!B20/2)-1)),4)</f>
        <v>4.0000000000000002E-4</v>
      </c>
      <c r="D44" s="238"/>
      <c r="E44" s="238"/>
      <c r="F44" s="239"/>
      <c r="G44" s="3681"/>
    </row>
    <row r="45" spans="1:7" s="214" customFormat="1" ht="13.5" customHeight="1">
      <c r="A45" s="255" t="s">
        <v>1546</v>
      </c>
      <c r="B45" s="244" t="s">
        <v>1512</v>
      </c>
      <c r="C45" s="245">
        <f ca="1">C46</f>
        <v>1087101</v>
      </c>
      <c r="D45" s="235">
        <f ca="1">C47</f>
        <v>4.0000000000000001E-3</v>
      </c>
      <c r="E45" s="236" t="s">
        <v>1538</v>
      </c>
      <c r="F45" s="246">
        <f ca="1">F27</f>
        <v>0.2</v>
      </c>
      <c r="G45" s="247" t="s">
        <v>1547</v>
      </c>
    </row>
    <row r="46" spans="1:7" s="214" customFormat="1" ht="13.5" customHeight="1">
      <c r="A46" s="779" t="s">
        <v>346</v>
      </c>
      <c r="B46" s="248" t="s">
        <v>1548</v>
      </c>
      <c r="C46" s="249">
        <f ca="1">ROUND((C33+C39)*F27,0)</f>
        <v>1087101</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7194399</v>
      </c>
      <c r="D49" s="232"/>
      <c r="E49" s="232"/>
      <c r="F49" s="264"/>
      <c r="G49" s="234" t="s">
        <v>1553</v>
      </c>
    </row>
    <row r="50" spans="1:7" s="258" customFormat="1">
      <c r="A50" s="255" t="s">
        <v>1554</v>
      </c>
      <c r="B50" s="210" t="s">
        <v>1555</v>
      </c>
      <c r="C50" s="232"/>
      <c r="D50" s="232"/>
      <c r="E50" s="232"/>
      <c r="F50" s="264">
        <f>IF('数据-取费表'!B24=0,'数据-取费表'!N16,1)</f>
        <v>0.75</v>
      </c>
      <c r="G50" s="247"/>
    </row>
    <row r="51" spans="1:7" ht="16.5" customHeight="1">
      <c r="A51" s="255" t="s">
        <v>1557</v>
      </c>
      <c r="B51" s="210" t="s">
        <v>1592</v>
      </c>
      <c r="C51" s="232">
        <f ca="1">ROUND(C49*F50,0)</f>
        <v>5395799</v>
      </c>
      <c r="D51" s="232"/>
      <c r="E51" s="232"/>
      <c r="F51" s="264"/>
      <c r="G51" s="234" t="s">
        <v>1559</v>
      </c>
    </row>
    <row r="52" spans="1:7" s="208" customFormat="1" ht="16.5" thickBot="1">
      <c r="A52" s="265" t="s">
        <v>1560</v>
      </c>
      <c r="B52" s="266"/>
      <c r="C52" s="267">
        <f ca="1">C31+C51</f>
        <v>5729785</v>
      </c>
      <c r="D52" s="266"/>
      <c r="E52" s="266"/>
      <c r="F52" s="266"/>
      <c r="G52" s="268"/>
    </row>
    <row r="55" spans="1:7" ht="15">
      <c r="B55" s="270" t="s">
        <v>1561</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1216.6500000000001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1216.6500000000001</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6"/>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0</v>
      </c>
      <c r="D20" s="845">
        <f ca="1">IF(C1="",'数据-汇总表'!E6,IF(INDIRECT("'数据-取费表'!c"&amp;$K$1)="住宅",INDIRECT("'数据-取费表'!s"&amp;$K$1),INDIRECT("'数据-取费表'!k"&amp;$K$1)+INDIRECT("'数据-取费表'!s"&amp;$K$1)))</f>
        <v>1216.6500000000001</v>
      </c>
      <c r="E20" s="21">
        <f>'数据-取费表'!B28</f>
        <v>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84" t="s">
        <v>694</v>
      </c>
      <c r="C6" s="1073">
        <f ca="1">ROUND(F6*F8*F7*(1-F9)/10000,0)</f>
        <v>0</v>
      </c>
      <c r="D6" s="155" t="s">
        <v>2104</v>
      </c>
      <c r="E6" s="302" t="s">
        <v>696</v>
      </c>
      <c r="F6" s="303">
        <f ca="1">INDIRECT("'数据-取费表'!u"&amp;$G$1)</f>
        <v>0</v>
      </c>
      <c r="G6" s="1382"/>
      <c r="H6" s="1068" t="s">
        <v>398</v>
      </c>
      <c r="I6" s="3684" t="s">
        <v>694</v>
      </c>
      <c r="J6" s="301">
        <f ca="1">ROUND(M6*M8*M7*(1-M9)/10000,0)</f>
        <v>0</v>
      </c>
      <c r="K6" s="155" t="s">
        <v>2103</v>
      </c>
      <c r="L6" s="302" t="s">
        <v>696</v>
      </c>
      <c r="M6" s="303">
        <f ca="1">INDIRECT("'数据-取费表'!z"&amp;$G$1)</f>
        <v>0</v>
      </c>
    </row>
    <row r="7" spans="1:37" ht="18" customHeight="1">
      <c r="A7" s="1072"/>
      <c r="B7" s="3685"/>
      <c r="C7" s="1074"/>
      <c r="D7" s="307"/>
      <c r="E7" s="1075" t="s">
        <v>697</v>
      </c>
      <c r="F7" s="303">
        <f ca="1">IF(INDIRECT("'数据-取费表'!ah"&amp;$G$1)="",INDIRECT("'数据-取费表'!k"&amp;$G$1),INDIRECT("'数据-取费表'!ah"&amp;$G$1))</f>
        <v>0</v>
      </c>
      <c r="G7" s="1382"/>
      <c r="H7" s="304"/>
      <c r="I7" s="3685"/>
      <c r="J7" s="306"/>
      <c r="K7" s="307"/>
      <c r="L7" s="302" t="s">
        <v>697</v>
      </c>
      <c r="M7" s="303">
        <f ca="1">F7</f>
        <v>0</v>
      </c>
    </row>
    <row r="8" spans="1:37" ht="18" customHeight="1">
      <c r="A8" s="304"/>
      <c r="B8" s="3685"/>
      <c r="C8" s="306"/>
      <c r="D8" s="307"/>
      <c r="E8" s="302" t="s">
        <v>698</v>
      </c>
      <c r="F8" s="303">
        <f ca="1">INDIRECT("'数据-取费表'!ai"&amp;$G$1)</f>
        <v>0</v>
      </c>
      <c r="G8" s="1382"/>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2"/>
      <c r="H9" s="304"/>
      <c r="I9" s="368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2301</v>
      </c>
      <c r="I31" s="1396"/>
      <c r="J31" s="1397"/>
      <c r="K31" s="2473"/>
      <c r="L31" s="2695"/>
      <c r="M31" s="2696"/>
    </row>
    <row r="32" spans="1:37" ht="18" customHeight="1">
      <c r="A32" s="981"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1"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82" t="s">
        <v>837</v>
      </c>
      <c r="L53" s="3683"/>
      <c r="O53" s="1416" t="s">
        <v>409</v>
      </c>
      <c r="P53" s="1417" t="s">
        <v>838</v>
      </c>
      <c r="Q53" s="1418" t="e">
        <f ca="1">Q47+Q48</f>
        <v>#DIV/0!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IF(项目基本情况!B11="自然人","——",IF(D61="按租金收入计税",ROUND(C49*F61/(1+'数据-取费表'!C42),2),IF(D61="按房产原值计税",ROUND(C57*F61*0.7,2),INDIRECT("'数据-取费表'!Aj"&amp;$G$1))))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IF(项目基本情况!B11="自然人","——",ROUND(F62*F63/10000,2))</f>
        <v>——</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F62" sqref="F62"/>
    </sheetView>
  </sheetViews>
  <sheetFormatPr defaultColWidth="9" defaultRowHeight="14.25"/>
  <cols>
    <col min="1" max="1" width="10.5" style="357" customWidth="1"/>
    <col min="2" max="2" width="15.75" style="357" customWidth="1"/>
    <col min="3" max="3" width="21.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t="s">
        <v>21</v>
      </c>
      <c r="E1" s="3430" t="s">
        <v>3511</v>
      </c>
      <c r="F1" s="1877" t="s">
        <v>3512</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IF(E1="项目模式",IF(C2="——",ROUND(C50*D3/10000,0),ROUND(C50*D3/10000,0)-D2),IF(E1="单套模式",IF(C2="——",ROUND(C50*D3/10000,4),ROUND(C50*D3/10000,4)-D2)))</f>
        <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54661</v>
      </c>
      <c r="C3" s="354" t="s">
        <v>1767</v>
      </c>
      <c r="D3" s="353">
        <f>IF(D1="",'数据-汇总表'!E3,SUMIF('数据-汇总表'!$C19:$C33,D1,'数据-汇总表'!$E19:$E33))</f>
        <v>0</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1768</v>
      </c>
      <c r="B4" s="356"/>
      <c r="C4" s="3705" t="s">
        <v>1769</v>
      </c>
      <c r="D4" s="3706"/>
      <c r="E4" s="3707" t="s">
        <v>1770</v>
      </c>
      <c r="F4" s="3708"/>
      <c r="G4" s="3705" t="s">
        <v>1771</v>
      </c>
      <c r="H4" s="3706"/>
      <c r="I4" s="3705" t="s">
        <v>1772</v>
      </c>
      <c r="J4" s="3706"/>
      <c r="K4" s="559" t="s">
        <v>1773</v>
      </c>
      <c r="L4" s="2712"/>
      <c r="M4" s="2713"/>
      <c r="N4" s="2713"/>
      <c r="O4" s="2713"/>
      <c r="P4" s="3709" t="s">
        <v>1774</v>
      </c>
      <c r="Q4" s="3710"/>
      <c r="R4" s="3715" t="s">
        <v>1770</v>
      </c>
      <c r="S4" s="3716"/>
      <c r="T4" s="3715" t="s">
        <v>1771</v>
      </c>
      <c r="U4" s="3716"/>
      <c r="V4" s="3721" t="s">
        <v>1772</v>
      </c>
      <c r="W4" s="3721"/>
      <c r="X4" s="1956"/>
      <c r="Y4" s="3715" t="s">
        <v>1774</v>
      </c>
      <c r="Z4" s="3716"/>
      <c r="AA4" s="3735" t="s">
        <v>1770</v>
      </c>
      <c r="AB4" s="3735" t="s">
        <v>1771</v>
      </c>
      <c r="AC4" s="3702" t="s">
        <v>1772</v>
      </c>
    </row>
    <row r="5" spans="1:29" ht="15">
      <c r="A5" s="358"/>
      <c r="B5" s="359"/>
      <c r="C5" s="3731" t="s">
        <v>1672</v>
      </c>
      <c r="D5" s="3732"/>
      <c r="E5" s="3725" t="s">
        <v>3507</v>
      </c>
      <c r="F5" s="3726"/>
      <c r="G5" s="3725" t="s">
        <v>3507</v>
      </c>
      <c r="H5" s="3726"/>
      <c r="I5" s="3725" t="s">
        <v>3507</v>
      </c>
      <c r="J5" s="3726"/>
      <c r="K5" s="559"/>
      <c r="L5" s="2712"/>
      <c r="M5" s="2713"/>
      <c r="N5" s="2713"/>
      <c r="O5" s="2713"/>
      <c r="P5" s="3711"/>
      <c r="Q5" s="3712"/>
      <c r="R5" s="3717"/>
      <c r="S5" s="3718"/>
      <c r="T5" s="3717"/>
      <c r="U5" s="3718"/>
      <c r="V5" s="3722"/>
      <c r="W5" s="3722"/>
      <c r="X5" s="1353"/>
      <c r="Y5" s="3717"/>
      <c r="Z5" s="3718"/>
      <c r="AA5" s="3736"/>
      <c r="AB5" s="3736"/>
      <c r="AC5" s="3703"/>
    </row>
    <row r="6" spans="1:29" ht="15.75" thickBot="1">
      <c r="A6" s="360"/>
      <c r="B6" s="361"/>
      <c r="C6" s="3723" t="s">
        <v>1676</v>
      </c>
      <c r="D6" s="3724"/>
      <c r="E6" s="3733" t="s">
        <v>1676</v>
      </c>
      <c r="F6" s="3734"/>
      <c r="G6" s="3723" t="s">
        <v>1676</v>
      </c>
      <c r="H6" s="3724"/>
      <c r="I6" s="3723" t="s">
        <v>1676</v>
      </c>
      <c r="J6" s="3724"/>
      <c r="K6" s="559" t="s">
        <v>1677</v>
      </c>
      <c r="L6" s="2712"/>
      <c r="M6" s="2713"/>
      <c r="N6" s="2713"/>
      <c r="O6" s="2713"/>
      <c r="P6" s="3713"/>
      <c r="Q6" s="3714"/>
      <c r="R6" s="3717"/>
      <c r="S6" s="3718"/>
      <c r="T6" s="3719"/>
      <c r="U6" s="3720"/>
      <c r="V6" s="3722"/>
      <c r="W6" s="3722"/>
      <c r="X6" s="1353"/>
      <c r="Y6" s="3719"/>
      <c r="Z6" s="3720"/>
      <c r="AA6" s="3737"/>
      <c r="AB6" s="3737"/>
      <c r="AC6" s="3704"/>
    </row>
    <row r="7" spans="1:29" s="108" customFormat="1" ht="15.75" thickBot="1">
      <c r="A7" s="362" t="s">
        <v>1678</v>
      </c>
      <c r="B7" s="363"/>
      <c r="C7" s="364">
        <f>'数据-取费表'!B2</f>
        <v>45069</v>
      </c>
      <c r="D7" s="365">
        <v>100</v>
      </c>
      <c r="E7" s="366">
        <v>45047</v>
      </c>
      <c r="F7" s="367">
        <f>SUMIF(59:59,YEAR(E7)&amp;"-"&amp;MONTH(E7),60:60)</f>
        <v>100</v>
      </c>
      <c r="G7" s="366">
        <v>45047</v>
      </c>
      <c r="H7" s="365">
        <f>SUMIF(59:59,YEAR(G7)&amp;"-"&amp;MONTH(G7),60:60)</f>
        <v>100</v>
      </c>
      <c r="I7" s="366">
        <v>45047</v>
      </c>
      <c r="J7" s="365">
        <f>SUMIF(59:59,YEAR(I7)&amp;"-"&amp;MONTH(I7),60:60)</f>
        <v>100</v>
      </c>
      <c r="K7" s="560"/>
      <c r="L7" s="2714"/>
      <c r="M7" s="2715"/>
      <c r="N7" s="2715"/>
      <c r="O7" s="2715"/>
      <c r="P7" s="3727" t="s">
        <v>1679</v>
      </c>
      <c r="Q7" s="3730"/>
      <c r="R7" s="700" t="s">
        <v>14</v>
      </c>
      <c r="S7" s="701">
        <f t="shared" ref="S7:S15" si="0">F7</f>
        <v>100</v>
      </c>
      <c r="T7" s="700" t="s">
        <v>14</v>
      </c>
      <c r="U7" s="701">
        <f t="shared" ref="U7:U15" si="1">H7</f>
        <v>100</v>
      </c>
      <c r="V7" s="700" t="s">
        <v>14</v>
      </c>
      <c r="W7" s="701">
        <f t="shared" ref="W7:W15" si="2">J7</f>
        <v>100</v>
      </c>
      <c r="X7" s="702"/>
      <c r="Y7" s="3729" t="s">
        <v>1679</v>
      </c>
      <c r="Z7" s="3728"/>
      <c r="AA7" s="703">
        <f>D7/F7</f>
        <v>1</v>
      </c>
      <c r="AB7" s="703">
        <f>D7/H7</f>
        <v>1</v>
      </c>
      <c r="AC7" s="1957">
        <f>D7/J7</f>
        <v>1</v>
      </c>
    </row>
    <row r="8" spans="1:29" s="108" customFormat="1" ht="15.75" thickBot="1">
      <c r="A8" s="362" t="s">
        <v>1680</v>
      </c>
      <c r="B8" s="363"/>
      <c r="C8" s="368" t="s">
        <v>3508</v>
      </c>
      <c r="D8" s="365">
        <v>100</v>
      </c>
      <c r="E8" s="368" t="s">
        <v>3509</v>
      </c>
      <c r="F8" s="367">
        <f>SUMIF(62:62,E8,63:63)-SUMIF(62:62,C8,63:63)+100</f>
        <v>102</v>
      </c>
      <c r="G8" s="368" t="s">
        <v>3509</v>
      </c>
      <c r="H8" s="365">
        <f>SUMIF(62:62,G8,63:63)-SUMIF(62:62,C8,63:63)+100</f>
        <v>102</v>
      </c>
      <c r="I8" s="368" t="s">
        <v>3509</v>
      </c>
      <c r="J8" s="365">
        <f>SUMIF(62:62,I8,63:63)-SUMIF(62:62,C8,63:63)+100</f>
        <v>102</v>
      </c>
      <c r="K8" s="560"/>
      <c r="L8" s="2714"/>
      <c r="M8" s="2715"/>
      <c r="N8" s="2715"/>
      <c r="O8" s="2715"/>
      <c r="P8" s="3727" t="s">
        <v>1682</v>
      </c>
      <c r="Q8" s="3728"/>
      <c r="R8" s="700" t="s">
        <v>14</v>
      </c>
      <c r="S8" s="701">
        <f t="shared" si="0"/>
        <v>102</v>
      </c>
      <c r="T8" s="700" t="s">
        <v>14</v>
      </c>
      <c r="U8" s="701">
        <f t="shared" si="1"/>
        <v>102</v>
      </c>
      <c r="V8" s="700" t="s">
        <v>14</v>
      </c>
      <c r="W8" s="701">
        <f t="shared" si="2"/>
        <v>102</v>
      </c>
      <c r="X8" s="702"/>
      <c r="Y8" s="3729" t="s">
        <v>1682</v>
      </c>
      <c r="Z8" s="3728"/>
      <c r="AA8" s="703">
        <f t="shared" ref="AA8:AA47" si="3">D8/F8</f>
        <v>0.98039215686274506</v>
      </c>
      <c r="AB8" s="703">
        <f t="shared" ref="AB8:AB47" si="4">D8/H8</f>
        <v>0.98039215686274506</v>
      </c>
      <c r="AC8" s="1957">
        <f t="shared" ref="AC8:AC47" si="5">D8/J8</f>
        <v>0.98039215686274506</v>
      </c>
    </row>
    <row r="9" spans="1:29" s="108" customFormat="1">
      <c r="A9" s="369" t="s">
        <v>1683</v>
      </c>
      <c r="B9" s="63" t="s">
        <v>1684</v>
      </c>
      <c r="C9" s="3467" t="s">
        <v>3513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7" t="s">
        <v>1685</v>
      </c>
      <c r="Q9" s="1341"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1957">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7"/>
      <c r="Q10" s="1341"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7"/>
      <c r="Q11" s="1341"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7"/>
      <c r="Q12" s="1341">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7"/>
      <c r="Q13" s="1341">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687"/>
      <c r="Q14" s="1341">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1957">
        <f t="shared" si="5"/>
        <v>1</v>
      </c>
    </row>
    <row r="15" spans="1:29" ht="71.25" customHeight="1">
      <c r="A15" s="391" t="s">
        <v>1689</v>
      </c>
      <c r="B15" s="576" t="s">
        <v>1810</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93" t="s">
        <v>1690</v>
      </c>
      <c r="Q15" s="1350" t="str">
        <f t="shared" si="6"/>
        <v>办公集聚程度</v>
      </c>
      <c r="R15" s="704" t="s">
        <v>14</v>
      </c>
      <c r="S15" s="705">
        <f t="shared" si="0"/>
        <v>100</v>
      </c>
      <c r="T15" s="704" t="s">
        <v>14</v>
      </c>
      <c r="U15" s="705">
        <f t="shared" si="1"/>
        <v>100</v>
      </c>
      <c r="V15" s="704" t="s">
        <v>14</v>
      </c>
      <c r="W15" s="705">
        <f t="shared" si="2"/>
        <v>100</v>
      </c>
      <c r="X15" s="1353"/>
      <c r="Y15" s="3695" t="s">
        <v>1690</v>
      </c>
      <c r="Z15" s="1354" t="str">
        <f t="shared" si="7"/>
        <v>办公集聚程度</v>
      </c>
      <c r="AA15" s="1351">
        <f t="shared" si="3"/>
        <v>1</v>
      </c>
      <c r="AB15" s="1351">
        <f t="shared" si="4"/>
        <v>1</v>
      </c>
      <c r="AC15" s="1960">
        <f t="shared" si="5"/>
        <v>1</v>
      </c>
    </row>
    <row r="16" spans="1:29" ht="15">
      <c r="A16" s="379"/>
      <c r="B16" s="577"/>
      <c r="C16" s="1902" t="s">
        <v>3514</v>
      </c>
      <c r="D16" s="399"/>
      <c r="E16" s="1902" t="s">
        <v>3514</v>
      </c>
      <c r="F16" s="399"/>
      <c r="G16" s="1902" t="s">
        <v>3514</v>
      </c>
      <c r="H16" s="401"/>
      <c r="I16" s="1902" t="s">
        <v>3514</v>
      </c>
      <c r="J16" s="399"/>
      <c r="K16" s="564"/>
      <c r="L16" s="2719"/>
      <c r="M16" s="2713"/>
      <c r="N16" s="2713"/>
      <c r="O16" s="2713"/>
      <c r="P16" s="3694"/>
      <c r="Q16" s="1350"/>
      <c r="R16" s="704"/>
      <c r="S16" s="705"/>
      <c r="T16" s="704"/>
      <c r="U16" s="705"/>
      <c r="V16" s="704"/>
      <c r="W16" s="705"/>
      <c r="X16" s="1353"/>
      <c r="Y16" s="3696"/>
      <c r="Z16" s="1354"/>
      <c r="AA16" s="1351">
        <v>1</v>
      </c>
      <c r="AB16" s="1351">
        <v>1</v>
      </c>
      <c r="AC16" s="1960">
        <v>1</v>
      </c>
    </row>
    <row r="17" spans="1:29" ht="92.25" customHeight="1">
      <c r="A17" s="379"/>
      <c r="B17" s="578" t="s">
        <v>1258</v>
      </c>
      <c r="C17" s="1961" t="str">
        <f>估价对象房地状况!C6</f>
        <v>估价对象周边道路状况较好、有300、368、652路等公交线路及地铁10号线经过，公共交通通达情况较好、停车便捷程度一般，综合评价交通便捷度较好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4"/>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960">
        <f t="shared" si="5"/>
        <v>1</v>
      </c>
    </row>
    <row r="18" spans="1:29" ht="15">
      <c r="A18" s="379"/>
      <c r="B18" s="579"/>
      <c r="C18" s="1962" t="s">
        <v>3514</v>
      </c>
      <c r="D18" s="401"/>
      <c r="E18" s="1962" t="s">
        <v>3514</v>
      </c>
      <c r="F18" s="401"/>
      <c r="G18" s="1962" t="s">
        <v>3514</v>
      </c>
      <c r="H18" s="399"/>
      <c r="I18" s="1962" t="s">
        <v>3514</v>
      </c>
      <c r="J18" s="399"/>
      <c r="K18" s="564"/>
      <c r="L18" s="2719"/>
      <c r="M18" s="2713"/>
      <c r="N18" s="2713"/>
      <c r="O18" s="2713"/>
      <c r="P18" s="3694"/>
      <c r="Q18" s="1350"/>
      <c r="R18" s="704"/>
      <c r="S18" s="705"/>
      <c r="T18" s="704"/>
      <c r="U18" s="705"/>
      <c r="V18" s="704"/>
      <c r="W18" s="705"/>
      <c r="X18" s="1353"/>
      <c r="Y18" s="3696"/>
      <c r="Z18" s="1354"/>
      <c r="AA18" s="1351">
        <v>1</v>
      </c>
      <c r="AB18" s="1351">
        <v>1</v>
      </c>
      <c r="AC18" s="1960">
        <v>1</v>
      </c>
    </row>
    <row r="19" spans="1:29" ht="28.5">
      <c r="A19" s="379"/>
      <c r="B19" s="578" t="s">
        <v>1811</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4"/>
      <c r="Q19" s="1350" t="str">
        <f>B19</f>
        <v>公共配套设施</v>
      </c>
      <c r="R19" s="704" t="s">
        <v>14</v>
      </c>
      <c r="S19" s="705">
        <f>F19</f>
        <v>100</v>
      </c>
      <c r="T19" s="704" t="s">
        <v>14</v>
      </c>
      <c r="U19" s="705">
        <f>H19</f>
        <v>100</v>
      </c>
      <c r="V19" s="704" t="s">
        <v>14</v>
      </c>
      <c r="W19" s="705">
        <f>J19</f>
        <v>100</v>
      </c>
      <c r="X19" s="1353"/>
      <c r="Y19" s="3696"/>
      <c r="Z19" s="1354" t="str">
        <f>Q19</f>
        <v>公共配套设施</v>
      </c>
      <c r="AA19" s="1351">
        <f t="shared" si="3"/>
        <v>1</v>
      </c>
      <c r="AB19" s="1351">
        <f t="shared" si="4"/>
        <v>1</v>
      </c>
      <c r="AC19" s="1960">
        <f t="shared" si="5"/>
        <v>1</v>
      </c>
    </row>
    <row r="20" spans="1:29" ht="15">
      <c r="A20" s="379"/>
      <c r="B20" s="579"/>
      <c r="C20" s="1902" t="s">
        <v>3514</v>
      </c>
      <c r="D20" s="399"/>
      <c r="E20" s="1902" t="s">
        <v>3514</v>
      </c>
      <c r="F20" s="399"/>
      <c r="G20" s="1902" t="s">
        <v>3514</v>
      </c>
      <c r="H20" s="399"/>
      <c r="I20" s="1902" t="s">
        <v>3514</v>
      </c>
      <c r="J20" s="399"/>
      <c r="K20" s="564"/>
      <c r="L20" s="2719"/>
      <c r="M20" s="2713"/>
      <c r="N20" s="2713"/>
      <c r="O20" s="2713"/>
      <c r="P20" s="3694"/>
      <c r="Q20" s="1350"/>
      <c r="R20" s="704"/>
      <c r="S20" s="705"/>
      <c r="T20" s="704"/>
      <c r="U20" s="705"/>
      <c r="V20" s="704"/>
      <c r="W20" s="705"/>
      <c r="X20" s="1353"/>
      <c r="Y20" s="3696"/>
      <c r="Z20" s="1354"/>
      <c r="AA20" s="1351">
        <v>1</v>
      </c>
      <c r="AB20" s="1351">
        <v>1</v>
      </c>
      <c r="AC20" s="1960">
        <v>1</v>
      </c>
    </row>
    <row r="21" spans="1:29" ht="28.5">
      <c r="A21" s="379"/>
      <c r="B21" s="580" t="s">
        <v>1812</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94"/>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960">
        <f t="shared" ref="AC21" si="10">D21/J21</f>
        <v>1</v>
      </c>
    </row>
    <row r="22" spans="1:29" ht="15">
      <c r="A22" s="379"/>
      <c r="B22" s="580"/>
      <c r="C22" s="1962" t="s">
        <v>3515</v>
      </c>
      <c r="D22" s="399"/>
      <c r="E22" s="1962" t="s">
        <v>3515</v>
      </c>
      <c r="F22" s="399"/>
      <c r="G22" s="1962" t="s">
        <v>3515</v>
      </c>
      <c r="H22" s="399"/>
      <c r="I22" s="1962" t="s">
        <v>3515</v>
      </c>
      <c r="J22" s="399"/>
      <c r="K22" s="1129"/>
      <c r="L22" s="2719"/>
      <c r="M22" s="2713"/>
      <c r="N22" s="2713"/>
      <c r="O22" s="2713"/>
      <c r="P22" s="3694"/>
      <c r="Q22" s="1350"/>
      <c r="R22" s="704"/>
      <c r="S22" s="705"/>
      <c r="T22" s="704"/>
      <c r="U22" s="705"/>
      <c r="V22" s="704"/>
      <c r="W22" s="705"/>
      <c r="X22" s="1353"/>
      <c r="Y22" s="3696"/>
      <c r="Z22" s="1354"/>
      <c r="AA22" s="1351">
        <v>1</v>
      </c>
      <c r="AB22" s="1351">
        <v>1</v>
      </c>
      <c r="AC22" s="1960">
        <v>1</v>
      </c>
    </row>
    <row r="23" spans="1:29" ht="75.75" customHeight="1">
      <c r="A23" s="379"/>
      <c r="B23" s="578" t="s">
        <v>1813</v>
      </c>
      <c r="C23" s="1961" t="str">
        <f>估价对象房地状况!C9</f>
        <v>区域自然环境：北京动物园、官园公园；人文环境：北京天文馆、北京建筑大学；综合评价环境状况邮编</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694"/>
      <c r="Q23" s="1350" t="str">
        <f>B23</f>
        <v>环境质量</v>
      </c>
      <c r="R23" s="704" t="s">
        <v>14</v>
      </c>
      <c r="S23" s="705">
        <f>F23</f>
        <v>100</v>
      </c>
      <c r="T23" s="704" t="s">
        <v>14</v>
      </c>
      <c r="U23" s="705">
        <f>H23</f>
        <v>100</v>
      </c>
      <c r="V23" s="704" t="s">
        <v>14</v>
      </c>
      <c r="W23" s="705">
        <f>J23</f>
        <v>100</v>
      </c>
      <c r="X23" s="1353"/>
      <c r="Y23" s="3696"/>
      <c r="Z23" s="1354" t="str">
        <f>Q23</f>
        <v>环境质量</v>
      </c>
      <c r="AA23" s="1351">
        <f t="shared" si="3"/>
        <v>1</v>
      </c>
      <c r="AB23" s="1351">
        <f t="shared" si="4"/>
        <v>1</v>
      </c>
      <c r="AC23" s="1960">
        <f t="shared" si="5"/>
        <v>1</v>
      </c>
    </row>
    <row r="24" spans="1:29" ht="15">
      <c r="A24" s="379"/>
      <c r="B24" s="580"/>
      <c r="C24" s="1902" t="s">
        <v>3514</v>
      </c>
      <c r="D24" s="399"/>
      <c r="E24" s="1902" t="s">
        <v>3514</v>
      </c>
      <c r="F24" s="399"/>
      <c r="G24" s="1902" t="s">
        <v>3514</v>
      </c>
      <c r="H24" s="399"/>
      <c r="I24" s="1902" t="s">
        <v>3514</v>
      </c>
      <c r="J24" s="399"/>
      <c r="K24" s="564"/>
      <c r="L24" s="2719"/>
      <c r="M24" s="2713"/>
      <c r="N24" s="2713"/>
      <c r="O24" s="2713"/>
      <c r="P24" s="3694"/>
      <c r="Q24" s="1350"/>
      <c r="R24" s="704"/>
      <c r="S24" s="705"/>
      <c r="T24" s="704"/>
      <c r="U24" s="705"/>
      <c r="V24" s="704"/>
      <c r="W24" s="705"/>
      <c r="X24" s="1353"/>
      <c r="Y24" s="3696"/>
      <c r="Z24" s="1354"/>
      <c r="AA24" s="1351">
        <v>1</v>
      </c>
      <c r="AB24" s="1351">
        <v>1</v>
      </c>
      <c r="AC24" s="1960">
        <v>1</v>
      </c>
    </row>
    <row r="25" spans="1:29" ht="27">
      <c r="A25" s="358"/>
      <c r="B25" s="578" t="s">
        <v>1814</v>
      </c>
      <c r="C25" s="3468" t="s">
        <v>3516</v>
      </c>
      <c r="D25" s="386">
        <v>100</v>
      </c>
      <c r="E25" s="3468" t="s">
        <v>3517</v>
      </c>
      <c r="F25" s="386">
        <f>SUMIF(87:87,E26,88:88)-SUMIF(87:87,C26,88:88)+100</f>
        <v>100</v>
      </c>
      <c r="G25" s="3468" t="s">
        <v>3518</v>
      </c>
      <c r="H25" s="386">
        <f>SUMIF(87:87,G26,88:88)-SUMIF(87:87,C26,88:88)+100</f>
        <v>100</v>
      </c>
      <c r="I25" s="3468" t="s">
        <v>3517</v>
      </c>
      <c r="J25" s="386">
        <f>SUMIF(87:87,I26,88:88)-SUMIF(87:87,C26,88:88)+100</f>
        <v>100</v>
      </c>
      <c r="K25" s="563">
        <v>2</v>
      </c>
      <c r="L25" s="2719"/>
      <c r="M25" s="2713"/>
      <c r="N25" s="2713"/>
      <c r="O25" s="2713"/>
      <c r="P25" s="3694"/>
      <c r="Q25" s="1350" t="str">
        <f>B25</f>
        <v>毗邻道路的类型与等级</v>
      </c>
      <c r="R25" s="704" t="s">
        <v>14</v>
      </c>
      <c r="S25" s="705">
        <f>F25</f>
        <v>100</v>
      </c>
      <c r="T25" s="704" t="s">
        <v>14</v>
      </c>
      <c r="U25" s="705">
        <f>H25</f>
        <v>100</v>
      </c>
      <c r="V25" s="704" t="s">
        <v>14</v>
      </c>
      <c r="W25" s="705">
        <f>J25</f>
        <v>100</v>
      </c>
      <c r="X25" s="1353"/>
      <c r="Y25" s="3696"/>
      <c r="Z25" s="1354" t="str">
        <f>Q25</f>
        <v>毗邻道路的类型与等级</v>
      </c>
      <c r="AA25" s="1351">
        <f t="shared" si="3"/>
        <v>1</v>
      </c>
      <c r="AB25" s="1351">
        <f t="shared" si="4"/>
        <v>1</v>
      </c>
      <c r="AC25" s="1960">
        <f t="shared" si="5"/>
        <v>1</v>
      </c>
    </row>
    <row r="26" spans="1:29" ht="15">
      <c r="A26" s="358"/>
      <c r="B26" s="579"/>
      <c r="C26" s="581" t="s">
        <v>3527</v>
      </c>
      <c r="D26" s="386"/>
      <c r="E26" s="581" t="s">
        <v>3527</v>
      </c>
      <c r="F26" s="386"/>
      <c r="G26" s="581" t="s">
        <v>3527</v>
      </c>
      <c r="H26" s="386"/>
      <c r="I26" s="581" t="s">
        <v>3527</v>
      </c>
      <c r="J26" s="386"/>
      <c r="K26" s="564"/>
      <c r="L26" s="2719"/>
      <c r="M26" s="2713"/>
      <c r="N26" s="2713"/>
      <c r="O26" s="2713"/>
      <c r="P26" s="3694"/>
      <c r="Q26" s="1350"/>
      <c r="R26" s="704"/>
      <c r="S26" s="705"/>
      <c r="T26" s="704"/>
      <c r="U26" s="705"/>
      <c r="V26" s="704"/>
      <c r="W26" s="705"/>
      <c r="X26" s="1353"/>
      <c r="Y26" s="3696"/>
      <c r="Z26" s="1354"/>
      <c r="AA26" s="1351">
        <v>1</v>
      </c>
      <c r="AB26" s="1351">
        <v>1</v>
      </c>
      <c r="AC26" s="1960">
        <v>1</v>
      </c>
    </row>
    <row r="27" spans="1:29" ht="15">
      <c r="A27" s="379"/>
      <c r="B27" s="579" t="s">
        <v>1782</v>
      </c>
      <c r="C27" s="581" t="s">
        <v>3528</v>
      </c>
      <c r="D27" s="386">
        <v>100</v>
      </c>
      <c r="E27" s="565" t="s">
        <v>3580</v>
      </c>
      <c r="F27" s="386">
        <f>SUMIF(89:89,E27,90:90)-SUMIF(89:89,C27,90:90)+100</f>
        <v>102</v>
      </c>
      <c r="G27" s="581" t="s">
        <v>3528</v>
      </c>
      <c r="H27" s="386">
        <f>SUMIF(89:89,G27,90:90)-SUMIF(89:89,C27,90:90)+100</f>
        <v>100</v>
      </c>
      <c r="I27" s="565" t="s">
        <v>3580</v>
      </c>
      <c r="J27" s="386">
        <f>SUMIF(89:89,I27,90:90)-SUMIF(89:89,C27,90:90)+100</f>
        <v>102</v>
      </c>
      <c r="K27" s="561">
        <v>2</v>
      </c>
      <c r="L27" s="2719"/>
      <c r="M27" s="2713"/>
      <c r="N27" s="2713"/>
      <c r="O27" s="2713"/>
      <c r="P27" s="3694"/>
      <c r="Q27" s="1350" t="str">
        <f t="shared" ref="Q27:Q47" si="11">B27</f>
        <v>楼层</v>
      </c>
      <c r="R27" s="704" t="s">
        <v>14</v>
      </c>
      <c r="S27" s="705">
        <f>F27</f>
        <v>102</v>
      </c>
      <c r="T27" s="704" t="s">
        <v>14</v>
      </c>
      <c r="U27" s="705">
        <f>H27</f>
        <v>100</v>
      </c>
      <c r="V27" s="704" t="s">
        <v>14</v>
      </c>
      <c r="W27" s="705">
        <f>J27</f>
        <v>102</v>
      </c>
      <c r="X27" s="1353"/>
      <c r="Y27" s="3696"/>
      <c r="Z27" s="1354" t="str">
        <f>Q27</f>
        <v>楼层</v>
      </c>
      <c r="AA27" s="1351">
        <f t="shared" si="3"/>
        <v>0.98039215686274506</v>
      </c>
      <c r="AB27" s="1351">
        <f t="shared" si="4"/>
        <v>1</v>
      </c>
      <c r="AC27" s="1960">
        <f t="shared" si="5"/>
        <v>0.98039215686274506</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94"/>
      <c r="Q28" s="1341" t="str">
        <f t="shared" si="11"/>
        <v>朝向</v>
      </c>
      <c r="R28" s="700" t="s">
        <v>14</v>
      </c>
      <c r="S28" s="701">
        <f>F28</f>
        <v>100</v>
      </c>
      <c r="T28" s="700" t="s">
        <v>14</v>
      </c>
      <c r="U28" s="701">
        <f>H28</f>
        <v>100</v>
      </c>
      <c r="V28" s="700" t="s">
        <v>14</v>
      </c>
      <c r="W28" s="701">
        <f>J28</f>
        <v>100</v>
      </c>
      <c r="X28" s="702"/>
      <c r="Y28" s="369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94"/>
      <c r="Q29" s="1350">
        <f t="shared" si="11"/>
        <v>111</v>
      </c>
      <c r="R29" s="704" t="s">
        <v>14</v>
      </c>
      <c r="S29" s="705">
        <f t="shared" ref="S29:S47" si="12">F29</f>
        <v>100</v>
      </c>
      <c r="T29" s="704" t="s">
        <v>14</v>
      </c>
      <c r="U29" s="705">
        <f t="shared" ref="U29:U47" si="13">H29</f>
        <v>100</v>
      </c>
      <c r="V29" s="704" t="s">
        <v>14</v>
      </c>
      <c r="W29" s="705">
        <f t="shared" ref="W29:W47" si="14">J29</f>
        <v>100</v>
      </c>
      <c r="X29" s="1353"/>
      <c r="Y29" s="369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94"/>
      <c r="Q30" s="1350">
        <f t="shared" si="11"/>
        <v>111</v>
      </c>
      <c r="R30" s="704" t="s">
        <v>14</v>
      </c>
      <c r="S30" s="705">
        <f t="shared" si="12"/>
        <v>100</v>
      </c>
      <c r="T30" s="704" t="s">
        <v>14</v>
      </c>
      <c r="U30" s="705">
        <f t="shared" si="13"/>
        <v>100</v>
      </c>
      <c r="V30" s="704" t="s">
        <v>14</v>
      </c>
      <c r="W30" s="705">
        <f t="shared" si="14"/>
        <v>100</v>
      </c>
      <c r="X30" s="1353"/>
      <c r="Y30" s="369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94"/>
      <c r="Q31" s="1350">
        <f t="shared" si="11"/>
        <v>111</v>
      </c>
      <c r="R31" s="704" t="s">
        <v>14</v>
      </c>
      <c r="S31" s="705">
        <f t="shared" si="12"/>
        <v>100</v>
      </c>
      <c r="T31" s="704" t="s">
        <v>14</v>
      </c>
      <c r="U31" s="705">
        <f t="shared" si="13"/>
        <v>100</v>
      </c>
      <c r="V31" s="704" t="s">
        <v>14</v>
      </c>
      <c r="W31" s="705">
        <f t="shared" si="14"/>
        <v>100</v>
      </c>
      <c r="X31" s="1353"/>
      <c r="Y31" s="3696"/>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94"/>
      <c r="Q32" s="1350">
        <f t="shared" si="11"/>
        <v>111</v>
      </c>
      <c r="R32" s="704" t="s">
        <v>14</v>
      </c>
      <c r="S32" s="705">
        <f t="shared" si="12"/>
        <v>100</v>
      </c>
      <c r="T32" s="704" t="s">
        <v>14</v>
      </c>
      <c r="U32" s="705">
        <f t="shared" si="13"/>
        <v>100</v>
      </c>
      <c r="V32" s="704" t="s">
        <v>14</v>
      </c>
      <c r="W32" s="705">
        <f t="shared" si="14"/>
        <v>100</v>
      </c>
      <c r="X32" s="1353"/>
      <c r="Y32" s="3696"/>
      <c r="Z32" s="1354">
        <f t="shared" si="15"/>
        <v>111</v>
      </c>
      <c r="AA32" s="1351">
        <f t="shared" si="3"/>
        <v>1</v>
      </c>
      <c r="AB32" s="1351">
        <f t="shared" si="4"/>
        <v>1</v>
      </c>
      <c r="AC32" s="1960">
        <f t="shared" si="5"/>
        <v>1</v>
      </c>
    </row>
    <row r="33" spans="1:29" ht="15">
      <c r="A33" s="391" t="s">
        <v>1693</v>
      </c>
      <c r="B33" s="63" t="s">
        <v>1816</v>
      </c>
      <c r="C33" s="1965" t="s">
        <v>3566</v>
      </c>
      <c r="D33" s="418">
        <v>100</v>
      </c>
      <c r="E33" s="1965" t="s">
        <v>3566</v>
      </c>
      <c r="F33" s="412">
        <f>SUMIF(101:101,E33,102:102)-SUMIF(101:101,C33,102:102)+100</f>
        <v>100</v>
      </c>
      <c r="G33" s="1965" t="s">
        <v>3566</v>
      </c>
      <c r="H33" s="386">
        <f>SUMIF(101:101,G33,102:102)-SUMIF(101:101,C33,102:102)+100</f>
        <v>100</v>
      </c>
      <c r="I33" s="1965" t="s">
        <v>3566</v>
      </c>
      <c r="J33" s="418">
        <f>SUMIF(101:101,I33,102:102)-SUMIF(101:101,C33,102:102)+100</f>
        <v>100</v>
      </c>
      <c r="K33" s="561">
        <v>3</v>
      </c>
      <c r="L33" s="2719"/>
      <c r="M33" s="2713"/>
      <c r="N33" s="2713"/>
      <c r="O33" s="2713"/>
      <c r="P33" s="3697" t="s">
        <v>1695</v>
      </c>
      <c r="Q33" s="1350" t="str">
        <f t="shared" si="11"/>
        <v>建筑类型</v>
      </c>
      <c r="R33" s="704" t="s">
        <v>14</v>
      </c>
      <c r="S33" s="705">
        <f t="shared" si="12"/>
        <v>100</v>
      </c>
      <c r="T33" s="704" t="s">
        <v>14</v>
      </c>
      <c r="U33" s="705">
        <f t="shared" si="13"/>
        <v>100</v>
      </c>
      <c r="V33" s="704" t="s">
        <v>14</v>
      </c>
      <c r="W33" s="705">
        <f t="shared" si="14"/>
        <v>100</v>
      </c>
      <c r="X33" s="1353"/>
      <c r="Y33" s="3700"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1216.6500000000001</v>
      </c>
      <c r="D34" s="127">
        <v>100</v>
      </c>
      <c r="E34" s="381">
        <v>109.06</v>
      </c>
      <c r="F34" s="376">
        <f>LOOKUP(E34,104:104,105:105)-LOOKUP(C34,104:104,105:105)+100</f>
        <v>101</v>
      </c>
      <c r="G34" s="380">
        <v>85</v>
      </c>
      <c r="H34" s="127">
        <f>LOOKUP(G34,104:104,105:105)-LOOKUP(C34,104:104,105:105)+100</f>
        <v>100</v>
      </c>
      <c r="I34" s="380">
        <v>108.47</v>
      </c>
      <c r="J34" s="127">
        <f>LOOKUP(I34,104:104,105:105)-LOOKUP(C34,104:104,105:105)+100</f>
        <v>101</v>
      </c>
      <c r="K34" s="562"/>
      <c r="L34" s="2718"/>
      <c r="M34" s="2720"/>
      <c r="N34" s="2720"/>
      <c r="O34" s="2720"/>
      <c r="P34" s="3698"/>
      <c r="Q34" s="706" t="str">
        <f t="shared" si="11"/>
        <v>项目建筑规模</v>
      </c>
      <c r="R34" s="707" t="s">
        <v>14</v>
      </c>
      <c r="S34" s="708">
        <f t="shared" si="12"/>
        <v>101</v>
      </c>
      <c r="T34" s="707" t="s">
        <v>14</v>
      </c>
      <c r="U34" s="708">
        <f t="shared" si="13"/>
        <v>100</v>
      </c>
      <c r="V34" s="707" t="s">
        <v>14</v>
      </c>
      <c r="W34" s="708">
        <f t="shared" si="14"/>
        <v>101</v>
      </c>
      <c r="X34" s="709"/>
      <c r="Y34" s="3700"/>
      <c r="Z34" s="710" t="str">
        <f t="shared" si="15"/>
        <v>项目建筑规模</v>
      </c>
      <c r="AA34" s="1351">
        <f t="shared" si="3"/>
        <v>0.99009900990099009</v>
      </c>
      <c r="AB34" s="1351">
        <f t="shared" si="4"/>
        <v>1</v>
      </c>
      <c r="AC34" s="1960">
        <f t="shared" si="5"/>
        <v>0.99009900990099009</v>
      </c>
    </row>
    <row r="35" spans="1:29" ht="15">
      <c r="A35" s="423"/>
      <c r="B35" s="375" t="s">
        <v>1697</v>
      </c>
      <c r="C35" s="411" t="s">
        <v>3567</v>
      </c>
      <c r="D35" s="386">
        <v>100</v>
      </c>
      <c r="E35" s="411" t="s">
        <v>3567</v>
      </c>
      <c r="F35" s="412">
        <f>SUMIF(106:106,E35,107:107)-SUMIF(106:106,C35,107:107)+100</f>
        <v>100</v>
      </c>
      <c r="G35" s="411" t="s">
        <v>3567</v>
      </c>
      <c r="H35" s="386">
        <f>SUMIF(106:106,G35,107:107)-SUMIF(106:106,C35,107:107)+100</f>
        <v>100</v>
      </c>
      <c r="I35" s="411" t="s">
        <v>3567</v>
      </c>
      <c r="J35" s="386">
        <f>SUMIF(106:106,I35,107:107)-SUMIF(106:106,C35,107:107)+100</f>
        <v>100</v>
      </c>
      <c r="K35" s="561">
        <v>2</v>
      </c>
      <c r="L35" s="2719"/>
      <c r="M35" s="2713"/>
      <c r="N35" s="2713"/>
      <c r="O35" s="2713"/>
      <c r="P35" s="3698"/>
      <c r="Q35" s="1350" t="str">
        <f t="shared" si="11"/>
        <v>建筑结构</v>
      </c>
      <c r="R35" s="704" t="s">
        <v>14</v>
      </c>
      <c r="S35" s="705">
        <f t="shared" si="12"/>
        <v>100</v>
      </c>
      <c r="T35" s="704" t="s">
        <v>14</v>
      </c>
      <c r="U35" s="705">
        <f t="shared" si="13"/>
        <v>100</v>
      </c>
      <c r="V35" s="704" t="s">
        <v>14</v>
      </c>
      <c r="W35" s="705">
        <f t="shared" si="14"/>
        <v>100</v>
      </c>
      <c r="X35" s="1353"/>
      <c r="Y35" s="3700"/>
      <c r="Z35" s="1354" t="str">
        <f t="shared" si="15"/>
        <v>建筑结构</v>
      </c>
      <c r="AA35" s="1351">
        <f t="shared" si="3"/>
        <v>1</v>
      </c>
      <c r="AB35" s="1351">
        <f t="shared" si="4"/>
        <v>1</v>
      </c>
      <c r="AC35" s="1960">
        <f t="shared" si="5"/>
        <v>1</v>
      </c>
    </row>
    <row r="36" spans="1:29" ht="15">
      <c r="A36" s="423"/>
      <c r="B36" s="375" t="s">
        <v>1784</v>
      </c>
      <c r="C36" s="411" t="s">
        <v>3568</v>
      </c>
      <c r="D36" s="386">
        <v>100</v>
      </c>
      <c r="E36" s="411" t="s">
        <v>3568</v>
      </c>
      <c r="F36" s="412">
        <f>SUMIF(108:108,E36,109:109)-SUMIF(108:108,C36,109:109)+100</f>
        <v>100</v>
      </c>
      <c r="G36" s="411" t="s">
        <v>3568</v>
      </c>
      <c r="H36" s="386">
        <f>SUMIF(108:108,G36,109:109)-SUMIF(108:108,C36,109:109)+100</f>
        <v>100</v>
      </c>
      <c r="I36" s="411" t="s">
        <v>3568</v>
      </c>
      <c r="J36" s="386">
        <f>SUMIF(108:108,I36,109:109)-SUMIF(108:108,C36,109:109)+100</f>
        <v>100</v>
      </c>
      <c r="K36" s="561">
        <v>3</v>
      </c>
      <c r="L36" s="2719"/>
      <c r="M36" s="2713"/>
      <c r="N36" s="2713"/>
      <c r="O36" s="2713"/>
      <c r="P36" s="3698"/>
      <c r="Q36" s="1350" t="str">
        <f t="shared" si="11"/>
        <v>公共部分装修</v>
      </c>
      <c r="R36" s="704" t="s">
        <v>14</v>
      </c>
      <c r="S36" s="705">
        <f t="shared" si="12"/>
        <v>100</v>
      </c>
      <c r="T36" s="704" t="s">
        <v>14</v>
      </c>
      <c r="U36" s="705">
        <f t="shared" si="13"/>
        <v>100</v>
      </c>
      <c r="V36" s="704" t="s">
        <v>14</v>
      </c>
      <c r="W36" s="705">
        <f t="shared" si="14"/>
        <v>100</v>
      </c>
      <c r="X36" s="1353"/>
      <c r="Y36" s="3700"/>
      <c r="Z36" s="1354" t="str">
        <f t="shared" si="15"/>
        <v>公共部分装修</v>
      </c>
      <c r="AA36" s="1351">
        <f t="shared" si="3"/>
        <v>1</v>
      </c>
      <c r="AB36" s="1351">
        <f t="shared" si="4"/>
        <v>1</v>
      </c>
      <c r="AC36" s="1960">
        <f t="shared" si="5"/>
        <v>1</v>
      </c>
    </row>
    <row r="37" spans="1:29" ht="15">
      <c r="A37" s="423"/>
      <c r="B37" s="375" t="s">
        <v>1785</v>
      </c>
      <c r="C37" s="3474">
        <f>'数据-取费表'!N6</f>
        <v>0.75</v>
      </c>
      <c r="D37" s="386">
        <v>100</v>
      </c>
      <c r="E37" s="3474">
        <f>C37</f>
        <v>0.75</v>
      </c>
      <c r="F37" s="412">
        <f>LOOKUP(E37,111:111,112:112)-LOOKUP(C37,111:111,112:112)+100</f>
        <v>100</v>
      </c>
      <c r="G37" s="3474">
        <f>E37</f>
        <v>0.75</v>
      </c>
      <c r="H37" s="412">
        <f>LOOKUP(G37,111:111,112:112)-LOOKUP(C37,111:111,112:112)+100</f>
        <v>100</v>
      </c>
      <c r="I37" s="3474">
        <f>G37</f>
        <v>0.75</v>
      </c>
      <c r="J37" s="386">
        <f>LOOKUP(I37,111:111,112:112)-LOOKUP(C37,111:111,112:112)+100</f>
        <v>100</v>
      </c>
      <c r="K37" s="561">
        <v>1</v>
      </c>
      <c r="L37" s="2719"/>
      <c r="M37" s="2713"/>
      <c r="N37" s="2713"/>
      <c r="O37" s="2713"/>
      <c r="P37" s="3698"/>
      <c r="Q37" s="1350" t="str">
        <f t="shared" si="11"/>
        <v>成新度</v>
      </c>
      <c r="R37" s="704" t="s">
        <v>14</v>
      </c>
      <c r="S37" s="705">
        <f t="shared" si="12"/>
        <v>100</v>
      </c>
      <c r="T37" s="704" t="s">
        <v>14</v>
      </c>
      <c r="U37" s="705">
        <f t="shared" si="13"/>
        <v>100</v>
      </c>
      <c r="V37" s="704" t="s">
        <v>14</v>
      </c>
      <c r="W37" s="705">
        <f t="shared" si="14"/>
        <v>100</v>
      </c>
      <c r="X37" s="1353"/>
      <c r="Y37" s="3700"/>
      <c r="Z37" s="1354" t="str">
        <f t="shared" si="15"/>
        <v>成新度</v>
      </c>
      <c r="AA37" s="1351">
        <f t="shared" si="3"/>
        <v>1</v>
      </c>
      <c r="AB37" s="1351">
        <f t="shared" si="4"/>
        <v>1</v>
      </c>
      <c r="AC37" s="1960">
        <f t="shared" si="5"/>
        <v>1</v>
      </c>
    </row>
    <row r="38" spans="1:29" s="108" customFormat="1" ht="15">
      <c r="A38" s="424"/>
      <c r="B38" s="375" t="s">
        <v>1817</v>
      </c>
      <c r="C38" s="411" t="s">
        <v>3569</v>
      </c>
      <c r="D38" s="127">
        <v>100</v>
      </c>
      <c r="E38" s="411" t="s">
        <v>3569</v>
      </c>
      <c r="F38" s="412">
        <f>SUMIF(113:113,E38,114:114)-SUMIF(113:113,C38,114:114)+100</f>
        <v>100</v>
      </c>
      <c r="G38" s="411" t="s">
        <v>3569</v>
      </c>
      <c r="H38" s="386">
        <f>SUMIF(113:113,G38,114:114)-SUMIF(113:113,C38,114:114)+100</f>
        <v>100</v>
      </c>
      <c r="I38" s="411" t="s">
        <v>3569</v>
      </c>
      <c r="J38" s="386">
        <f>SUMIF(113:113,I38,114:114)-SUMIF(113:113,C38,114:114)+100</f>
        <v>100</v>
      </c>
      <c r="K38" s="561">
        <v>2</v>
      </c>
      <c r="L38" s="2714"/>
      <c r="M38" s="2715"/>
      <c r="N38" s="2715"/>
      <c r="O38" s="2715"/>
      <c r="P38" s="3698"/>
      <c r="Q38" s="1341" t="str">
        <f t="shared" si="11"/>
        <v>写字楼等级</v>
      </c>
      <c r="R38" s="700" t="s">
        <v>14</v>
      </c>
      <c r="S38" s="701">
        <f t="shared" si="12"/>
        <v>100</v>
      </c>
      <c r="T38" s="700" t="s">
        <v>14</v>
      </c>
      <c r="U38" s="701">
        <f t="shared" si="13"/>
        <v>100</v>
      </c>
      <c r="V38" s="700" t="s">
        <v>14</v>
      </c>
      <c r="W38" s="701">
        <f t="shared" si="14"/>
        <v>100</v>
      </c>
      <c r="X38" s="702"/>
      <c r="Y38" s="3700"/>
      <c r="Z38" s="52" t="str">
        <f t="shared" si="15"/>
        <v>写字楼等级</v>
      </c>
      <c r="AA38" s="703">
        <f t="shared" si="3"/>
        <v>1</v>
      </c>
      <c r="AB38" s="703">
        <f t="shared" si="4"/>
        <v>1</v>
      </c>
      <c r="AC38" s="1957">
        <f t="shared" si="5"/>
        <v>1</v>
      </c>
    </row>
    <row r="39" spans="1:29" ht="15">
      <c r="A39" s="423"/>
      <c r="B39" s="375" t="s">
        <v>1818</v>
      </c>
      <c r="C39" s="411" t="s">
        <v>3570</v>
      </c>
      <c r="D39" s="386">
        <v>100</v>
      </c>
      <c r="E39" s="411" t="s">
        <v>3570</v>
      </c>
      <c r="F39" s="412">
        <f>SUMIF(115:115,E39,116:116)-SUMIF(115:115,C39,116:116)+100</f>
        <v>100</v>
      </c>
      <c r="G39" s="411" t="s">
        <v>3570</v>
      </c>
      <c r="H39" s="386">
        <f>SUMIF(115:115,G39,116:116)-SUMIF(115:115,C39,116:116)+100</f>
        <v>100</v>
      </c>
      <c r="I39" s="411" t="s">
        <v>3570</v>
      </c>
      <c r="J39" s="386">
        <f>SUMIF(115:115,I39,116:116)-SUMIF(115:115,C39,116:116)+100</f>
        <v>100</v>
      </c>
      <c r="K39" s="561">
        <v>2</v>
      </c>
      <c r="L39" s="2719"/>
      <c r="M39" s="2713"/>
      <c r="N39" s="2713"/>
      <c r="O39" s="2713"/>
      <c r="P39" s="3698" t="s">
        <v>1695</v>
      </c>
      <c r="Q39" s="1350" t="str">
        <f t="shared" si="11"/>
        <v>物业管理</v>
      </c>
      <c r="R39" s="704" t="s">
        <v>14</v>
      </c>
      <c r="S39" s="705">
        <f t="shared" si="12"/>
        <v>100</v>
      </c>
      <c r="T39" s="704" t="s">
        <v>14</v>
      </c>
      <c r="U39" s="705">
        <f t="shared" si="13"/>
        <v>100</v>
      </c>
      <c r="V39" s="704" t="s">
        <v>14</v>
      </c>
      <c r="W39" s="705">
        <f t="shared" si="14"/>
        <v>100</v>
      </c>
      <c r="X39" s="1353"/>
      <c r="Y39" s="3700" t="s">
        <v>1695</v>
      </c>
      <c r="Z39" s="1354" t="str">
        <f t="shared" si="15"/>
        <v>物业管理</v>
      </c>
      <c r="AA39" s="1351">
        <f t="shared" si="3"/>
        <v>1</v>
      </c>
      <c r="AB39" s="1351">
        <f t="shared" si="4"/>
        <v>1</v>
      </c>
      <c r="AC39" s="1960">
        <f t="shared" si="5"/>
        <v>1</v>
      </c>
    </row>
    <row r="40" spans="1:29" ht="15">
      <c r="A40" s="423"/>
      <c r="B40" s="375" t="s">
        <v>1786</v>
      </c>
      <c r="C40" s="411" t="s">
        <v>3571</v>
      </c>
      <c r="D40" s="386">
        <v>100</v>
      </c>
      <c r="E40" s="411" t="s">
        <v>3571</v>
      </c>
      <c r="F40" s="412">
        <f>SUMIF(117:117,E40,118:118)-SUMIF(117:117,C40,118:118)+100</f>
        <v>100</v>
      </c>
      <c r="G40" s="411" t="s">
        <v>3571</v>
      </c>
      <c r="H40" s="386">
        <f>SUMIF(117:117,G40,118:118)-SUMIF(117:117,C40,118:118)+100</f>
        <v>100</v>
      </c>
      <c r="I40" s="411" t="s">
        <v>3571</v>
      </c>
      <c r="J40" s="386">
        <f>SUMIF(117:117,I40,118:118)-SUMIF(117:117,C40,118:118)+100</f>
        <v>100</v>
      </c>
      <c r="K40" s="561">
        <v>1</v>
      </c>
      <c r="L40" s="2719"/>
      <c r="M40" s="2713"/>
      <c r="N40" s="2713"/>
      <c r="O40" s="2713"/>
      <c r="P40" s="3698"/>
      <c r="Q40" s="1350" t="str">
        <f t="shared" si="11"/>
        <v>市政基础设施</v>
      </c>
      <c r="R40" s="704" t="s">
        <v>14</v>
      </c>
      <c r="S40" s="705">
        <f t="shared" si="12"/>
        <v>100</v>
      </c>
      <c r="T40" s="704" t="s">
        <v>14</v>
      </c>
      <c r="U40" s="705">
        <f t="shared" si="13"/>
        <v>100</v>
      </c>
      <c r="V40" s="704" t="s">
        <v>14</v>
      </c>
      <c r="W40" s="705">
        <f t="shared" si="14"/>
        <v>100</v>
      </c>
      <c r="X40" s="1353"/>
      <c r="Y40" s="3700"/>
      <c r="Z40" s="1354" t="str">
        <f t="shared" si="15"/>
        <v>市政基础设施</v>
      </c>
      <c r="AA40" s="1351">
        <f t="shared" si="3"/>
        <v>1</v>
      </c>
      <c r="AB40" s="1351">
        <f t="shared" si="4"/>
        <v>1</v>
      </c>
      <c r="AC40" s="1960">
        <f t="shared" si="5"/>
        <v>1</v>
      </c>
    </row>
    <row r="41" spans="1:29" ht="15">
      <c r="A41" s="423"/>
      <c r="B41" s="375" t="s">
        <v>1788</v>
      </c>
      <c r="C41" s="565" t="s">
        <v>3572</v>
      </c>
      <c r="D41" s="386">
        <v>100</v>
      </c>
      <c r="E41" s="565" t="s">
        <v>3572</v>
      </c>
      <c r="F41" s="412">
        <f>SUMIF(119:119,E41,120:120)-SUMIF(119:119,C41,120:120)+100</f>
        <v>100</v>
      </c>
      <c r="G41" s="565" t="s">
        <v>3572</v>
      </c>
      <c r="H41" s="386">
        <f>SUMIF(119:119,G41,120:120)-SUMIF(119:119,C41,120:120)+100</f>
        <v>100</v>
      </c>
      <c r="I41" s="565" t="s">
        <v>3572</v>
      </c>
      <c r="J41" s="386">
        <f>SUMIF(119:119,I41,120:120)-SUMIF(119:119,C41,120:120)+100</f>
        <v>100</v>
      </c>
      <c r="K41" s="561">
        <v>3</v>
      </c>
      <c r="L41" s="2719"/>
      <c r="M41" s="2713"/>
      <c r="N41" s="2713"/>
      <c r="O41" s="2713"/>
      <c r="P41" s="3698"/>
      <c r="Q41" s="1350" t="str">
        <f t="shared" si="11"/>
        <v>层高</v>
      </c>
      <c r="R41" s="704" t="s">
        <v>14</v>
      </c>
      <c r="S41" s="705">
        <f t="shared" si="12"/>
        <v>100</v>
      </c>
      <c r="T41" s="704" t="s">
        <v>14</v>
      </c>
      <c r="U41" s="705">
        <f t="shared" si="13"/>
        <v>100</v>
      </c>
      <c r="V41" s="704" t="s">
        <v>14</v>
      </c>
      <c r="W41" s="705">
        <f t="shared" si="14"/>
        <v>100</v>
      </c>
      <c r="X41" s="1353"/>
      <c r="Y41" s="3700"/>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8"/>
      <c r="Q42" s="706" t="str">
        <f t="shared" si="11"/>
        <v>单套建筑面积</v>
      </c>
      <c r="R42" s="707" t="s">
        <v>14</v>
      </c>
      <c r="S42" s="708">
        <f t="shared" si="12"/>
        <v>100</v>
      </c>
      <c r="T42" s="707" t="s">
        <v>14</v>
      </c>
      <c r="U42" s="708">
        <f t="shared" si="13"/>
        <v>100</v>
      </c>
      <c r="V42" s="707" t="s">
        <v>14</v>
      </c>
      <c r="W42" s="708">
        <f t="shared" si="14"/>
        <v>100</v>
      </c>
      <c r="X42" s="709"/>
      <c r="Y42" s="3700"/>
      <c r="Z42" s="710" t="str">
        <f t="shared" si="15"/>
        <v>单套建筑面积</v>
      </c>
      <c r="AA42" s="1351">
        <f t="shared" si="3"/>
        <v>1</v>
      </c>
      <c r="AB42" s="1351">
        <f t="shared" si="4"/>
        <v>1</v>
      </c>
      <c r="AC42" s="1960">
        <f t="shared" si="5"/>
        <v>1</v>
      </c>
    </row>
    <row r="43" spans="1:29" ht="15">
      <c r="A43" s="423"/>
      <c r="B43" s="375" t="s">
        <v>1791</v>
      </c>
      <c r="C43" s="411" t="s">
        <v>3573</v>
      </c>
      <c r="D43" s="386">
        <v>100</v>
      </c>
      <c r="E43" s="411" t="s">
        <v>3573</v>
      </c>
      <c r="F43" s="412">
        <f>SUMIF(123:123,E43,124:124)-SUMIF(123:123,C43,124:124)+100</f>
        <v>100</v>
      </c>
      <c r="G43" s="411" t="s">
        <v>3573</v>
      </c>
      <c r="H43" s="386">
        <f>SUMIF(123:123,G43,124:124)-SUMIF(123:123,C43,124:124)+100</f>
        <v>100</v>
      </c>
      <c r="I43" s="411" t="s">
        <v>3573</v>
      </c>
      <c r="J43" s="386">
        <f>SUMIF(123:123,I43,124:124)-SUMIF(123:123,C43,124:124)+100</f>
        <v>100</v>
      </c>
      <c r="K43" s="561">
        <v>1</v>
      </c>
      <c r="L43" s="2719"/>
      <c r="M43" s="2713"/>
      <c r="N43" s="2713"/>
      <c r="O43" s="2713"/>
      <c r="P43" s="3698"/>
      <c r="Q43" s="1350" t="str">
        <f t="shared" si="11"/>
        <v>内部装修</v>
      </c>
      <c r="R43" s="704" t="s">
        <v>14</v>
      </c>
      <c r="S43" s="705">
        <f t="shared" si="12"/>
        <v>100</v>
      </c>
      <c r="T43" s="704" t="s">
        <v>14</v>
      </c>
      <c r="U43" s="705">
        <f t="shared" si="13"/>
        <v>100</v>
      </c>
      <c r="V43" s="704" t="s">
        <v>14</v>
      </c>
      <c r="W43" s="705">
        <f t="shared" si="14"/>
        <v>100</v>
      </c>
      <c r="X43" s="1353"/>
      <c r="Y43" s="3700"/>
      <c r="Z43" s="1354" t="str">
        <f t="shared" si="15"/>
        <v>内部装修</v>
      </c>
      <c r="AA43" s="1351">
        <f t="shared" si="3"/>
        <v>1</v>
      </c>
      <c r="AB43" s="1351">
        <f t="shared" si="4"/>
        <v>1</v>
      </c>
      <c r="AC43" s="1960">
        <f t="shared" si="5"/>
        <v>1</v>
      </c>
    </row>
    <row r="44" spans="1:29" ht="15">
      <c r="A44" s="423"/>
      <c r="B44" s="375" t="s">
        <v>1706</v>
      </c>
      <c r="C44" s="411" t="s">
        <v>3514</v>
      </c>
      <c r="D44" s="386">
        <v>100</v>
      </c>
      <c r="E44" s="411" t="s">
        <v>3514</v>
      </c>
      <c r="F44" s="412">
        <f>SUMIF(125:125,E44,126:126)-SUMIF(125:125,C44,126:126)+100</f>
        <v>100</v>
      </c>
      <c r="G44" s="411" t="s">
        <v>3514</v>
      </c>
      <c r="H44" s="386">
        <f>SUMIF(125:125,G44,126:126)-SUMIF(125:125,C44,126:126)+100</f>
        <v>100</v>
      </c>
      <c r="I44" s="411" t="s">
        <v>3514</v>
      </c>
      <c r="J44" s="386">
        <f>SUMIF(125:125,I44,126:126)-SUMIF(125:125,C44,126:126)+100</f>
        <v>100</v>
      </c>
      <c r="K44" s="561">
        <v>2</v>
      </c>
      <c r="L44" s="2719"/>
      <c r="M44" s="2713"/>
      <c r="N44" s="2713"/>
      <c r="O44" s="2713"/>
      <c r="P44" s="3698"/>
      <c r="Q44" s="1350" t="str">
        <f t="shared" si="11"/>
        <v>内部装修维护情况</v>
      </c>
      <c r="R44" s="704" t="s">
        <v>14</v>
      </c>
      <c r="S44" s="705">
        <f t="shared" si="12"/>
        <v>100</v>
      </c>
      <c r="T44" s="704" t="s">
        <v>14</v>
      </c>
      <c r="U44" s="705">
        <f t="shared" si="13"/>
        <v>100</v>
      </c>
      <c r="V44" s="704" t="s">
        <v>14</v>
      </c>
      <c r="W44" s="705">
        <f t="shared" si="14"/>
        <v>100</v>
      </c>
      <c r="X44" s="1353"/>
      <c r="Y44" s="3700"/>
      <c r="Z44" s="1354" t="str">
        <f t="shared" si="15"/>
        <v>内部装修维护情况</v>
      </c>
      <c r="AA44" s="1351">
        <f t="shared" si="3"/>
        <v>1</v>
      </c>
      <c r="AB44" s="1351">
        <f t="shared" si="4"/>
        <v>1</v>
      </c>
      <c r="AC44" s="1960">
        <f t="shared" si="5"/>
        <v>1</v>
      </c>
    </row>
    <row r="45" spans="1:29" s="108" customFormat="1" ht="15">
      <c r="A45" s="424"/>
      <c r="B45" s="3477" t="s">
        <v>3590</v>
      </c>
      <c r="C45" s="3478" t="s">
        <v>3591</v>
      </c>
      <c r="D45" s="127">
        <v>100</v>
      </c>
      <c r="E45" s="3478" t="s">
        <v>3591</v>
      </c>
      <c r="F45" s="376">
        <f>SUMIF(127:127,E45,128:128)-SUMIF(127:127,C45,128:128)+100</f>
        <v>100</v>
      </c>
      <c r="G45" s="3478" t="s">
        <v>3591</v>
      </c>
      <c r="H45" s="127">
        <f>SUMIF(127:127,G45,128:128)-SUMIF(127:127,C45,128:128)+100</f>
        <v>100</v>
      </c>
      <c r="I45" s="3478" t="s">
        <v>3591</v>
      </c>
      <c r="J45" s="127">
        <f>SUMIF(127:127,I45,128:128)-SUMIF(127:127,C45,128:128)+100</f>
        <v>100</v>
      </c>
      <c r="K45" s="562"/>
      <c r="L45" s="2714"/>
      <c r="M45" s="2715"/>
      <c r="N45" s="2715"/>
      <c r="O45" s="2715"/>
      <c r="P45" s="3698"/>
      <c r="Q45" s="1341" t="str">
        <f t="shared" si="11"/>
        <v>现状用途</v>
      </c>
      <c r="R45" s="700" t="s">
        <v>14</v>
      </c>
      <c r="S45" s="701">
        <f t="shared" si="12"/>
        <v>100</v>
      </c>
      <c r="T45" s="700" t="s">
        <v>14</v>
      </c>
      <c r="U45" s="701">
        <f t="shared" si="13"/>
        <v>100</v>
      </c>
      <c r="V45" s="700" t="s">
        <v>14</v>
      </c>
      <c r="W45" s="701">
        <f t="shared" si="14"/>
        <v>100</v>
      </c>
      <c r="X45" s="702"/>
      <c r="Y45" s="3700"/>
      <c r="Z45" s="52" t="str">
        <f t="shared" si="15"/>
        <v>现状用途</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8"/>
      <c r="Q46" s="1350">
        <f t="shared" si="11"/>
        <v>111</v>
      </c>
      <c r="R46" s="704" t="s">
        <v>14</v>
      </c>
      <c r="S46" s="705">
        <f t="shared" si="12"/>
        <v>100</v>
      </c>
      <c r="T46" s="704" t="s">
        <v>14</v>
      </c>
      <c r="U46" s="705">
        <f t="shared" si="13"/>
        <v>100</v>
      </c>
      <c r="V46" s="704" t="s">
        <v>14</v>
      </c>
      <c r="W46" s="705">
        <f t="shared" si="14"/>
        <v>100</v>
      </c>
      <c r="X46" s="1353"/>
      <c r="Y46" s="370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9"/>
      <c r="Q47" s="1350">
        <f t="shared" si="11"/>
        <v>111</v>
      </c>
      <c r="R47" s="704" t="s">
        <v>14</v>
      </c>
      <c r="S47" s="705">
        <f t="shared" si="12"/>
        <v>100</v>
      </c>
      <c r="T47" s="704" t="s">
        <v>14</v>
      </c>
      <c r="U47" s="705">
        <f t="shared" si="13"/>
        <v>100</v>
      </c>
      <c r="V47" s="704" t="s">
        <v>14</v>
      </c>
      <c r="W47" s="705">
        <f t="shared" si="14"/>
        <v>100</v>
      </c>
      <c r="X47" s="1353"/>
      <c r="Y47" s="3701"/>
      <c r="Z47" s="1354">
        <f t="shared" si="15"/>
        <v>111</v>
      </c>
      <c r="AA47" s="1351">
        <f t="shared" si="3"/>
        <v>1</v>
      </c>
      <c r="AB47" s="1351">
        <f t="shared" si="4"/>
        <v>1</v>
      </c>
      <c r="AC47" s="1960">
        <f t="shared" si="5"/>
        <v>1</v>
      </c>
    </row>
    <row r="48" spans="1:29" ht="15">
      <c r="A48" s="430" t="s">
        <v>1707</v>
      </c>
      <c r="B48" s="431"/>
      <c r="C48" s="1153" t="s">
        <v>0</v>
      </c>
      <c r="D48" s="1154"/>
      <c r="E48" s="1155">
        <v>55475</v>
      </c>
      <c r="F48" s="1156"/>
      <c r="G48" s="1157">
        <v>58824</v>
      </c>
      <c r="H48" s="1158"/>
      <c r="I48" s="1155">
        <v>56237</v>
      </c>
      <c r="J48" s="436"/>
      <c r="K48" s="713"/>
      <c r="L48" s="2721"/>
      <c r="M48" s="2713"/>
      <c r="N48" s="2713"/>
      <c r="O48" s="2713"/>
      <c r="P48" s="3687" t="str">
        <f>A48</f>
        <v>成交单价（元/平方米）</v>
      </c>
      <c r="Q48" s="3688"/>
      <c r="R48" s="3689">
        <f>E48</f>
        <v>55475</v>
      </c>
      <c r="S48" s="3689"/>
      <c r="T48" s="3689">
        <f>G48</f>
        <v>58824</v>
      </c>
      <c r="U48" s="3689"/>
      <c r="V48" s="3689">
        <f>I48</f>
        <v>56237</v>
      </c>
      <c r="W48" s="3689"/>
      <c r="X48" s="397"/>
      <c r="Y48" s="711"/>
      <c r="Z48" s="397"/>
      <c r="AA48" s="397"/>
      <c r="AB48" s="397"/>
      <c r="AC48" s="577"/>
    </row>
    <row r="49" spans="1:29" ht="15.75" thickBot="1">
      <c r="A49" s="437" t="s">
        <v>1792</v>
      </c>
      <c r="B49" s="438"/>
      <c r="C49" s="1159">
        <f>R50</f>
        <v>54661</v>
      </c>
      <c r="D49" s="2315" t="s">
        <v>2133</v>
      </c>
      <c r="E49" s="1160">
        <f>R49</f>
        <v>52793</v>
      </c>
      <c r="F49" s="2316"/>
      <c r="G49" s="1159">
        <f>T49</f>
        <v>57671</v>
      </c>
      <c r="H49" s="2316"/>
      <c r="I49" s="1160">
        <f>V49</f>
        <v>53518</v>
      </c>
      <c r="J49" s="2316"/>
      <c r="K49" s="2318">
        <f>F49+H49+J49</f>
        <v>0</v>
      </c>
      <c r="L49" s="2721"/>
      <c r="M49" s="2713"/>
      <c r="N49" s="2713"/>
      <c r="O49" s="2713"/>
      <c r="P49" s="3687" t="str">
        <f>A49</f>
        <v>比较价值（元/平方米）</v>
      </c>
      <c r="Q49" s="3688"/>
      <c r="R49" s="3689">
        <f>IF(F1="售价",ROUND(PRODUCT(R48,AA7:AA47),0),ROUND(PRODUCT(R48,AA7:AA47),1))</f>
        <v>52793</v>
      </c>
      <c r="S49" s="3689"/>
      <c r="T49" s="3689">
        <f>IF(F1="售价",ROUND(PRODUCT(T48,AB7:AB47),0),ROUND(PRODUCT(T48,AB7:AB47),1))</f>
        <v>57671</v>
      </c>
      <c r="U49" s="3689"/>
      <c r="V49" s="3689">
        <f>IF(F1="售价",ROUND(PRODUCT(V48,AC7:AC47),0),ROUND(PRODUCT(V48,AC7:AC47),1))</f>
        <v>53518</v>
      </c>
      <c r="W49" s="3689"/>
      <c r="X49" s="397"/>
      <c r="Y49" s="397"/>
      <c r="Z49" s="397"/>
      <c r="AA49" s="397"/>
      <c r="AB49" s="397"/>
      <c r="AC49" s="577"/>
    </row>
    <row r="50" spans="1:29" ht="15.75" thickBot="1">
      <c r="A50" s="441" t="s">
        <v>1793</v>
      </c>
      <c r="B50" s="442"/>
      <c r="C50" s="1162">
        <f>R50</f>
        <v>54661</v>
      </c>
      <c r="D50" s="1162"/>
      <c r="E50" s="1162"/>
      <c r="F50" s="1162"/>
      <c r="G50" s="1162"/>
      <c r="H50" s="1162"/>
      <c r="I50" s="1162"/>
      <c r="J50" s="443"/>
      <c r="K50" s="714"/>
      <c r="L50" s="2721"/>
      <c r="M50" s="2713"/>
      <c r="N50" s="2713"/>
      <c r="O50" s="2713"/>
      <c r="P50" s="3690" t="str">
        <f>A50</f>
        <v>估价对象XX用房的比较价值（楼面单价，元/平方米）</v>
      </c>
      <c r="Q50" s="3691"/>
      <c r="R50" s="3692">
        <f>IF(F1="售价",ROUND(IF(D49="简单平均",AVERAGE(R49:V49),R49*F49+T49*H49+V49*J49),0),ROUND(IF(D49="简单平均",AVERAGE(R49:V49),R49*F49+T49*H49+V49*J49),1))</f>
        <v>54661</v>
      </c>
      <c r="S50" s="3692"/>
      <c r="T50" s="3692"/>
      <c r="U50" s="3692"/>
      <c r="V50" s="3692"/>
      <c r="W50" s="3692"/>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f>IF(E48&lt;E49,E49/E48-1,E48/E49-1)</f>
        <v>5.080218968423833E-2</v>
      </c>
      <c r="F53" s="449" t="str">
        <f>IF(OR(E53&gt;=0.3,E53&lt;=-0.3),"超过30%","")</f>
        <v/>
      </c>
      <c r="G53" s="448">
        <f>IF(G48&lt;G49,G49/G48-1,G48/G49-1)</f>
        <v>1.9992717310259867E-2</v>
      </c>
      <c r="H53" s="449" t="str">
        <f>IF(OR(G53&gt;=0.3,G53&lt;=-0.3),"超过30%","")</f>
        <v/>
      </c>
      <c r="I53" s="448">
        <f>IF(I48&lt;I49,I49/I48-1,I48/I49-1)</f>
        <v>5.0805336522291578E-2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f>IF(E49&lt;G49,G49/E49-1,E49/G49-1)</f>
        <v>9.2398613452540967E-2</v>
      </c>
      <c r="F54" s="449" t="str">
        <f>IF(OR(E54&gt;=0.2,E54&lt;=-0.2),"超过20%","")</f>
        <v/>
      </c>
      <c r="G54" s="448">
        <f>IF(G49&lt;I49,I49/G49-1,G49/I49-1)</f>
        <v>7.7600059792966913E-2</v>
      </c>
      <c r="H54" s="449" t="str">
        <f>IF(OR(G54&gt;=0.2,G54&lt;=-0.2),"超过20%","")</f>
        <v/>
      </c>
      <c r="I54" s="448">
        <f>IF(I49&lt;E49,E49/I49-1,I49/E49-1)</f>
        <v>1.3732881253196494E-2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6.036953582694915E-2</v>
      </c>
      <c r="F55" s="449" t="str">
        <f>IF(OR(E55&gt;=0.3,E55&lt;=-0.3),"超过30%","")</f>
        <v/>
      </c>
      <c r="G55" s="448">
        <f>IF(G48&lt;I48,I48/G48-1,G48/I48-1)</f>
        <v>4.600174262496215E-2</v>
      </c>
      <c r="H55" s="449" t="str">
        <f>IF(OR(G55&gt;=0.3,G55&lt;=-0.3),"超过30%","")</f>
        <v/>
      </c>
      <c r="I55" s="448">
        <f>IF(I48&lt;E48,E48/I48-1,I48/E48-1)</f>
        <v>1.3735917079765736E-2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1797</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66" t="s">
        <v>3510</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7" t="s">
        <v>1798</v>
      </c>
      <c r="D83" s="607" t="s">
        <v>1799</v>
      </c>
      <c r="E83" s="607" t="s">
        <v>1800</v>
      </c>
      <c r="F83" s="607" t="s">
        <v>1801</v>
      </c>
      <c r="G83" s="607" t="s">
        <v>1802</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69" t="s">
        <v>3519</v>
      </c>
      <c r="D87" s="3469" t="s">
        <v>3520</v>
      </c>
      <c r="E87" s="3469" t="s">
        <v>3521</v>
      </c>
      <c r="F87" s="3469" t="s">
        <v>3522</v>
      </c>
      <c r="G87" s="3469" t="s">
        <v>3523</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9" t="s">
        <v>3524</v>
      </c>
      <c r="D89" s="3469" t="s">
        <v>3525</v>
      </c>
      <c r="E89" s="3469" t="s">
        <v>3526</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70" t="s">
        <v>3529</v>
      </c>
      <c r="D101" s="3470" t="s">
        <v>3530</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1000</v>
      </c>
      <c r="H104" s="544">
        <v>1500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71" t="s">
        <v>3531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69" t="s">
        <v>3532</v>
      </c>
      <c r="D108" s="3469" t="s">
        <v>3533</v>
      </c>
      <c r="E108" s="3469" t="s">
        <v>3534</v>
      </c>
      <c r="F108" s="3472" t="s">
        <v>3535</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97</v>
      </c>
      <c r="E109" s="493">
        <f t="shared" si="25"/>
        <v>94</v>
      </c>
      <c r="F109" s="493">
        <f t="shared" si="25"/>
        <v>91</v>
      </c>
      <c r="G109" s="493">
        <f t="shared" si="25"/>
        <v>88</v>
      </c>
      <c r="H109" s="493">
        <f t="shared" si="25"/>
        <v>85</v>
      </c>
      <c r="I109" s="493">
        <f t="shared" si="25"/>
        <v>82</v>
      </c>
      <c r="J109" s="493">
        <f t="shared" si="25"/>
        <v>79</v>
      </c>
      <c r="K109" s="493">
        <f t="shared" si="25"/>
        <v>76</v>
      </c>
      <c r="L109" s="493">
        <f t="shared" si="25"/>
        <v>73</v>
      </c>
      <c r="M109" s="494">
        <f t="shared" si="25"/>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69" t="s">
        <v>3536</v>
      </c>
      <c r="D113" s="3469" t="s">
        <v>3537</v>
      </c>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71" t="s">
        <v>3538</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3469" t="s">
        <v>3539</v>
      </c>
      <c r="D117" s="3469" t="s">
        <v>3540</v>
      </c>
      <c r="E117" s="3469" t="s">
        <v>3541</v>
      </c>
      <c r="F117" s="3469" t="s">
        <v>3542</v>
      </c>
      <c r="G117" s="3469" t="s">
        <v>3543</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1824</v>
      </c>
      <c r="C119" s="3472" t="s">
        <v>3544</v>
      </c>
      <c r="D119" s="3473" t="s">
        <v>3545</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69" t="s">
        <v>3532</v>
      </c>
      <c r="D123" s="3469" t="s">
        <v>3533</v>
      </c>
      <c r="E123" s="3469" t="s">
        <v>3534</v>
      </c>
      <c r="F123" s="3472" t="s">
        <v>3535</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现状用途</v>
      </c>
      <c r="C127" s="3471" t="s">
        <v>3592</v>
      </c>
      <c r="D127" s="3471" t="s">
        <v>3591</v>
      </c>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v>105</v>
      </c>
      <c r="D128" s="485">
        <v>100</v>
      </c>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Q80" sqref="Q80"/>
      <selection pane="bottomLeft" activeCell="B21" sqref="B21"/>
    </sheetView>
  </sheetViews>
  <sheetFormatPr defaultColWidth="9" defaultRowHeight="12.75"/>
  <cols>
    <col min="1" max="1" width="11.5" style="130"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1" t="s">
        <v>2083</v>
      </c>
      <c r="D1" s="3742"/>
      <c r="E1" s="3742"/>
      <c r="F1" s="3742"/>
      <c r="G1" s="3742"/>
      <c r="H1" s="3742"/>
      <c r="I1" s="3742"/>
      <c r="J1" s="3742"/>
      <c r="K1" s="3742"/>
      <c r="L1" s="3742"/>
      <c r="M1" s="3742"/>
      <c r="N1" s="3742"/>
      <c r="O1" s="3742"/>
      <c r="P1" s="3742"/>
      <c r="Q1" s="3742"/>
      <c r="R1" s="3742"/>
      <c r="S1" s="3743"/>
      <c r="T1" s="982" t="s">
        <v>2084</v>
      </c>
    </row>
    <row r="2" spans="1:45" s="654" customFormat="1" ht="38.25">
      <c r="A2" s="983"/>
      <c r="B2" s="650" t="s">
        <v>2085</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4">
        <v>500</v>
      </c>
      <c r="G3" s="1304">
        <v>1000</v>
      </c>
      <c r="H3" s="1304">
        <v>1500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8">
        <v>99</v>
      </c>
      <c r="G4" s="1308">
        <v>98</v>
      </c>
      <c r="H4" s="1308">
        <v>97</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8" customHeight="1">
      <c r="A5" s="993"/>
      <c r="B5" s="3480" t="s">
        <v>3595</v>
      </c>
      <c r="C5" s="994" t="s">
        <v>3568</v>
      </c>
      <c r="D5" s="995" t="s">
        <v>3573</v>
      </c>
      <c r="E5" s="995" t="s">
        <v>3596</v>
      </c>
      <c r="F5" s="1311" t="s">
        <v>3588</v>
      </c>
      <c r="G5" s="1311"/>
      <c r="H5" s="1311"/>
      <c r="I5" s="1311"/>
      <c r="J5" s="1311"/>
      <c r="K5" s="1311"/>
      <c r="L5" s="1312"/>
      <c r="M5" s="1313"/>
      <c r="N5" s="1313"/>
      <c r="O5" s="1311"/>
      <c r="P5" s="1311"/>
      <c r="Q5" s="1311"/>
      <c r="R5" s="1311"/>
      <c r="S5" s="1314"/>
      <c r="T5" s="997">
        <f>'比较法-办公'!K43</f>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99</v>
      </c>
      <c r="E6" s="901">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79" t="s">
        <v>3594</v>
      </c>
      <c r="C7" s="994" t="s">
        <v>3593</v>
      </c>
      <c r="D7" s="995" t="s">
        <v>3580</v>
      </c>
      <c r="E7" s="995" t="s">
        <v>3528</v>
      </c>
      <c r="F7" s="1316"/>
      <c r="G7" s="1316"/>
      <c r="H7" s="1316"/>
      <c r="I7" s="1316"/>
      <c r="J7" s="1316"/>
      <c r="K7" s="1316"/>
      <c r="L7" s="1316"/>
      <c r="M7" s="1317"/>
      <c r="N7" s="1318"/>
      <c r="O7" s="1319"/>
      <c r="P7" s="1320"/>
      <c r="Q7" s="1321"/>
      <c r="R7" s="1322"/>
      <c r="S7" s="1323"/>
      <c r="T7" s="660">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98</v>
      </c>
      <c r="E8" s="901">
        <f t="shared" ref="E8:S8" si="8">D8-$T7</f>
        <v>96</v>
      </c>
      <c r="F8" s="1315">
        <f t="shared" si="8"/>
        <v>94</v>
      </c>
      <c r="G8" s="1315">
        <f t="shared" si="8"/>
        <v>92</v>
      </c>
      <c r="H8" s="1315">
        <f t="shared" si="8"/>
        <v>90</v>
      </c>
      <c r="I8" s="1315">
        <f t="shared" si="8"/>
        <v>88</v>
      </c>
      <c r="J8" s="1315">
        <f t="shared" si="8"/>
        <v>86</v>
      </c>
      <c r="K8" s="1315">
        <f t="shared" si="8"/>
        <v>84</v>
      </c>
      <c r="L8" s="1315">
        <f t="shared" si="8"/>
        <v>82</v>
      </c>
      <c r="M8" s="1315">
        <f t="shared" si="8"/>
        <v>80</v>
      </c>
      <c r="N8" s="1315">
        <f t="shared" si="8"/>
        <v>78</v>
      </c>
      <c r="O8" s="1315">
        <f t="shared" si="8"/>
        <v>76</v>
      </c>
      <c r="P8" s="1315">
        <f t="shared" si="8"/>
        <v>74</v>
      </c>
      <c r="Q8" s="1315">
        <f t="shared" si="8"/>
        <v>72</v>
      </c>
      <c r="R8" s="1315">
        <f t="shared" si="8"/>
        <v>70</v>
      </c>
      <c r="S8" s="1315">
        <f t="shared" si="8"/>
        <v>68</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3479" t="s">
        <v>3597</v>
      </c>
      <c r="C9" s="903" t="s">
        <v>21</v>
      </c>
      <c r="D9" s="897" t="s">
        <v>3586</v>
      </c>
      <c r="E9" s="897"/>
      <c r="F9" s="1316"/>
      <c r="G9" s="1316"/>
      <c r="H9" s="1316"/>
      <c r="I9" s="1316"/>
      <c r="J9" s="1316"/>
      <c r="K9" s="1316"/>
      <c r="L9" s="1324"/>
      <c r="M9" s="1317"/>
      <c r="N9" s="1318"/>
      <c r="O9" s="1319"/>
      <c r="P9" s="1320"/>
      <c r="Q9" s="1321"/>
      <c r="R9" s="1322"/>
      <c r="S9" s="1323"/>
      <c r="T9" s="660">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95</v>
      </c>
      <c r="E10" s="999">
        <f t="shared" ref="E10:S10" si="9">D10-$T9</f>
        <v>90</v>
      </c>
      <c r="F10" s="1325">
        <f t="shared" si="9"/>
        <v>85</v>
      </c>
      <c r="G10" s="1325">
        <f t="shared" si="9"/>
        <v>80</v>
      </c>
      <c r="H10" s="1325">
        <f t="shared" si="9"/>
        <v>75</v>
      </c>
      <c r="I10" s="1325">
        <f t="shared" si="9"/>
        <v>70</v>
      </c>
      <c r="J10" s="1325">
        <f t="shared" si="9"/>
        <v>65</v>
      </c>
      <c r="K10" s="1325">
        <f t="shared" si="9"/>
        <v>60</v>
      </c>
      <c r="L10" s="1325">
        <f t="shared" si="9"/>
        <v>55</v>
      </c>
      <c r="M10" s="1325">
        <f t="shared" si="9"/>
        <v>50</v>
      </c>
      <c r="N10" s="1325">
        <f t="shared" si="9"/>
        <v>45</v>
      </c>
      <c r="O10" s="1325">
        <f t="shared" si="9"/>
        <v>40</v>
      </c>
      <c r="P10" s="1325">
        <f t="shared" si="9"/>
        <v>35</v>
      </c>
      <c r="Q10" s="1325">
        <f t="shared" si="9"/>
        <v>30</v>
      </c>
      <c r="R10" s="1325">
        <f t="shared" si="9"/>
        <v>25</v>
      </c>
      <c r="S10" s="1325">
        <f t="shared" si="9"/>
        <v>20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2089</v>
      </c>
      <c r="B17" s="2147" t="s">
        <v>2090</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2091</v>
      </c>
      <c r="E19" s="1338"/>
      <c r="F19" s="1338"/>
      <c r="G19" s="1338"/>
      <c r="H19" s="1058"/>
      <c r="I19" s="159"/>
      <c r="J19" s="159"/>
      <c r="K19" s="159"/>
      <c r="L19" s="159"/>
      <c r="M19" s="159"/>
      <c r="N19" s="159"/>
      <c r="O19" s="159"/>
      <c r="P19" s="159"/>
      <c r="Q19" s="159"/>
      <c r="R19" s="717"/>
      <c r="S19" s="129"/>
    </row>
    <row r="20" spans="1:45" ht="16.5" thickBot="1">
      <c r="A20" s="661" t="s">
        <v>2092</v>
      </c>
      <c r="B20" s="294">
        <f ca="1">IF(D20="——",S22,S22-F20)</f>
        <v>77148</v>
      </c>
      <c r="C20" s="159"/>
      <c r="D20" s="2149" t="s">
        <v>43</v>
      </c>
      <c r="E20" s="1339"/>
      <c r="F20" s="982" t="e">
        <f ca="1">SUMIF(INDIRECT("'"&amp;H20&amp;"'"&amp;"!A:A"),"承租人权益价值",INDIRECT("'"&amp;H20&amp;"'"&amp;"!c:c"))</f>
        <v>#REF!</v>
      </c>
      <c r="G20" s="982" t="s">
        <v>2093</v>
      </c>
      <c r="H20" s="2150"/>
      <c r="I20" s="159"/>
      <c r="J20" s="159"/>
      <c r="K20" s="159"/>
      <c r="L20" s="159"/>
      <c r="M20" s="159"/>
      <c r="N20" s="159"/>
      <c r="O20" s="159"/>
      <c r="P20" s="159"/>
      <c r="Q20" s="159"/>
      <c r="R20" s="717"/>
      <c r="S20" s="129"/>
    </row>
    <row r="21" spans="1:45" ht="15.75">
      <c r="A21" s="661" t="s">
        <v>2094</v>
      </c>
      <c r="B21" s="294">
        <f ca="1">ROUND(B20*10000/B22,0)</f>
        <v>48143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16024.920000000006</v>
      </c>
      <c r="C22" s="3738" t="s">
        <v>27</v>
      </c>
      <c r="D22" s="3739"/>
      <c r="E22" s="3739"/>
      <c r="F22" s="3739"/>
      <c r="G22" s="3739"/>
      <c r="H22" s="3739"/>
      <c r="I22" s="3739"/>
      <c r="J22" s="3739"/>
      <c r="K22" s="3739"/>
      <c r="L22" s="3739"/>
      <c r="M22" s="3739"/>
      <c r="N22" s="3739"/>
      <c r="O22" s="3739"/>
      <c r="P22" s="3739"/>
      <c r="Q22" s="3740"/>
      <c r="R22" s="662">
        <f ca="1">ROUND(S22*10000/B22,0)</f>
        <v>48143</v>
      </c>
      <c r="S22" s="21">
        <f ca="1">SUM(S24:S10000)</f>
        <v>77148</v>
      </c>
    </row>
    <row r="23" spans="1:45" s="9" customFormat="1" ht="24">
      <c r="A23" s="8" t="s">
        <v>2096</v>
      </c>
      <c r="B23" s="8" t="s">
        <v>2097</v>
      </c>
      <c r="C23" s="8" t="s">
        <v>2098</v>
      </c>
      <c r="D23" s="8" t="str">
        <f>B5</f>
        <v>装修</v>
      </c>
      <c r="E23" s="8" t="s">
        <v>2098</v>
      </c>
      <c r="F23" s="8" t="str">
        <f>B7</f>
        <v>楼层</v>
      </c>
      <c r="G23" s="8" t="s">
        <v>2098</v>
      </c>
      <c r="H23" s="8" t="str">
        <f>B9</f>
        <v>现状用途</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明细表!B4</f>
        <v>2单元621</v>
      </c>
      <c r="B24" s="664">
        <f>明细表!E4</f>
        <v>108.47</v>
      </c>
      <c r="C24" s="2807">
        <v>1</v>
      </c>
      <c r="D24" s="2808" t="s">
        <v>3573</v>
      </c>
      <c r="E24" s="2807">
        <v>1</v>
      </c>
      <c r="F24" s="2808" t="s">
        <v>3528</v>
      </c>
      <c r="G24" s="2807">
        <v>1</v>
      </c>
      <c r="H24" s="2808" t="s">
        <v>3586</v>
      </c>
      <c r="I24" s="2807">
        <v>1</v>
      </c>
      <c r="J24" s="2808"/>
      <c r="K24" s="2807">
        <v>1</v>
      </c>
      <c r="L24" s="2808"/>
      <c r="M24" s="2807">
        <v>1</v>
      </c>
      <c r="N24" s="2808"/>
      <c r="O24" s="2807">
        <v>1</v>
      </c>
      <c r="P24" s="2808"/>
      <c r="Q24" s="2807">
        <v>1</v>
      </c>
      <c r="R24" s="667">
        <f ca="1">结果表!G20</f>
        <v>46058</v>
      </c>
      <c r="S24" s="665">
        <f t="shared" ref="S24:S54" ca="1" si="11">ROUND(R24*B24/10000,0)</f>
        <v>500</v>
      </c>
      <c r="T24" s="724" t="s">
        <v>3586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明细表!B2</f>
        <v>2单元618</v>
      </c>
      <c r="B25" s="54">
        <f>明细表!E2</f>
        <v>108.47</v>
      </c>
      <c r="C25" s="21">
        <f>IF(B25="",1,(LOOKUP(B25,$3:$3,$4:$4)-LOOKUP($B$24,$3:$3,$4:$4)+100)/100)</f>
        <v>1</v>
      </c>
      <c r="D25" s="2808" t="s">
        <v>3573</v>
      </c>
      <c r="E25" s="21">
        <f>(SUMIF($5:$5,D25,$6:$6)-SUMIF($5:$5,$D$24,$6:$6)+100)/100</f>
        <v>1</v>
      </c>
      <c r="F25" s="2808" t="s">
        <v>3528</v>
      </c>
      <c r="G25" s="21">
        <f>(SUMIF($7:$7,F25,$8:$8)-SUMIF($7:$7,$F$24,$8:$8)+100)/100</f>
        <v>1</v>
      </c>
      <c r="H25" s="666" t="s">
        <v>21</v>
      </c>
      <c r="I25" s="21">
        <f>(SUMIF($9:$9,H25,$10:$10)-SUMIF($9:$9,$H$24,$10:$10)+100)/100</f>
        <v>1.05</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48361</v>
      </c>
      <c r="S25" s="316">
        <f t="shared" ca="1" si="11"/>
        <v>525</v>
      </c>
      <c r="T25" s="724" t="str">
        <f>明细表!G2</f>
        <v>办公</v>
      </c>
      <c r="U25" s="724">
        <f>明细表!D2</f>
        <v>5</v>
      </c>
    </row>
    <row r="26" spans="1:45">
      <c r="A26" s="150" t="str">
        <f>明细表!B3</f>
        <v>2单元619</v>
      </c>
      <c r="B26" s="54">
        <f>明细表!E3</f>
        <v>108.47</v>
      </c>
      <c r="C26" s="21">
        <f t="shared" ref="C26:C89" si="12">IF(B26="",1,(LOOKUP(B26,$3:$3,$4:$4)-LOOKUP($B$24,$3:$3,$4:$4)+100)/100)</f>
        <v>1</v>
      </c>
      <c r="D26" s="2808" t="s">
        <v>3573</v>
      </c>
      <c r="E26" s="21">
        <f t="shared" ref="E26:E89" si="13">(SUMIF($5:$5,D26,$6:$6)-SUMIF($5:$5,$D$24,$6:$6)+100)/100</f>
        <v>1</v>
      </c>
      <c r="F26" s="2808" t="s">
        <v>3528</v>
      </c>
      <c r="G26" s="21">
        <f t="shared" ref="G26:G89" si="14">(SUMIF($7:$7,F26,$8:$8)-SUMIF($7:$7,$F$24,$8:$8)+100)/100</f>
        <v>1</v>
      </c>
      <c r="H26" s="666" t="s">
        <v>21</v>
      </c>
      <c r="I26" s="21">
        <f t="shared" ref="I26:I89" si="15">(SUMIF($9:$9,H26,$10:$10)-SUMIF($9:$9,$H$24,$10:$10)+100)/100</f>
        <v>1.05</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48361</v>
      </c>
      <c r="S26" s="316">
        <f t="shared" ca="1" si="11"/>
        <v>525</v>
      </c>
      <c r="T26" s="724" t="str">
        <f>明细表!G3</f>
        <v>办公</v>
      </c>
      <c r="U26" s="724">
        <f>明细表!D3</f>
        <v>5</v>
      </c>
    </row>
    <row r="27" spans="1:45">
      <c r="A27" s="150"/>
      <c r="B27" s="54"/>
      <c r="C27" s="21">
        <f t="shared" si="12"/>
        <v>1</v>
      </c>
      <c r="D27" s="666"/>
      <c r="E27" s="21">
        <f t="shared" si="13"/>
        <v>0.01</v>
      </c>
      <c r="F27" s="666"/>
      <c r="G27" s="21">
        <f t="shared" si="14"/>
        <v>0.04</v>
      </c>
      <c r="H27" s="666"/>
      <c r="I27" s="21">
        <f t="shared" si="15"/>
        <v>0.05</v>
      </c>
      <c r="J27" s="666"/>
      <c r="K27" s="21">
        <f t="shared" si="16"/>
        <v>1</v>
      </c>
      <c r="L27" s="666"/>
      <c r="M27" s="21">
        <f t="shared" si="17"/>
        <v>1</v>
      </c>
      <c r="N27" s="666"/>
      <c r="O27" s="21">
        <f t="shared" si="18"/>
        <v>1</v>
      </c>
      <c r="P27" s="666"/>
      <c r="Q27" s="21">
        <f t="shared" si="19"/>
        <v>1</v>
      </c>
      <c r="R27" s="662">
        <f t="shared" si="20"/>
        <v>0</v>
      </c>
      <c r="S27" s="316">
        <f t="shared" si="11"/>
        <v>0</v>
      </c>
      <c r="T27" s="724" t="str">
        <f>明细表!G4</f>
        <v>公寓</v>
      </c>
      <c r="U27" s="724">
        <f>明细表!D4</f>
        <v>5</v>
      </c>
    </row>
    <row r="28" spans="1:45">
      <c r="A28" s="150" t="str">
        <f>明细表!B5</f>
        <v>2单元622</v>
      </c>
      <c r="B28" s="54">
        <f>明细表!E5</f>
        <v>108.47</v>
      </c>
      <c r="C28" s="21">
        <f t="shared" si="12"/>
        <v>1</v>
      </c>
      <c r="D28" s="2808" t="s">
        <v>3573</v>
      </c>
      <c r="E28" s="21">
        <f t="shared" si="13"/>
        <v>1</v>
      </c>
      <c r="F28" s="2808" t="s">
        <v>3528</v>
      </c>
      <c r="G28" s="21">
        <f t="shared" si="14"/>
        <v>1</v>
      </c>
      <c r="H28" s="666" t="s">
        <v>21</v>
      </c>
      <c r="I28" s="21">
        <f t="shared" si="15"/>
        <v>1.05</v>
      </c>
      <c r="J28" s="666"/>
      <c r="K28" s="21">
        <f t="shared" si="16"/>
        <v>1</v>
      </c>
      <c r="L28" s="666"/>
      <c r="M28" s="21">
        <f t="shared" si="17"/>
        <v>1</v>
      </c>
      <c r="N28" s="666"/>
      <c r="O28" s="21">
        <f t="shared" si="18"/>
        <v>1</v>
      </c>
      <c r="P28" s="666"/>
      <c r="Q28" s="21">
        <f t="shared" si="19"/>
        <v>1</v>
      </c>
      <c r="R28" s="662">
        <f t="shared" ca="1" si="20"/>
        <v>48361</v>
      </c>
      <c r="S28" s="316">
        <f t="shared" ca="1" si="11"/>
        <v>525</v>
      </c>
      <c r="T28" s="724" t="str">
        <f>明细表!G5</f>
        <v>办公</v>
      </c>
      <c r="U28" s="724">
        <f>明细表!D5</f>
        <v>5</v>
      </c>
    </row>
    <row r="29" spans="1:45">
      <c r="A29" s="150" t="str">
        <f>明细表!B6</f>
        <v>2单元623</v>
      </c>
      <c r="B29" s="54">
        <f>明细表!E6</f>
        <v>138.01</v>
      </c>
      <c r="C29" s="21">
        <f t="shared" si="12"/>
        <v>1</v>
      </c>
      <c r="D29" s="2808" t="s">
        <v>3573</v>
      </c>
      <c r="E29" s="21">
        <f t="shared" si="13"/>
        <v>1</v>
      </c>
      <c r="F29" s="2808" t="s">
        <v>3528</v>
      </c>
      <c r="G29" s="21">
        <f t="shared" si="14"/>
        <v>1</v>
      </c>
      <c r="H29" s="666" t="s">
        <v>21</v>
      </c>
      <c r="I29" s="21">
        <f t="shared" si="15"/>
        <v>1.05</v>
      </c>
      <c r="J29" s="666"/>
      <c r="K29" s="21">
        <f t="shared" si="16"/>
        <v>1</v>
      </c>
      <c r="L29" s="666"/>
      <c r="M29" s="21">
        <f t="shared" si="17"/>
        <v>1</v>
      </c>
      <c r="N29" s="666"/>
      <c r="O29" s="21">
        <f t="shared" si="18"/>
        <v>1</v>
      </c>
      <c r="P29" s="666"/>
      <c r="Q29" s="21">
        <f t="shared" si="19"/>
        <v>1</v>
      </c>
      <c r="R29" s="662">
        <f t="shared" ca="1" si="20"/>
        <v>48361</v>
      </c>
      <c r="S29" s="316">
        <f t="shared" ca="1" si="11"/>
        <v>667</v>
      </c>
      <c r="T29" s="724" t="str">
        <f>明细表!G6</f>
        <v>办公</v>
      </c>
      <c r="U29" s="724">
        <f>明细表!D6</f>
        <v>5</v>
      </c>
    </row>
    <row r="30" spans="1:45">
      <c r="A30" s="150" t="str">
        <f>明细表!B7</f>
        <v>2单元625</v>
      </c>
      <c r="B30" s="54">
        <f>明细表!E7</f>
        <v>138.01</v>
      </c>
      <c r="C30" s="21">
        <f t="shared" si="12"/>
        <v>1</v>
      </c>
      <c r="D30" s="2808" t="s">
        <v>3573</v>
      </c>
      <c r="E30" s="21">
        <f t="shared" si="13"/>
        <v>1</v>
      </c>
      <c r="F30" s="2808" t="s">
        <v>3528</v>
      </c>
      <c r="G30" s="21">
        <f t="shared" si="14"/>
        <v>1</v>
      </c>
      <c r="H30" s="666" t="s">
        <v>21</v>
      </c>
      <c r="I30" s="21">
        <f t="shared" si="15"/>
        <v>1.05</v>
      </c>
      <c r="J30" s="666"/>
      <c r="K30" s="21">
        <f t="shared" si="16"/>
        <v>1</v>
      </c>
      <c r="L30" s="666"/>
      <c r="M30" s="21">
        <f t="shared" si="17"/>
        <v>1</v>
      </c>
      <c r="N30" s="666"/>
      <c r="O30" s="21">
        <f t="shared" si="18"/>
        <v>1</v>
      </c>
      <c r="P30" s="666"/>
      <c r="Q30" s="21">
        <f t="shared" si="19"/>
        <v>1</v>
      </c>
      <c r="R30" s="662">
        <f t="shared" ca="1" si="20"/>
        <v>48361</v>
      </c>
      <c r="S30" s="316">
        <f t="shared" ca="1" si="11"/>
        <v>667</v>
      </c>
      <c r="T30" s="724" t="str">
        <f>明细表!G7</f>
        <v>办公</v>
      </c>
      <c r="U30" s="724">
        <f>明细表!D7</f>
        <v>5</v>
      </c>
    </row>
    <row r="31" spans="1:45">
      <c r="A31" s="150" t="str">
        <f>明细表!B8</f>
        <v>2单元626</v>
      </c>
      <c r="B31" s="54">
        <f>明细表!E8</f>
        <v>201.75</v>
      </c>
      <c r="C31" s="21">
        <f t="shared" si="12"/>
        <v>1</v>
      </c>
      <c r="D31" s="2808" t="s">
        <v>3573</v>
      </c>
      <c r="E31" s="21">
        <f t="shared" si="13"/>
        <v>1</v>
      </c>
      <c r="F31" s="2808" t="s">
        <v>3528</v>
      </c>
      <c r="G31" s="21">
        <f t="shared" si="14"/>
        <v>1</v>
      </c>
      <c r="H31" s="666" t="s">
        <v>21</v>
      </c>
      <c r="I31" s="21">
        <f t="shared" si="15"/>
        <v>1.05</v>
      </c>
      <c r="J31" s="666"/>
      <c r="K31" s="21">
        <f t="shared" si="16"/>
        <v>1</v>
      </c>
      <c r="L31" s="666"/>
      <c r="M31" s="21">
        <f t="shared" si="17"/>
        <v>1</v>
      </c>
      <c r="N31" s="666"/>
      <c r="O31" s="21">
        <f t="shared" si="18"/>
        <v>1</v>
      </c>
      <c r="P31" s="666"/>
      <c r="Q31" s="21">
        <f t="shared" si="19"/>
        <v>1</v>
      </c>
      <c r="R31" s="662">
        <f t="shared" ca="1" si="20"/>
        <v>48361</v>
      </c>
      <c r="S31" s="316">
        <f t="shared" ca="1" si="11"/>
        <v>976</v>
      </c>
      <c r="T31" s="724" t="str">
        <f>明细表!G8</f>
        <v>办公</v>
      </c>
      <c r="U31" s="724">
        <f>明细表!D8</f>
        <v>5</v>
      </c>
    </row>
    <row r="32" spans="1:45">
      <c r="A32" s="150" t="str">
        <f>明细表!B9</f>
        <v>2单元701</v>
      </c>
      <c r="B32" s="54">
        <f>明细表!E9</f>
        <v>206.15</v>
      </c>
      <c r="C32" s="21">
        <f t="shared" si="12"/>
        <v>1</v>
      </c>
      <c r="D32" s="2808" t="s">
        <v>3573</v>
      </c>
      <c r="E32" s="21">
        <f t="shared" si="13"/>
        <v>1</v>
      </c>
      <c r="F32" s="2808" t="s">
        <v>3528</v>
      </c>
      <c r="G32" s="21">
        <f t="shared" si="14"/>
        <v>1</v>
      </c>
      <c r="H32" s="666" t="s">
        <v>3586</v>
      </c>
      <c r="I32" s="21">
        <f t="shared" si="15"/>
        <v>1</v>
      </c>
      <c r="J32" s="666"/>
      <c r="K32" s="21">
        <f t="shared" si="16"/>
        <v>1</v>
      </c>
      <c r="L32" s="666"/>
      <c r="M32" s="21">
        <f t="shared" si="17"/>
        <v>1</v>
      </c>
      <c r="N32" s="666"/>
      <c r="O32" s="21">
        <f t="shared" si="18"/>
        <v>1</v>
      </c>
      <c r="P32" s="666"/>
      <c r="Q32" s="21">
        <f t="shared" si="19"/>
        <v>1</v>
      </c>
      <c r="R32" s="662">
        <f t="shared" ca="1" si="20"/>
        <v>46058</v>
      </c>
      <c r="S32" s="316">
        <f t="shared" ca="1" si="11"/>
        <v>949</v>
      </c>
      <c r="T32" s="724" t="str">
        <f>明细表!G9</f>
        <v>公寓</v>
      </c>
      <c r="U32" s="724">
        <f>明细表!D9</f>
        <v>6</v>
      </c>
    </row>
    <row r="33" spans="1:21">
      <c r="A33" s="150" t="str">
        <f>明细表!B10</f>
        <v>2单元709</v>
      </c>
      <c r="B33" s="54">
        <f>明细表!E10</f>
        <v>109.06</v>
      </c>
      <c r="C33" s="21">
        <f t="shared" si="12"/>
        <v>1</v>
      </c>
      <c r="D33" s="2808" t="s">
        <v>3573</v>
      </c>
      <c r="E33" s="21">
        <f t="shared" si="13"/>
        <v>1</v>
      </c>
      <c r="F33" s="2808" t="s">
        <v>3528</v>
      </c>
      <c r="G33" s="21">
        <f t="shared" si="14"/>
        <v>1</v>
      </c>
      <c r="H33" s="666" t="s">
        <v>3586</v>
      </c>
      <c r="I33" s="21">
        <f t="shared" si="15"/>
        <v>1</v>
      </c>
      <c r="J33" s="666"/>
      <c r="K33" s="21">
        <f t="shared" si="16"/>
        <v>1</v>
      </c>
      <c r="L33" s="666"/>
      <c r="M33" s="21">
        <f t="shared" si="17"/>
        <v>1</v>
      </c>
      <c r="N33" s="666"/>
      <c r="O33" s="21">
        <f t="shared" si="18"/>
        <v>1</v>
      </c>
      <c r="P33" s="666"/>
      <c r="Q33" s="21">
        <f t="shared" si="19"/>
        <v>1</v>
      </c>
      <c r="R33" s="662">
        <f t="shared" ca="1" si="20"/>
        <v>46058</v>
      </c>
      <c r="S33" s="316">
        <f t="shared" ca="1" si="11"/>
        <v>502</v>
      </c>
      <c r="T33" s="724" t="str">
        <f>明细表!G10</f>
        <v>公寓</v>
      </c>
      <c r="U33" s="724">
        <f>明细表!D10</f>
        <v>6</v>
      </c>
    </row>
    <row r="34" spans="1:21">
      <c r="A34" s="150" t="str">
        <f>明细表!B11</f>
        <v>2单元718</v>
      </c>
      <c r="B34" s="54">
        <f>明细表!E11</f>
        <v>108.47</v>
      </c>
      <c r="C34" s="21">
        <f t="shared" si="12"/>
        <v>1</v>
      </c>
      <c r="D34" s="2808" t="s">
        <v>3573</v>
      </c>
      <c r="E34" s="21">
        <f t="shared" si="13"/>
        <v>1</v>
      </c>
      <c r="F34" s="2808" t="s">
        <v>3528</v>
      </c>
      <c r="G34" s="21">
        <f t="shared" si="14"/>
        <v>1</v>
      </c>
      <c r="H34" s="666" t="s">
        <v>21</v>
      </c>
      <c r="I34" s="21">
        <f t="shared" si="15"/>
        <v>1.05</v>
      </c>
      <c r="J34" s="666"/>
      <c r="K34" s="21">
        <f t="shared" si="16"/>
        <v>1</v>
      </c>
      <c r="L34" s="666"/>
      <c r="M34" s="21">
        <f t="shared" si="17"/>
        <v>1</v>
      </c>
      <c r="N34" s="666"/>
      <c r="O34" s="21">
        <f t="shared" si="18"/>
        <v>1</v>
      </c>
      <c r="P34" s="666"/>
      <c r="Q34" s="21">
        <f t="shared" si="19"/>
        <v>1</v>
      </c>
      <c r="R34" s="662">
        <f t="shared" ca="1" si="20"/>
        <v>48361</v>
      </c>
      <c r="S34" s="316">
        <f t="shared" ca="1" si="11"/>
        <v>525</v>
      </c>
      <c r="T34" s="724" t="str">
        <f>明细表!G11</f>
        <v>办公</v>
      </c>
      <c r="U34" s="724">
        <f>明细表!D11</f>
        <v>6</v>
      </c>
    </row>
    <row r="35" spans="1:21">
      <c r="A35" s="150" t="str">
        <f>明细表!B12</f>
        <v>2单元719</v>
      </c>
      <c r="B35" s="54">
        <f>明细表!E12</f>
        <v>108.47</v>
      </c>
      <c r="C35" s="21">
        <f t="shared" si="12"/>
        <v>1</v>
      </c>
      <c r="D35" s="2808" t="s">
        <v>3573</v>
      </c>
      <c r="E35" s="21">
        <f t="shared" si="13"/>
        <v>1</v>
      </c>
      <c r="F35" s="2808" t="s">
        <v>3528</v>
      </c>
      <c r="G35" s="21">
        <f t="shared" si="14"/>
        <v>1</v>
      </c>
      <c r="H35" s="666" t="s">
        <v>21</v>
      </c>
      <c r="I35" s="21">
        <f t="shared" si="15"/>
        <v>1.05</v>
      </c>
      <c r="J35" s="666"/>
      <c r="K35" s="21">
        <f t="shared" si="16"/>
        <v>1</v>
      </c>
      <c r="L35" s="666"/>
      <c r="M35" s="21">
        <f t="shared" si="17"/>
        <v>1</v>
      </c>
      <c r="N35" s="666"/>
      <c r="O35" s="21">
        <f t="shared" si="18"/>
        <v>1</v>
      </c>
      <c r="P35" s="666"/>
      <c r="Q35" s="21">
        <f t="shared" si="19"/>
        <v>1</v>
      </c>
      <c r="R35" s="662">
        <f t="shared" ca="1" si="20"/>
        <v>48361</v>
      </c>
      <c r="S35" s="316">
        <f t="shared" ca="1" si="11"/>
        <v>525</v>
      </c>
      <c r="T35" s="724" t="str">
        <f>明细表!G12</f>
        <v>办公</v>
      </c>
      <c r="U35" s="724">
        <f>明细表!D12</f>
        <v>6</v>
      </c>
    </row>
    <row r="36" spans="1:21">
      <c r="A36" s="150" t="str">
        <f>明细表!B13</f>
        <v>2单元721</v>
      </c>
      <c r="B36" s="54">
        <f>明细表!E13</f>
        <v>108.47</v>
      </c>
      <c r="C36" s="21">
        <f t="shared" si="12"/>
        <v>1</v>
      </c>
      <c r="D36" s="2808" t="s">
        <v>3573</v>
      </c>
      <c r="E36" s="21">
        <f t="shared" si="13"/>
        <v>1</v>
      </c>
      <c r="F36" s="2808" t="s">
        <v>3528</v>
      </c>
      <c r="G36" s="21">
        <f t="shared" si="14"/>
        <v>1</v>
      </c>
      <c r="H36" s="666" t="s">
        <v>21</v>
      </c>
      <c r="I36" s="21">
        <f t="shared" si="15"/>
        <v>1.05</v>
      </c>
      <c r="J36" s="666"/>
      <c r="K36" s="21">
        <f t="shared" si="16"/>
        <v>1</v>
      </c>
      <c r="L36" s="666"/>
      <c r="M36" s="21">
        <f t="shared" si="17"/>
        <v>1</v>
      </c>
      <c r="N36" s="666"/>
      <c r="O36" s="21">
        <f t="shared" si="18"/>
        <v>1</v>
      </c>
      <c r="P36" s="666"/>
      <c r="Q36" s="21">
        <f t="shared" si="19"/>
        <v>1</v>
      </c>
      <c r="R36" s="662">
        <f t="shared" ca="1" si="20"/>
        <v>48361</v>
      </c>
      <c r="S36" s="316">
        <f t="shared" ca="1" si="11"/>
        <v>525</v>
      </c>
      <c r="T36" s="724" t="str">
        <f>明细表!G13</f>
        <v>办公</v>
      </c>
      <c r="U36" s="724">
        <f>明细表!D13</f>
        <v>6</v>
      </c>
    </row>
    <row r="37" spans="1:21">
      <c r="A37" s="150" t="str">
        <f>明细表!B14</f>
        <v>2单元722</v>
      </c>
      <c r="B37" s="54">
        <f>明细表!E14</f>
        <v>108.47</v>
      </c>
      <c r="C37" s="21">
        <f t="shared" si="12"/>
        <v>1</v>
      </c>
      <c r="D37" s="2808" t="s">
        <v>3573</v>
      </c>
      <c r="E37" s="21">
        <f t="shared" si="13"/>
        <v>1</v>
      </c>
      <c r="F37" s="2808" t="s">
        <v>3528</v>
      </c>
      <c r="G37" s="21">
        <f t="shared" si="14"/>
        <v>1</v>
      </c>
      <c r="H37" s="666" t="s">
        <v>21</v>
      </c>
      <c r="I37" s="21">
        <f t="shared" si="15"/>
        <v>1.05</v>
      </c>
      <c r="J37" s="666"/>
      <c r="K37" s="21">
        <f t="shared" si="16"/>
        <v>1</v>
      </c>
      <c r="L37" s="666"/>
      <c r="M37" s="21">
        <f t="shared" si="17"/>
        <v>1</v>
      </c>
      <c r="N37" s="666"/>
      <c r="O37" s="21">
        <f t="shared" si="18"/>
        <v>1</v>
      </c>
      <c r="P37" s="666"/>
      <c r="Q37" s="21">
        <f t="shared" si="19"/>
        <v>1</v>
      </c>
      <c r="R37" s="662">
        <f t="shared" ca="1" si="20"/>
        <v>48361</v>
      </c>
      <c r="S37" s="316">
        <f t="shared" ca="1" si="11"/>
        <v>525</v>
      </c>
      <c r="T37" s="724" t="str">
        <f>明细表!G14</f>
        <v>办公</v>
      </c>
      <c r="U37" s="724">
        <f>明细表!D14</f>
        <v>6</v>
      </c>
    </row>
    <row r="38" spans="1:21">
      <c r="A38" s="150" t="str">
        <f>明细表!B15</f>
        <v>2单元726</v>
      </c>
      <c r="B38" s="54">
        <f>明细表!E15</f>
        <v>201.75</v>
      </c>
      <c r="C38" s="21">
        <f t="shared" si="12"/>
        <v>1</v>
      </c>
      <c r="D38" s="2808" t="s">
        <v>3573</v>
      </c>
      <c r="E38" s="21">
        <f t="shared" si="13"/>
        <v>1</v>
      </c>
      <c r="F38" s="2808" t="s">
        <v>3528</v>
      </c>
      <c r="G38" s="21">
        <f t="shared" si="14"/>
        <v>1</v>
      </c>
      <c r="H38" s="666" t="s">
        <v>3586</v>
      </c>
      <c r="I38" s="21">
        <f t="shared" si="15"/>
        <v>1</v>
      </c>
      <c r="J38" s="666"/>
      <c r="K38" s="21">
        <f t="shared" si="16"/>
        <v>1</v>
      </c>
      <c r="L38" s="666"/>
      <c r="M38" s="21">
        <f t="shared" si="17"/>
        <v>1</v>
      </c>
      <c r="N38" s="666"/>
      <c r="O38" s="21">
        <f t="shared" si="18"/>
        <v>1</v>
      </c>
      <c r="P38" s="666"/>
      <c r="Q38" s="21">
        <f t="shared" si="19"/>
        <v>1</v>
      </c>
      <c r="R38" s="662">
        <f t="shared" ca="1" si="20"/>
        <v>46058</v>
      </c>
      <c r="S38" s="316">
        <f t="shared" ca="1" si="11"/>
        <v>929</v>
      </c>
      <c r="T38" s="724" t="str">
        <f>明细表!G15</f>
        <v>公寓</v>
      </c>
      <c r="U38" s="724">
        <f>明细表!D15</f>
        <v>6</v>
      </c>
    </row>
    <row r="39" spans="1:21">
      <c r="A39" s="150" t="str">
        <f>明细表!B16</f>
        <v>2单元809</v>
      </c>
      <c r="B39" s="54">
        <f>明细表!E16</f>
        <v>142.4</v>
      </c>
      <c r="C39" s="21">
        <f t="shared" si="12"/>
        <v>1</v>
      </c>
      <c r="D39" s="2808" t="s">
        <v>3573</v>
      </c>
      <c r="E39" s="21">
        <f t="shared" si="13"/>
        <v>1</v>
      </c>
      <c r="F39" s="666" t="s">
        <v>3580</v>
      </c>
      <c r="G39" s="21">
        <f t="shared" si="14"/>
        <v>1.02</v>
      </c>
      <c r="H39" s="666" t="s">
        <v>3586</v>
      </c>
      <c r="I39" s="21">
        <f t="shared" si="15"/>
        <v>1</v>
      </c>
      <c r="J39" s="666"/>
      <c r="K39" s="21">
        <f t="shared" si="16"/>
        <v>1</v>
      </c>
      <c r="L39" s="666"/>
      <c r="M39" s="21">
        <f t="shared" si="17"/>
        <v>1</v>
      </c>
      <c r="N39" s="666"/>
      <c r="O39" s="21">
        <f t="shared" si="18"/>
        <v>1</v>
      </c>
      <c r="P39" s="666"/>
      <c r="Q39" s="21">
        <f t="shared" si="19"/>
        <v>1</v>
      </c>
      <c r="R39" s="662">
        <f t="shared" ca="1" si="20"/>
        <v>46979</v>
      </c>
      <c r="S39" s="316">
        <f t="shared" ca="1" si="11"/>
        <v>669</v>
      </c>
      <c r="T39" s="724" t="str">
        <f>明细表!G16</f>
        <v>公寓</v>
      </c>
      <c r="U39" s="724">
        <f>明细表!D16</f>
        <v>7</v>
      </c>
    </row>
    <row r="40" spans="1:21">
      <c r="A40" s="150" t="str">
        <f>明细表!B17</f>
        <v>2单元810</v>
      </c>
      <c r="B40" s="54">
        <f>明细表!E17</f>
        <v>108.47</v>
      </c>
      <c r="C40" s="21">
        <f t="shared" si="12"/>
        <v>1</v>
      </c>
      <c r="D40" s="2808" t="s">
        <v>3573</v>
      </c>
      <c r="E40" s="21">
        <f t="shared" si="13"/>
        <v>1</v>
      </c>
      <c r="F40" s="666" t="s">
        <v>3580</v>
      </c>
      <c r="G40" s="21">
        <f t="shared" si="14"/>
        <v>1.02</v>
      </c>
      <c r="H40" s="666" t="s">
        <v>21</v>
      </c>
      <c r="I40" s="21">
        <f t="shared" si="15"/>
        <v>1.05</v>
      </c>
      <c r="J40" s="666"/>
      <c r="K40" s="21">
        <f t="shared" si="16"/>
        <v>1</v>
      </c>
      <c r="L40" s="666"/>
      <c r="M40" s="21">
        <f t="shared" si="17"/>
        <v>1</v>
      </c>
      <c r="N40" s="666"/>
      <c r="O40" s="21">
        <f t="shared" si="18"/>
        <v>1</v>
      </c>
      <c r="P40" s="666"/>
      <c r="Q40" s="21">
        <f t="shared" si="19"/>
        <v>1</v>
      </c>
      <c r="R40" s="662">
        <f t="shared" ca="1" si="20"/>
        <v>49328</v>
      </c>
      <c r="S40" s="316">
        <f t="shared" ca="1" si="11"/>
        <v>535</v>
      </c>
      <c r="T40" s="724" t="str">
        <f>明细表!G17</f>
        <v>办公</v>
      </c>
      <c r="U40" s="724">
        <f>明细表!D17</f>
        <v>7</v>
      </c>
    </row>
    <row r="41" spans="1:21">
      <c r="A41" s="150" t="str">
        <f>明细表!B18</f>
        <v>2单元811</v>
      </c>
      <c r="B41" s="54">
        <f>明细表!E18</f>
        <v>108.47</v>
      </c>
      <c r="C41" s="21">
        <f t="shared" si="12"/>
        <v>1</v>
      </c>
      <c r="D41" s="2808" t="s">
        <v>3573</v>
      </c>
      <c r="E41" s="21">
        <f t="shared" si="13"/>
        <v>1</v>
      </c>
      <c r="F41" s="666" t="s">
        <v>3580</v>
      </c>
      <c r="G41" s="21">
        <f t="shared" si="14"/>
        <v>1.02</v>
      </c>
      <c r="H41" s="666" t="s">
        <v>21</v>
      </c>
      <c r="I41" s="21">
        <f t="shared" si="15"/>
        <v>1.05</v>
      </c>
      <c r="J41" s="666"/>
      <c r="K41" s="21">
        <f t="shared" si="16"/>
        <v>1</v>
      </c>
      <c r="L41" s="666"/>
      <c r="M41" s="21">
        <f t="shared" si="17"/>
        <v>1</v>
      </c>
      <c r="N41" s="666"/>
      <c r="O41" s="21">
        <f t="shared" si="18"/>
        <v>1</v>
      </c>
      <c r="P41" s="666"/>
      <c r="Q41" s="21">
        <f t="shared" si="19"/>
        <v>1</v>
      </c>
      <c r="R41" s="662">
        <f t="shared" ca="1" si="20"/>
        <v>49328</v>
      </c>
      <c r="S41" s="316">
        <f t="shared" ca="1" si="11"/>
        <v>535</v>
      </c>
      <c r="T41" s="724" t="str">
        <f>明细表!G18</f>
        <v>办公</v>
      </c>
      <c r="U41" s="724">
        <f>明细表!D18</f>
        <v>7</v>
      </c>
    </row>
    <row r="42" spans="1:21">
      <c r="A42" s="150" t="str">
        <f>明细表!B19</f>
        <v>2单元815</v>
      </c>
      <c r="B42" s="54">
        <f>明细表!E19</f>
        <v>108.47</v>
      </c>
      <c r="C42" s="21">
        <f t="shared" si="12"/>
        <v>1</v>
      </c>
      <c r="D42" s="2808" t="s">
        <v>3573</v>
      </c>
      <c r="E42" s="21">
        <f t="shared" si="13"/>
        <v>1</v>
      </c>
      <c r="F42" s="666" t="s">
        <v>3580</v>
      </c>
      <c r="G42" s="21">
        <f t="shared" si="14"/>
        <v>1.02</v>
      </c>
      <c r="H42" s="666" t="s">
        <v>3586</v>
      </c>
      <c r="I42" s="21">
        <f t="shared" si="15"/>
        <v>1</v>
      </c>
      <c r="J42" s="666"/>
      <c r="K42" s="21">
        <f t="shared" si="16"/>
        <v>1</v>
      </c>
      <c r="L42" s="666"/>
      <c r="M42" s="21">
        <f t="shared" si="17"/>
        <v>1</v>
      </c>
      <c r="N42" s="666"/>
      <c r="O42" s="21">
        <f t="shared" si="18"/>
        <v>1</v>
      </c>
      <c r="P42" s="666"/>
      <c r="Q42" s="21">
        <f t="shared" si="19"/>
        <v>1</v>
      </c>
      <c r="R42" s="662">
        <f t="shared" ca="1" si="20"/>
        <v>46979</v>
      </c>
      <c r="S42" s="316">
        <f t="shared" ca="1" si="11"/>
        <v>510</v>
      </c>
      <c r="T42" s="724" t="str">
        <f>明细表!G19</f>
        <v>公寓</v>
      </c>
      <c r="U42" s="724">
        <f>明细表!D19</f>
        <v>7</v>
      </c>
    </row>
    <row r="43" spans="1:21">
      <c r="A43" s="150" t="str">
        <f>明细表!B20</f>
        <v>2单元816</v>
      </c>
      <c r="B43" s="54">
        <f>明细表!E20</f>
        <v>108.47</v>
      </c>
      <c r="C43" s="21">
        <f t="shared" si="12"/>
        <v>1</v>
      </c>
      <c r="D43" s="2808" t="s">
        <v>3573</v>
      </c>
      <c r="E43" s="21">
        <f t="shared" si="13"/>
        <v>1</v>
      </c>
      <c r="F43" s="666" t="s">
        <v>3580</v>
      </c>
      <c r="G43" s="21">
        <f t="shared" si="14"/>
        <v>1.02</v>
      </c>
      <c r="H43" s="666" t="s">
        <v>3586</v>
      </c>
      <c r="I43" s="21">
        <f t="shared" si="15"/>
        <v>1</v>
      </c>
      <c r="J43" s="666"/>
      <c r="K43" s="21">
        <f t="shared" si="16"/>
        <v>1</v>
      </c>
      <c r="L43" s="666"/>
      <c r="M43" s="21">
        <f t="shared" si="17"/>
        <v>1</v>
      </c>
      <c r="N43" s="666"/>
      <c r="O43" s="21">
        <f t="shared" si="18"/>
        <v>1</v>
      </c>
      <c r="P43" s="666"/>
      <c r="Q43" s="21">
        <f t="shared" si="19"/>
        <v>1</v>
      </c>
      <c r="R43" s="662">
        <f t="shared" ca="1" si="20"/>
        <v>46979</v>
      </c>
      <c r="S43" s="316">
        <f t="shared" ca="1" si="11"/>
        <v>510</v>
      </c>
      <c r="T43" s="724" t="str">
        <f>明细表!G20</f>
        <v>公寓</v>
      </c>
      <c r="U43" s="724">
        <f>明细表!D20</f>
        <v>7</v>
      </c>
    </row>
    <row r="44" spans="1:21">
      <c r="A44" s="150" t="str">
        <f>明细表!B21</f>
        <v>2单元817</v>
      </c>
      <c r="B44" s="54">
        <f>明细表!E21</f>
        <v>142.4</v>
      </c>
      <c r="C44" s="21">
        <f t="shared" si="12"/>
        <v>1</v>
      </c>
      <c r="D44" s="2808" t="s">
        <v>3573</v>
      </c>
      <c r="E44" s="21">
        <f t="shared" si="13"/>
        <v>1</v>
      </c>
      <c r="F44" s="666" t="s">
        <v>3580</v>
      </c>
      <c r="G44" s="21">
        <f t="shared" si="14"/>
        <v>1.02</v>
      </c>
      <c r="H44" s="666" t="s">
        <v>3586</v>
      </c>
      <c r="I44" s="21">
        <f t="shared" si="15"/>
        <v>1</v>
      </c>
      <c r="J44" s="666"/>
      <c r="K44" s="21">
        <f t="shared" si="16"/>
        <v>1</v>
      </c>
      <c r="L44" s="666"/>
      <c r="M44" s="21">
        <f t="shared" si="17"/>
        <v>1</v>
      </c>
      <c r="N44" s="666"/>
      <c r="O44" s="21">
        <f t="shared" si="18"/>
        <v>1</v>
      </c>
      <c r="P44" s="666"/>
      <c r="Q44" s="21">
        <f t="shared" si="19"/>
        <v>1</v>
      </c>
      <c r="R44" s="662">
        <f t="shared" ca="1" si="20"/>
        <v>46979</v>
      </c>
      <c r="S44" s="316">
        <f t="shared" ca="1" si="11"/>
        <v>669</v>
      </c>
      <c r="T44" s="724" t="str">
        <f>明细表!G21</f>
        <v>公寓</v>
      </c>
      <c r="U44" s="724">
        <f>明细表!D21</f>
        <v>7</v>
      </c>
    </row>
    <row r="45" spans="1:21">
      <c r="A45" s="150" t="str">
        <f>明细表!B22</f>
        <v>2单元901</v>
      </c>
      <c r="B45" s="54">
        <f>明细表!E22</f>
        <v>208.9</v>
      </c>
      <c r="C45" s="21">
        <f t="shared" si="12"/>
        <v>1</v>
      </c>
      <c r="D45" s="2808" t="s">
        <v>3573</v>
      </c>
      <c r="E45" s="21">
        <f t="shared" si="13"/>
        <v>1</v>
      </c>
      <c r="F45" s="666" t="s">
        <v>3580</v>
      </c>
      <c r="G45" s="21">
        <f t="shared" si="14"/>
        <v>1.02</v>
      </c>
      <c r="H45" s="666" t="s">
        <v>3586</v>
      </c>
      <c r="I45" s="21">
        <f t="shared" si="15"/>
        <v>1</v>
      </c>
      <c r="J45" s="666"/>
      <c r="K45" s="21">
        <f t="shared" si="16"/>
        <v>1</v>
      </c>
      <c r="L45" s="666"/>
      <c r="M45" s="21">
        <f t="shared" si="17"/>
        <v>1</v>
      </c>
      <c r="N45" s="666"/>
      <c r="O45" s="21">
        <f t="shared" si="18"/>
        <v>1</v>
      </c>
      <c r="P45" s="666"/>
      <c r="Q45" s="21">
        <f t="shared" si="19"/>
        <v>1</v>
      </c>
      <c r="R45" s="662">
        <f t="shared" ca="1" si="20"/>
        <v>46979</v>
      </c>
      <c r="S45" s="316">
        <f t="shared" ca="1" si="11"/>
        <v>981</v>
      </c>
      <c r="T45" s="724" t="str">
        <f>明细表!G22</f>
        <v>公寓</v>
      </c>
      <c r="U45" s="724">
        <f>明细表!D22</f>
        <v>8</v>
      </c>
    </row>
    <row r="46" spans="1:21">
      <c r="A46" s="150" t="str">
        <f>明细表!B23</f>
        <v>2单元909</v>
      </c>
      <c r="B46" s="54">
        <f>明细表!E23</f>
        <v>142.4</v>
      </c>
      <c r="C46" s="21">
        <f t="shared" si="12"/>
        <v>1</v>
      </c>
      <c r="D46" s="2808" t="s">
        <v>3573</v>
      </c>
      <c r="E46" s="21">
        <f t="shared" si="13"/>
        <v>1</v>
      </c>
      <c r="F46" s="666" t="s">
        <v>3580</v>
      </c>
      <c r="G46" s="21">
        <f t="shared" si="14"/>
        <v>1.02</v>
      </c>
      <c r="H46" s="666" t="s">
        <v>3586</v>
      </c>
      <c r="I46" s="21">
        <f t="shared" si="15"/>
        <v>1</v>
      </c>
      <c r="J46" s="666"/>
      <c r="K46" s="21">
        <f t="shared" si="16"/>
        <v>1</v>
      </c>
      <c r="L46" s="666"/>
      <c r="M46" s="21">
        <f t="shared" si="17"/>
        <v>1</v>
      </c>
      <c r="N46" s="666"/>
      <c r="O46" s="21">
        <f t="shared" si="18"/>
        <v>1</v>
      </c>
      <c r="P46" s="666"/>
      <c r="Q46" s="21">
        <f t="shared" si="19"/>
        <v>1</v>
      </c>
      <c r="R46" s="662">
        <f t="shared" ca="1" si="20"/>
        <v>46979</v>
      </c>
      <c r="S46" s="316">
        <f t="shared" ca="1" si="11"/>
        <v>669</v>
      </c>
      <c r="T46" s="724" t="str">
        <f>明细表!G23</f>
        <v>公寓</v>
      </c>
      <c r="U46" s="724">
        <f>明细表!D23</f>
        <v>8</v>
      </c>
    </row>
    <row r="47" spans="1:21">
      <c r="A47" s="150" t="str">
        <f>明细表!B24</f>
        <v>2单元910</v>
      </c>
      <c r="B47" s="54">
        <f>明细表!E24</f>
        <v>108.47</v>
      </c>
      <c r="C47" s="21">
        <f t="shared" si="12"/>
        <v>1</v>
      </c>
      <c r="D47" s="2808" t="s">
        <v>3573</v>
      </c>
      <c r="E47" s="21">
        <f t="shared" si="13"/>
        <v>1</v>
      </c>
      <c r="F47" s="666" t="s">
        <v>3580</v>
      </c>
      <c r="G47" s="21">
        <f t="shared" si="14"/>
        <v>1.02</v>
      </c>
      <c r="H47" s="666" t="s">
        <v>3586</v>
      </c>
      <c r="I47" s="21">
        <f t="shared" si="15"/>
        <v>1</v>
      </c>
      <c r="J47" s="666"/>
      <c r="K47" s="21">
        <f t="shared" si="16"/>
        <v>1</v>
      </c>
      <c r="L47" s="666"/>
      <c r="M47" s="21">
        <f t="shared" si="17"/>
        <v>1</v>
      </c>
      <c r="N47" s="666"/>
      <c r="O47" s="21">
        <f t="shared" si="18"/>
        <v>1</v>
      </c>
      <c r="P47" s="666"/>
      <c r="Q47" s="21">
        <f t="shared" si="19"/>
        <v>1</v>
      </c>
      <c r="R47" s="662">
        <f t="shared" ca="1" si="20"/>
        <v>46979</v>
      </c>
      <c r="S47" s="316">
        <f t="shared" ca="1" si="11"/>
        <v>510</v>
      </c>
      <c r="T47" s="724" t="str">
        <f>明细表!G24</f>
        <v>公寓</v>
      </c>
      <c r="U47" s="724">
        <f>明细表!D24</f>
        <v>8</v>
      </c>
    </row>
    <row r="48" spans="1:21">
      <c r="A48" s="150" t="str">
        <f>明细表!B25</f>
        <v>2单元911</v>
      </c>
      <c r="B48" s="54">
        <f>明细表!E25</f>
        <v>108.47</v>
      </c>
      <c r="C48" s="21">
        <f t="shared" si="12"/>
        <v>1</v>
      </c>
      <c r="D48" s="2808" t="s">
        <v>3573</v>
      </c>
      <c r="E48" s="21">
        <f t="shared" si="13"/>
        <v>1</v>
      </c>
      <c r="F48" s="666" t="s">
        <v>3580</v>
      </c>
      <c r="G48" s="21">
        <f t="shared" si="14"/>
        <v>1.02</v>
      </c>
      <c r="H48" s="666" t="s">
        <v>3586</v>
      </c>
      <c r="I48" s="21">
        <f t="shared" si="15"/>
        <v>1</v>
      </c>
      <c r="J48" s="666"/>
      <c r="K48" s="21">
        <f t="shared" si="16"/>
        <v>1</v>
      </c>
      <c r="L48" s="666"/>
      <c r="M48" s="21">
        <f t="shared" si="17"/>
        <v>1</v>
      </c>
      <c r="N48" s="666"/>
      <c r="O48" s="21">
        <f t="shared" si="18"/>
        <v>1</v>
      </c>
      <c r="P48" s="666"/>
      <c r="Q48" s="21">
        <f t="shared" si="19"/>
        <v>1</v>
      </c>
      <c r="R48" s="662">
        <f t="shared" ca="1" si="20"/>
        <v>46979</v>
      </c>
      <c r="S48" s="316">
        <f t="shared" ca="1" si="11"/>
        <v>510</v>
      </c>
      <c r="T48" s="724" t="str">
        <f>明细表!G25</f>
        <v>公寓</v>
      </c>
      <c r="U48" s="724">
        <f>明细表!D25</f>
        <v>8</v>
      </c>
    </row>
    <row r="49" spans="1:21">
      <c r="A49" s="150" t="str">
        <f>明细表!B26</f>
        <v>2单元916</v>
      </c>
      <c r="B49" s="54">
        <f>明细表!E26</f>
        <v>108.47</v>
      </c>
      <c r="C49" s="21">
        <f t="shared" si="12"/>
        <v>1</v>
      </c>
      <c r="D49" s="2808" t="s">
        <v>3573</v>
      </c>
      <c r="E49" s="21">
        <f t="shared" si="13"/>
        <v>1</v>
      </c>
      <c r="F49" s="666" t="s">
        <v>3580</v>
      </c>
      <c r="G49" s="21">
        <f t="shared" si="14"/>
        <v>1.02</v>
      </c>
      <c r="H49" s="666" t="s">
        <v>3586</v>
      </c>
      <c r="I49" s="21">
        <f t="shared" si="15"/>
        <v>1</v>
      </c>
      <c r="J49" s="666"/>
      <c r="K49" s="21">
        <f t="shared" si="16"/>
        <v>1</v>
      </c>
      <c r="L49" s="666"/>
      <c r="M49" s="21">
        <f t="shared" si="17"/>
        <v>1</v>
      </c>
      <c r="N49" s="666"/>
      <c r="O49" s="21">
        <f t="shared" si="18"/>
        <v>1</v>
      </c>
      <c r="P49" s="666"/>
      <c r="Q49" s="21">
        <f t="shared" si="19"/>
        <v>1</v>
      </c>
      <c r="R49" s="662">
        <f t="shared" ca="1" si="20"/>
        <v>46979</v>
      </c>
      <c r="S49" s="316">
        <f t="shared" ca="1" si="11"/>
        <v>510</v>
      </c>
      <c r="T49" s="724" t="str">
        <f>明细表!G26</f>
        <v>公寓</v>
      </c>
      <c r="U49" s="724">
        <f>明细表!D26</f>
        <v>8</v>
      </c>
    </row>
    <row r="50" spans="1:21">
      <c r="A50" s="150" t="str">
        <f>明细表!B27</f>
        <v>2单元1003</v>
      </c>
      <c r="B50" s="54">
        <f>明细表!E27</f>
        <v>109.06</v>
      </c>
      <c r="C50" s="21">
        <f t="shared" si="12"/>
        <v>1</v>
      </c>
      <c r="D50" s="2808" t="s">
        <v>3573</v>
      </c>
      <c r="E50" s="21">
        <f t="shared" si="13"/>
        <v>1</v>
      </c>
      <c r="F50" s="666" t="s">
        <v>3580</v>
      </c>
      <c r="G50" s="21">
        <f t="shared" si="14"/>
        <v>1.02</v>
      </c>
      <c r="H50" s="666" t="s">
        <v>3586</v>
      </c>
      <c r="I50" s="21">
        <f t="shared" si="15"/>
        <v>1</v>
      </c>
      <c r="J50" s="666"/>
      <c r="K50" s="21">
        <f t="shared" si="16"/>
        <v>1</v>
      </c>
      <c r="L50" s="666"/>
      <c r="M50" s="21">
        <f t="shared" si="17"/>
        <v>1</v>
      </c>
      <c r="N50" s="666"/>
      <c r="O50" s="21">
        <f t="shared" si="18"/>
        <v>1</v>
      </c>
      <c r="P50" s="666"/>
      <c r="Q50" s="21">
        <f t="shared" si="19"/>
        <v>1</v>
      </c>
      <c r="R50" s="662">
        <f t="shared" ca="1" si="20"/>
        <v>46979</v>
      </c>
      <c r="S50" s="316">
        <f t="shared" ca="1" si="11"/>
        <v>512</v>
      </c>
      <c r="T50" s="724" t="str">
        <f>明细表!G27</f>
        <v>公寓</v>
      </c>
      <c r="U50" s="724">
        <f>明细表!D27</f>
        <v>9</v>
      </c>
    </row>
    <row r="51" spans="1:21">
      <c r="A51" s="150" t="str">
        <f>明细表!B28</f>
        <v>2单元1005</v>
      </c>
      <c r="B51" s="54">
        <f>明细表!E28</f>
        <v>109.06</v>
      </c>
      <c r="C51" s="21">
        <f t="shared" si="12"/>
        <v>1</v>
      </c>
      <c r="D51" s="2808" t="s">
        <v>3573</v>
      </c>
      <c r="E51" s="21">
        <f t="shared" si="13"/>
        <v>1</v>
      </c>
      <c r="F51" s="666" t="s">
        <v>3580</v>
      </c>
      <c r="G51" s="21">
        <f t="shared" si="14"/>
        <v>1.02</v>
      </c>
      <c r="H51" s="666" t="s">
        <v>3586</v>
      </c>
      <c r="I51" s="21">
        <f t="shared" si="15"/>
        <v>1</v>
      </c>
      <c r="J51" s="666"/>
      <c r="K51" s="21">
        <f t="shared" si="16"/>
        <v>1</v>
      </c>
      <c r="L51" s="666"/>
      <c r="M51" s="21">
        <f t="shared" si="17"/>
        <v>1</v>
      </c>
      <c r="N51" s="666"/>
      <c r="O51" s="21">
        <f t="shared" si="18"/>
        <v>1</v>
      </c>
      <c r="P51" s="666"/>
      <c r="Q51" s="21">
        <f t="shared" si="19"/>
        <v>1</v>
      </c>
      <c r="R51" s="662">
        <f t="shared" ca="1" si="20"/>
        <v>46979</v>
      </c>
      <c r="S51" s="316">
        <f t="shared" ca="1" si="11"/>
        <v>512</v>
      </c>
      <c r="T51" s="724" t="str">
        <f>明细表!G28</f>
        <v>公寓</v>
      </c>
      <c r="U51" s="724">
        <f>明细表!D28</f>
        <v>9</v>
      </c>
    </row>
    <row r="52" spans="1:21">
      <c r="A52" s="150" t="str">
        <f>明细表!B29</f>
        <v>2单元1007</v>
      </c>
      <c r="B52" s="54">
        <f>明细表!E29</f>
        <v>109.06</v>
      </c>
      <c r="C52" s="21">
        <f t="shared" si="12"/>
        <v>1</v>
      </c>
      <c r="D52" s="2808" t="s">
        <v>3573</v>
      </c>
      <c r="E52" s="21">
        <f t="shared" si="13"/>
        <v>1</v>
      </c>
      <c r="F52" s="666" t="s">
        <v>3580</v>
      </c>
      <c r="G52" s="21">
        <f t="shared" si="14"/>
        <v>1.02</v>
      </c>
      <c r="H52" s="666" t="s">
        <v>3586</v>
      </c>
      <c r="I52" s="21">
        <f t="shared" si="15"/>
        <v>1</v>
      </c>
      <c r="J52" s="666"/>
      <c r="K52" s="21">
        <f t="shared" si="16"/>
        <v>1</v>
      </c>
      <c r="L52" s="666"/>
      <c r="M52" s="21">
        <f t="shared" si="17"/>
        <v>1</v>
      </c>
      <c r="N52" s="666"/>
      <c r="O52" s="21">
        <f t="shared" si="18"/>
        <v>1</v>
      </c>
      <c r="P52" s="666"/>
      <c r="Q52" s="21">
        <f t="shared" si="19"/>
        <v>1</v>
      </c>
      <c r="R52" s="662">
        <f t="shared" ca="1" si="20"/>
        <v>46979</v>
      </c>
      <c r="S52" s="316">
        <f t="shared" ca="1" si="11"/>
        <v>512</v>
      </c>
      <c r="T52" s="724" t="str">
        <f>明细表!G29</f>
        <v>公寓</v>
      </c>
      <c r="U52" s="724">
        <f>明细表!D29</f>
        <v>9</v>
      </c>
    </row>
    <row r="53" spans="1:21">
      <c r="A53" s="150" t="str">
        <f>明细表!B30</f>
        <v>2单元1009</v>
      </c>
      <c r="B53" s="54">
        <f>明细表!E30</f>
        <v>142.4</v>
      </c>
      <c r="C53" s="21">
        <f t="shared" si="12"/>
        <v>1</v>
      </c>
      <c r="D53" s="2808" t="s">
        <v>3573</v>
      </c>
      <c r="E53" s="21">
        <f t="shared" si="13"/>
        <v>1</v>
      </c>
      <c r="F53" s="666" t="s">
        <v>3580</v>
      </c>
      <c r="G53" s="21">
        <f t="shared" si="14"/>
        <v>1.02</v>
      </c>
      <c r="H53" s="666" t="s">
        <v>3586</v>
      </c>
      <c r="I53" s="21">
        <f t="shared" si="15"/>
        <v>1</v>
      </c>
      <c r="J53" s="666"/>
      <c r="K53" s="21">
        <f t="shared" si="16"/>
        <v>1</v>
      </c>
      <c r="L53" s="666"/>
      <c r="M53" s="21">
        <f t="shared" si="17"/>
        <v>1</v>
      </c>
      <c r="N53" s="666"/>
      <c r="O53" s="21">
        <f t="shared" si="18"/>
        <v>1</v>
      </c>
      <c r="P53" s="666"/>
      <c r="Q53" s="21">
        <f t="shared" si="19"/>
        <v>1</v>
      </c>
      <c r="R53" s="662">
        <f t="shared" ca="1" si="20"/>
        <v>46979</v>
      </c>
      <c r="S53" s="316">
        <f t="shared" ca="1" si="11"/>
        <v>669</v>
      </c>
      <c r="T53" s="724" t="str">
        <f>明细表!G30</f>
        <v>公寓</v>
      </c>
      <c r="U53" s="724">
        <f>明细表!D30</f>
        <v>9</v>
      </c>
    </row>
    <row r="54" spans="1:21">
      <c r="A54" s="150" t="str">
        <f>明细表!B31</f>
        <v>2单元1010</v>
      </c>
      <c r="B54" s="54">
        <f>明细表!E31</f>
        <v>108.47</v>
      </c>
      <c r="C54" s="21">
        <f t="shared" si="12"/>
        <v>1</v>
      </c>
      <c r="D54" s="2808" t="s">
        <v>3573</v>
      </c>
      <c r="E54" s="21">
        <f t="shared" si="13"/>
        <v>1</v>
      </c>
      <c r="F54" s="666" t="s">
        <v>3580</v>
      </c>
      <c r="G54" s="21">
        <f t="shared" si="14"/>
        <v>1.02</v>
      </c>
      <c r="H54" s="666" t="s">
        <v>3586</v>
      </c>
      <c r="I54" s="21">
        <f t="shared" si="15"/>
        <v>1</v>
      </c>
      <c r="J54" s="666"/>
      <c r="K54" s="21">
        <f t="shared" si="16"/>
        <v>1</v>
      </c>
      <c r="L54" s="666"/>
      <c r="M54" s="21">
        <f t="shared" si="17"/>
        <v>1</v>
      </c>
      <c r="N54" s="666"/>
      <c r="O54" s="21">
        <f t="shared" si="18"/>
        <v>1</v>
      </c>
      <c r="P54" s="666"/>
      <c r="Q54" s="21">
        <f t="shared" si="19"/>
        <v>1</v>
      </c>
      <c r="R54" s="662">
        <f t="shared" ca="1" si="20"/>
        <v>46979</v>
      </c>
      <c r="S54" s="316">
        <f t="shared" ca="1" si="11"/>
        <v>510</v>
      </c>
      <c r="T54" s="724" t="str">
        <f>明细表!G31</f>
        <v>公寓</v>
      </c>
      <c r="U54" s="724">
        <f>明细表!D31</f>
        <v>9</v>
      </c>
    </row>
    <row r="55" spans="1:21">
      <c r="A55" s="150" t="str">
        <f>明细表!B32</f>
        <v>2单元1011</v>
      </c>
      <c r="B55" s="54">
        <f>明细表!E32</f>
        <v>108.47</v>
      </c>
      <c r="C55" s="21">
        <f t="shared" si="12"/>
        <v>1</v>
      </c>
      <c r="D55" s="2808" t="s">
        <v>3573</v>
      </c>
      <c r="E55" s="21">
        <f t="shared" si="13"/>
        <v>1</v>
      </c>
      <c r="F55" s="666" t="s">
        <v>3580</v>
      </c>
      <c r="G55" s="21">
        <f t="shared" si="14"/>
        <v>1.02</v>
      </c>
      <c r="H55" s="666" t="s">
        <v>3586</v>
      </c>
      <c r="I55" s="21">
        <f t="shared" si="15"/>
        <v>1</v>
      </c>
      <c r="J55" s="666"/>
      <c r="K55" s="21">
        <f t="shared" si="16"/>
        <v>1</v>
      </c>
      <c r="L55" s="666"/>
      <c r="M55" s="21">
        <f t="shared" si="17"/>
        <v>1</v>
      </c>
      <c r="N55" s="666"/>
      <c r="O55" s="21">
        <f t="shared" si="18"/>
        <v>1</v>
      </c>
      <c r="P55" s="666"/>
      <c r="Q55" s="21">
        <f t="shared" si="19"/>
        <v>1</v>
      </c>
      <c r="R55" s="662">
        <f t="shared" ca="1" si="20"/>
        <v>46979</v>
      </c>
      <c r="S55" s="316">
        <f t="shared" ref="S55:S77" ca="1" si="21">ROUND(R55*B55/10000,0)</f>
        <v>510</v>
      </c>
      <c r="T55" s="724" t="str">
        <f>明细表!G32</f>
        <v>公寓</v>
      </c>
      <c r="U55" s="724">
        <f>明细表!D32</f>
        <v>9</v>
      </c>
    </row>
    <row r="56" spans="1:21">
      <c r="A56" s="150" t="str">
        <f>明细表!B33</f>
        <v>2单元1012</v>
      </c>
      <c r="B56" s="54">
        <f>明细表!E33</f>
        <v>100.31</v>
      </c>
      <c r="C56" s="21">
        <f t="shared" si="12"/>
        <v>1</v>
      </c>
      <c r="D56" s="2808" t="s">
        <v>3573</v>
      </c>
      <c r="E56" s="21">
        <f t="shared" si="13"/>
        <v>1</v>
      </c>
      <c r="F56" s="666" t="s">
        <v>3580</v>
      </c>
      <c r="G56" s="21">
        <f t="shared" si="14"/>
        <v>1.02</v>
      </c>
      <c r="H56" s="666" t="s">
        <v>3586</v>
      </c>
      <c r="I56" s="21">
        <f t="shared" si="15"/>
        <v>1</v>
      </c>
      <c r="J56" s="666"/>
      <c r="K56" s="21">
        <f t="shared" si="16"/>
        <v>1</v>
      </c>
      <c r="L56" s="666"/>
      <c r="M56" s="21">
        <f t="shared" si="17"/>
        <v>1</v>
      </c>
      <c r="N56" s="666"/>
      <c r="O56" s="21">
        <f t="shared" si="18"/>
        <v>1</v>
      </c>
      <c r="P56" s="666"/>
      <c r="Q56" s="21">
        <f t="shared" si="19"/>
        <v>1</v>
      </c>
      <c r="R56" s="662">
        <f t="shared" ca="1" si="20"/>
        <v>46979</v>
      </c>
      <c r="S56" s="316">
        <f t="shared" ca="1" si="21"/>
        <v>471</v>
      </c>
      <c r="T56" s="724" t="str">
        <f>明细表!G33</f>
        <v>公寓</v>
      </c>
      <c r="U56" s="724">
        <f>明细表!D33</f>
        <v>9</v>
      </c>
    </row>
    <row r="57" spans="1:21">
      <c r="A57" s="150" t="str">
        <f>明细表!B34</f>
        <v>2单元1015</v>
      </c>
      <c r="B57" s="54">
        <f>明细表!E34</f>
        <v>108.47</v>
      </c>
      <c r="C57" s="21">
        <f t="shared" si="12"/>
        <v>1</v>
      </c>
      <c r="D57" s="2808" t="s">
        <v>3573</v>
      </c>
      <c r="E57" s="21">
        <f t="shared" si="13"/>
        <v>1</v>
      </c>
      <c r="F57" s="666" t="s">
        <v>3580</v>
      </c>
      <c r="G57" s="21">
        <f t="shared" si="14"/>
        <v>1.02</v>
      </c>
      <c r="H57" s="666" t="s">
        <v>3586</v>
      </c>
      <c r="I57" s="21">
        <f t="shared" si="15"/>
        <v>1</v>
      </c>
      <c r="J57" s="666"/>
      <c r="K57" s="21">
        <f t="shared" si="16"/>
        <v>1</v>
      </c>
      <c r="L57" s="666"/>
      <c r="M57" s="21">
        <f t="shared" si="17"/>
        <v>1</v>
      </c>
      <c r="N57" s="666"/>
      <c r="O57" s="21">
        <f t="shared" si="18"/>
        <v>1</v>
      </c>
      <c r="P57" s="666"/>
      <c r="Q57" s="21">
        <f t="shared" si="19"/>
        <v>1</v>
      </c>
      <c r="R57" s="662">
        <f t="shared" ca="1" si="20"/>
        <v>46979</v>
      </c>
      <c r="S57" s="316">
        <f t="shared" ca="1" si="21"/>
        <v>510</v>
      </c>
      <c r="T57" s="724" t="str">
        <f>明细表!G34</f>
        <v>公寓</v>
      </c>
      <c r="U57" s="724">
        <f>明细表!D34</f>
        <v>9</v>
      </c>
    </row>
    <row r="58" spans="1:21">
      <c r="A58" s="150" t="str">
        <f>明细表!B35</f>
        <v>2单元1016</v>
      </c>
      <c r="B58" s="54">
        <f>明细表!E35</f>
        <v>108.47</v>
      </c>
      <c r="C58" s="21">
        <f t="shared" si="12"/>
        <v>1</v>
      </c>
      <c r="D58" s="2808" t="s">
        <v>3573</v>
      </c>
      <c r="E58" s="21">
        <f t="shared" si="13"/>
        <v>1</v>
      </c>
      <c r="F58" s="666" t="s">
        <v>3580</v>
      </c>
      <c r="G58" s="21">
        <f t="shared" si="14"/>
        <v>1.02</v>
      </c>
      <c r="H58" s="666" t="s">
        <v>3586</v>
      </c>
      <c r="I58" s="21">
        <f t="shared" si="15"/>
        <v>1</v>
      </c>
      <c r="J58" s="666"/>
      <c r="K58" s="21">
        <f t="shared" si="16"/>
        <v>1</v>
      </c>
      <c r="L58" s="666"/>
      <c r="M58" s="21">
        <f t="shared" si="17"/>
        <v>1</v>
      </c>
      <c r="N58" s="666"/>
      <c r="O58" s="21">
        <f t="shared" si="18"/>
        <v>1</v>
      </c>
      <c r="P58" s="666"/>
      <c r="Q58" s="21">
        <f t="shared" si="19"/>
        <v>1</v>
      </c>
      <c r="R58" s="662">
        <f t="shared" ca="1" si="20"/>
        <v>46979</v>
      </c>
      <c r="S58" s="316">
        <f t="shared" ca="1" si="21"/>
        <v>510</v>
      </c>
      <c r="T58" s="724" t="str">
        <f>明细表!G35</f>
        <v>公寓</v>
      </c>
      <c r="U58" s="724">
        <f>明细表!D35</f>
        <v>9</v>
      </c>
    </row>
    <row r="59" spans="1:21">
      <c r="A59" s="150" t="str">
        <f>明细表!B36</f>
        <v>2单元1017</v>
      </c>
      <c r="B59" s="54">
        <f>明细表!E36</f>
        <v>142.4</v>
      </c>
      <c r="C59" s="21">
        <f t="shared" si="12"/>
        <v>1</v>
      </c>
      <c r="D59" s="2808" t="s">
        <v>3573</v>
      </c>
      <c r="E59" s="21">
        <f t="shared" si="13"/>
        <v>1</v>
      </c>
      <c r="F59" s="666" t="s">
        <v>3580</v>
      </c>
      <c r="G59" s="21">
        <f t="shared" si="14"/>
        <v>1.02</v>
      </c>
      <c r="H59" s="666" t="s">
        <v>3586</v>
      </c>
      <c r="I59" s="21">
        <f t="shared" si="15"/>
        <v>1</v>
      </c>
      <c r="J59" s="666"/>
      <c r="K59" s="21">
        <f t="shared" si="16"/>
        <v>1</v>
      </c>
      <c r="L59" s="666"/>
      <c r="M59" s="21">
        <f t="shared" si="17"/>
        <v>1</v>
      </c>
      <c r="N59" s="666"/>
      <c r="O59" s="21">
        <f t="shared" si="18"/>
        <v>1</v>
      </c>
      <c r="P59" s="666"/>
      <c r="Q59" s="21">
        <f t="shared" si="19"/>
        <v>1</v>
      </c>
      <c r="R59" s="662">
        <f t="shared" ca="1" si="20"/>
        <v>46979</v>
      </c>
      <c r="S59" s="316">
        <f t="shared" ca="1" si="21"/>
        <v>669</v>
      </c>
      <c r="T59" s="724" t="str">
        <f>明细表!G36</f>
        <v>公寓</v>
      </c>
      <c r="U59" s="724">
        <f>明细表!D36</f>
        <v>9</v>
      </c>
    </row>
    <row r="60" spans="1:21">
      <c r="A60" s="150" t="str">
        <f>明细表!B37</f>
        <v>2单元1107</v>
      </c>
      <c r="B60" s="54">
        <f>明细表!E37</f>
        <v>109.06</v>
      </c>
      <c r="C60" s="21">
        <f t="shared" si="12"/>
        <v>1</v>
      </c>
      <c r="D60" s="2808" t="s">
        <v>3573</v>
      </c>
      <c r="E60" s="21">
        <f t="shared" si="13"/>
        <v>1</v>
      </c>
      <c r="F60" s="666" t="s">
        <v>3580</v>
      </c>
      <c r="G60" s="21">
        <f t="shared" si="14"/>
        <v>1.02</v>
      </c>
      <c r="H60" s="666" t="s">
        <v>3586</v>
      </c>
      <c r="I60" s="21">
        <f t="shared" si="15"/>
        <v>1</v>
      </c>
      <c r="J60" s="666"/>
      <c r="K60" s="21">
        <f t="shared" si="16"/>
        <v>1</v>
      </c>
      <c r="L60" s="666"/>
      <c r="M60" s="21">
        <f t="shared" si="17"/>
        <v>1</v>
      </c>
      <c r="N60" s="666"/>
      <c r="O60" s="21">
        <f t="shared" si="18"/>
        <v>1</v>
      </c>
      <c r="P60" s="666"/>
      <c r="Q60" s="21">
        <f t="shared" si="19"/>
        <v>1</v>
      </c>
      <c r="R60" s="662">
        <f t="shared" ca="1" si="20"/>
        <v>46979</v>
      </c>
      <c r="S60" s="316">
        <f t="shared" ca="1" si="21"/>
        <v>512</v>
      </c>
      <c r="T60" s="724" t="str">
        <f>明细表!G37</f>
        <v>公寓</v>
      </c>
      <c r="U60" s="724">
        <f>明细表!D37</f>
        <v>10</v>
      </c>
    </row>
    <row r="61" spans="1:21">
      <c r="A61" s="150" t="str">
        <f>明细表!B38</f>
        <v>2单元1112</v>
      </c>
      <c r="B61" s="54">
        <f>明细表!E38</f>
        <v>100.31</v>
      </c>
      <c r="C61" s="21">
        <f t="shared" si="12"/>
        <v>1</v>
      </c>
      <c r="D61" s="2808" t="s">
        <v>3573</v>
      </c>
      <c r="E61" s="21">
        <f t="shared" si="13"/>
        <v>1</v>
      </c>
      <c r="F61" s="666" t="s">
        <v>3580</v>
      </c>
      <c r="G61" s="21">
        <f t="shared" si="14"/>
        <v>1.02</v>
      </c>
      <c r="H61" s="666" t="s">
        <v>3586</v>
      </c>
      <c r="I61" s="21">
        <f t="shared" si="15"/>
        <v>1</v>
      </c>
      <c r="J61" s="666"/>
      <c r="K61" s="21">
        <f t="shared" si="16"/>
        <v>1</v>
      </c>
      <c r="L61" s="666"/>
      <c r="M61" s="21">
        <f t="shared" si="17"/>
        <v>1</v>
      </c>
      <c r="N61" s="666"/>
      <c r="O61" s="21">
        <f t="shared" si="18"/>
        <v>1</v>
      </c>
      <c r="P61" s="666"/>
      <c r="Q61" s="21">
        <f t="shared" si="19"/>
        <v>1</v>
      </c>
      <c r="R61" s="662">
        <f t="shared" ca="1" si="20"/>
        <v>46979</v>
      </c>
      <c r="S61" s="316">
        <f t="shared" ca="1" si="21"/>
        <v>471</v>
      </c>
      <c r="T61" s="724" t="str">
        <f>明细表!G38</f>
        <v>公寓</v>
      </c>
      <c r="U61" s="724">
        <f>明细表!D38</f>
        <v>10</v>
      </c>
    </row>
    <row r="62" spans="1:21">
      <c r="A62" s="150" t="str">
        <f>明细表!B39</f>
        <v>2单元1207</v>
      </c>
      <c r="B62" s="54">
        <f>明细表!E39</f>
        <v>109.06</v>
      </c>
      <c r="C62" s="21">
        <f t="shared" si="12"/>
        <v>1</v>
      </c>
      <c r="D62" s="2808" t="s">
        <v>3573</v>
      </c>
      <c r="E62" s="21">
        <f t="shared" si="13"/>
        <v>1</v>
      </c>
      <c r="F62" s="666" t="s">
        <v>3580</v>
      </c>
      <c r="G62" s="21">
        <f t="shared" si="14"/>
        <v>1.02</v>
      </c>
      <c r="H62" s="666" t="s">
        <v>3586</v>
      </c>
      <c r="I62" s="21">
        <f t="shared" si="15"/>
        <v>1</v>
      </c>
      <c r="J62" s="666"/>
      <c r="K62" s="21">
        <f t="shared" si="16"/>
        <v>1</v>
      </c>
      <c r="L62" s="666"/>
      <c r="M62" s="21">
        <f t="shared" si="17"/>
        <v>1</v>
      </c>
      <c r="N62" s="666"/>
      <c r="O62" s="21">
        <f t="shared" si="18"/>
        <v>1</v>
      </c>
      <c r="P62" s="666"/>
      <c r="Q62" s="21">
        <f t="shared" si="19"/>
        <v>1</v>
      </c>
      <c r="R62" s="662">
        <f t="shared" ca="1" si="20"/>
        <v>46979</v>
      </c>
      <c r="S62" s="316">
        <f t="shared" ca="1" si="21"/>
        <v>512</v>
      </c>
      <c r="T62" s="724" t="str">
        <f>明细表!G39</f>
        <v>公寓</v>
      </c>
      <c r="U62" s="724">
        <f>明细表!D39</f>
        <v>11</v>
      </c>
    </row>
    <row r="63" spans="1:21">
      <c r="A63" s="150" t="str">
        <f>明细表!B40</f>
        <v>2单元1208</v>
      </c>
      <c r="B63" s="54">
        <f>明细表!E40</f>
        <v>208.9</v>
      </c>
      <c r="C63" s="21">
        <f t="shared" si="12"/>
        <v>1</v>
      </c>
      <c r="D63" s="2808" t="s">
        <v>3573</v>
      </c>
      <c r="E63" s="21">
        <f t="shared" si="13"/>
        <v>1</v>
      </c>
      <c r="F63" s="666" t="s">
        <v>3580</v>
      </c>
      <c r="G63" s="21">
        <f t="shared" si="14"/>
        <v>1.02</v>
      </c>
      <c r="H63" s="666" t="s">
        <v>3586</v>
      </c>
      <c r="I63" s="21">
        <f t="shared" si="15"/>
        <v>1</v>
      </c>
      <c r="J63" s="666"/>
      <c r="K63" s="21">
        <f t="shared" si="16"/>
        <v>1</v>
      </c>
      <c r="L63" s="666"/>
      <c r="M63" s="21">
        <f t="shared" si="17"/>
        <v>1</v>
      </c>
      <c r="N63" s="666"/>
      <c r="O63" s="21">
        <f t="shared" si="18"/>
        <v>1</v>
      </c>
      <c r="P63" s="666"/>
      <c r="Q63" s="21">
        <f t="shared" si="19"/>
        <v>1</v>
      </c>
      <c r="R63" s="662">
        <f t="shared" ca="1" si="20"/>
        <v>46979</v>
      </c>
      <c r="S63" s="316">
        <f t="shared" ca="1" si="21"/>
        <v>981</v>
      </c>
      <c r="T63" s="724" t="str">
        <f>明细表!G40</f>
        <v>公寓</v>
      </c>
      <c r="U63" s="724">
        <f>明细表!D40</f>
        <v>11</v>
      </c>
    </row>
    <row r="64" spans="1:21">
      <c r="A64" s="150" t="str">
        <f>明细表!B41</f>
        <v>2单元1210</v>
      </c>
      <c r="B64" s="54">
        <f>明细表!E41</f>
        <v>108.47</v>
      </c>
      <c r="C64" s="21">
        <f t="shared" si="12"/>
        <v>1</v>
      </c>
      <c r="D64" s="2808" t="s">
        <v>3573</v>
      </c>
      <c r="E64" s="21">
        <f t="shared" si="13"/>
        <v>1</v>
      </c>
      <c r="F64" s="666" t="s">
        <v>3580</v>
      </c>
      <c r="G64" s="21">
        <f t="shared" si="14"/>
        <v>1.02</v>
      </c>
      <c r="H64" s="666" t="s">
        <v>3586</v>
      </c>
      <c r="I64" s="21">
        <f t="shared" si="15"/>
        <v>1</v>
      </c>
      <c r="J64" s="666"/>
      <c r="K64" s="21">
        <f t="shared" si="16"/>
        <v>1</v>
      </c>
      <c r="L64" s="666"/>
      <c r="M64" s="21">
        <f t="shared" si="17"/>
        <v>1</v>
      </c>
      <c r="N64" s="666"/>
      <c r="O64" s="21">
        <f t="shared" si="18"/>
        <v>1</v>
      </c>
      <c r="P64" s="666"/>
      <c r="Q64" s="21">
        <f t="shared" si="19"/>
        <v>1</v>
      </c>
      <c r="R64" s="662">
        <f t="shared" ca="1" si="20"/>
        <v>46979</v>
      </c>
      <c r="S64" s="316">
        <f t="shared" ca="1" si="21"/>
        <v>510</v>
      </c>
      <c r="T64" s="724" t="str">
        <f>明细表!G41</f>
        <v>公寓</v>
      </c>
      <c r="U64" s="724">
        <f>明细表!D41</f>
        <v>11</v>
      </c>
    </row>
    <row r="65" spans="1:21">
      <c r="A65" s="150" t="str">
        <f>明细表!B42</f>
        <v>2单元1212</v>
      </c>
      <c r="B65" s="54">
        <f>明细表!E42</f>
        <v>100.31</v>
      </c>
      <c r="C65" s="21">
        <f t="shared" si="12"/>
        <v>1</v>
      </c>
      <c r="D65" s="2808" t="s">
        <v>3573</v>
      </c>
      <c r="E65" s="21">
        <f t="shared" si="13"/>
        <v>1</v>
      </c>
      <c r="F65" s="666" t="s">
        <v>3580</v>
      </c>
      <c r="G65" s="21">
        <f t="shared" si="14"/>
        <v>1.02</v>
      </c>
      <c r="H65" s="666" t="s">
        <v>3586</v>
      </c>
      <c r="I65" s="21">
        <f t="shared" si="15"/>
        <v>1</v>
      </c>
      <c r="J65" s="666"/>
      <c r="K65" s="21">
        <f t="shared" si="16"/>
        <v>1</v>
      </c>
      <c r="L65" s="666"/>
      <c r="M65" s="21">
        <f t="shared" si="17"/>
        <v>1</v>
      </c>
      <c r="N65" s="666"/>
      <c r="O65" s="21">
        <f t="shared" si="18"/>
        <v>1</v>
      </c>
      <c r="P65" s="666"/>
      <c r="Q65" s="21">
        <f t="shared" si="19"/>
        <v>1</v>
      </c>
      <c r="R65" s="662">
        <f t="shared" ca="1" si="20"/>
        <v>46979</v>
      </c>
      <c r="S65" s="316">
        <f t="shared" ca="1" si="21"/>
        <v>471</v>
      </c>
      <c r="T65" s="724" t="str">
        <f>明细表!G42</f>
        <v>公寓</v>
      </c>
      <c r="U65" s="724">
        <f>明细表!D42</f>
        <v>11</v>
      </c>
    </row>
    <row r="66" spans="1:21">
      <c r="A66" s="150" t="str">
        <f>明细表!B43</f>
        <v>2单元1216</v>
      </c>
      <c r="B66" s="54">
        <f>明细表!E43</f>
        <v>108.47</v>
      </c>
      <c r="C66" s="21">
        <f t="shared" si="12"/>
        <v>1</v>
      </c>
      <c r="D66" s="2808" t="s">
        <v>3573</v>
      </c>
      <c r="E66" s="21">
        <f t="shared" si="13"/>
        <v>1</v>
      </c>
      <c r="F66" s="666" t="s">
        <v>3580</v>
      </c>
      <c r="G66" s="21">
        <f t="shared" si="14"/>
        <v>1.02</v>
      </c>
      <c r="H66" s="666" t="s">
        <v>3586</v>
      </c>
      <c r="I66" s="21">
        <f t="shared" si="15"/>
        <v>1</v>
      </c>
      <c r="J66" s="666"/>
      <c r="K66" s="21">
        <f t="shared" si="16"/>
        <v>1</v>
      </c>
      <c r="L66" s="666"/>
      <c r="M66" s="21">
        <f t="shared" si="17"/>
        <v>1</v>
      </c>
      <c r="N66" s="666"/>
      <c r="O66" s="21">
        <f t="shared" si="18"/>
        <v>1</v>
      </c>
      <c r="P66" s="666"/>
      <c r="Q66" s="21">
        <f t="shared" si="19"/>
        <v>1</v>
      </c>
      <c r="R66" s="662">
        <f t="shared" ca="1" si="20"/>
        <v>46979</v>
      </c>
      <c r="S66" s="316">
        <f t="shared" ca="1" si="21"/>
        <v>510</v>
      </c>
      <c r="T66" s="724" t="str">
        <f>明细表!G43</f>
        <v>公寓</v>
      </c>
      <c r="U66" s="724">
        <f>明细表!D43</f>
        <v>11</v>
      </c>
    </row>
    <row r="67" spans="1:21">
      <c r="A67" s="150" t="str">
        <f>明细表!B44</f>
        <v>2单元1217</v>
      </c>
      <c r="B67" s="54">
        <f>明细表!E44</f>
        <v>142.4</v>
      </c>
      <c r="C67" s="21">
        <f t="shared" si="12"/>
        <v>1</v>
      </c>
      <c r="D67" s="2808" t="s">
        <v>3573</v>
      </c>
      <c r="E67" s="21">
        <f t="shared" si="13"/>
        <v>1</v>
      </c>
      <c r="F67" s="666" t="s">
        <v>3580</v>
      </c>
      <c r="G67" s="21">
        <f t="shared" si="14"/>
        <v>1.02</v>
      </c>
      <c r="H67" s="666" t="s">
        <v>3586</v>
      </c>
      <c r="I67" s="21">
        <f t="shared" si="15"/>
        <v>1</v>
      </c>
      <c r="J67" s="666"/>
      <c r="K67" s="21">
        <f t="shared" si="16"/>
        <v>1</v>
      </c>
      <c r="L67" s="666"/>
      <c r="M67" s="21">
        <f t="shared" si="17"/>
        <v>1</v>
      </c>
      <c r="N67" s="666"/>
      <c r="O67" s="21">
        <f t="shared" si="18"/>
        <v>1</v>
      </c>
      <c r="P67" s="666"/>
      <c r="Q67" s="21">
        <f t="shared" si="19"/>
        <v>1</v>
      </c>
      <c r="R67" s="662">
        <f t="shared" ca="1" si="20"/>
        <v>46979</v>
      </c>
      <c r="S67" s="316">
        <f t="shared" ca="1" si="21"/>
        <v>669</v>
      </c>
      <c r="T67" s="724" t="str">
        <f>明细表!G44</f>
        <v>公寓</v>
      </c>
      <c r="U67" s="724">
        <f>明细表!D44</f>
        <v>11</v>
      </c>
    </row>
    <row r="68" spans="1:21">
      <c r="A68" s="150" t="str">
        <f>明细表!B45</f>
        <v>2单元1602</v>
      </c>
      <c r="B68" s="54">
        <f>明细表!E45</f>
        <v>109.06</v>
      </c>
      <c r="C68" s="21">
        <f t="shared" si="12"/>
        <v>1</v>
      </c>
      <c r="D68" s="2808" t="s">
        <v>3573</v>
      </c>
      <c r="E68" s="21">
        <f t="shared" si="13"/>
        <v>1</v>
      </c>
      <c r="F68" s="666" t="s">
        <v>3593</v>
      </c>
      <c r="G68" s="21">
        <f t="shared" si="14"/>
        <v>1.04</v>
      </c>
      <c r="H68" s="666" t="s">
        <v>21</v>
      </c>
      <c r="I68" s="21">
        <f t="shared" si="15"/>
        <v>1.05</v>
      </c>
      <c r="J68" s="666"/>
      <c r="K68" s="21">
        <f t="shared" si="16"/>
        <v>1</v>
      </c>
      <c r="L68" s="666"/>
      <c r="M68" s="21">
        <f t="shared" si="17"/>
        <v>1</v>
      </c>
      <c r="N68" s="666"/>
      <c r="O68" s="21">
        <f t="shared" si="18"/>
        <v>1</v>
      </c>
      <c r="P68" s="666"/>
      <c r="Q68" s="21">
        <f t="shared" si="19"/>
        <v>1</v>
      </c>
      <c r="R68" s="662">
        <f t="shared" ca="1" si="20"/>
        <v>50295</v>
      </c>
      <c r="S68" s="316">
        <f t="shared" ca="1" si="21"/>
        <v>549</v>
      </c>
      <c r="T68" s="724" t="str">
        <f>明细表!G45</f>
        <v>办公</v>
      </c>
      <c r="U68" s="724">
        <f>明细表!D45</f>
        <v>14</v>
      </c>
    </row>
    <row r="69" spans="1:21">
      <c r="A69" s="150" t="str">
        <f>明细表!B46</f>
        <v>2单元1603</v>
      </c>
      <c r="B69" s="54">
        <f>明细表!E46</f>
        <v>109.06</v>
      </c>
      <c r="C69" s="21">
        <f t="shared" si="12"/>
        <v>1</v>
      </c>
      <c r="D69" s="2808" t="s">
        <v>3573</v>
      </c>
      <c r="E69" s="21">
        <f t="shared" si="13"/>
        <v>1</v>
      </c>
      <c r="F69" s="666" t="s">
        <v>3593</v>
      </c>
      <c r="G69" s="21">
        <f t="shared" si="14"/>
        <v>1.04</v>
      </c>
      <c r="H69" s="666" t="s">
        <v>21</v>
      </c>
      <c r="I69" s="21">
        <f t="shared" si="15"/>
        <v>1.05</v>
      </c>
      <c r="J69" s="666"/>
      <c r="K69" s="21">
        <f t="shared" si="16"/>
        <v>1</v>
      </c>
      <c r="L69" s="666"/>
      <c r="M69" s="21">
        <f t="shared" si="17"/>
        <v>1</v>
      </c>
      <c r="N69" s="666"/>
      <c r="O69" s="21">
        <f t="shared" si="18"/>
        <v>1</v>
      </c>
      <c r="P69" s="666"/>
      <c r="Q69" s="21">
        <f t="shared" si="19"/>
        <v>1</v>
      </c>
      <c r="R69" s="662">
        <f t="shared" ca="1" si="20"/>
        <v>50295</v>
      </c>
      <c r="S69" s="316">
        <f t="shared" ca="1" si="21"/>
        <v>549</v>
      </c>
      <c r="T69" s="724" t="str">
        <f>明细表!G46</f>
        <v>办公</v>
      </c>
      <c r="U69" s="724">
        <f>明细表!D46</f>
        <v>14</v>
      </c>
    </row>
    <row r="70" spans="1:21">
      <c r="A70" s="150" t="str">
        <f>明细表!B47</f>
        <v>2单元1605</v>
      </c>
      <c r="B70" s="54">
        <f>明细表!E47</f>
        <v>109.06</v>
      </c>
      <c r="C70" s="21">
        <f t="shared" si="12"/>
        <v>1</v>
      </c>
      <c r="D70" s="2808" t="s">
        <v>3573</v>
      </c>
      <c r="E70" s="21">
        <f t="shared" si="13"/>
        <v>1</v>
      </c>
      <c r="F70" s="666" t="s">
        <v>3593</v>
      </c>
      <c r="G70" s="21">
        <f t="shared" si="14"/>
        <v>1.04</v>
      </c>
      <c r="H70" s="666" t="s">
        <v>21</v>
      </c>
      <c r="I70" s="21">
        <f t="shared" si="15"/>
        <v>1.05</v>
      </c>
      <c r="J70" s="666"/>
      <c r="K70" s="21">
        <f t="shared" si="16"/>
        <v>1</v>
      </c>
      <c r="L70" s="666"/>
      <c r="M70" s="21">
        <f t="shared" si="17"/>
        <v>1</v>
      </c>
      <c r="N70" s="666"/>
      <c r="O70" s="21">
        <f t="shared" si="18"/>
        <v>1</v>
      </c>
      <c r="P70" s="666"/>
      <c r="Q70" s="21">
        <f t="shared" si="19"/>
        <v>1</v>
      </c>
      <c r="R70" s="662">
        <f t="shared" ca="1" si="20"/>
        <v>50295</v>
      </c>
      <c r="S70" s="316">
        <f t="shared" ca="1" si="21"/>
        <v>549</v>
      </c>
      <c r="T70" s="724" t="str">
        <f>明细表!G47</f>
        <v>办公</v>
      </c>
      <c r="U70" s="724">
        <f>明细表!D47</f>
        <v>14</v>
      </c>
    </row>
    <row r="71" spans="1:21">
      <c r="A71" s="150" t="str">
        <f>明细表!B48</f>
        <v>2单元1606</v>
      </c>
      <c r="B71" s="54">
        <f>明细表!E48</f>
        <v>109.06</v>
      </c>
      <c r="C71" s="21">
        <f t="shared" si="12"/>
        <v>1</v>
      </c>
      <c r="D71" s="2808" t="s">
        <v>3573</v>
      </c>
      <c r="E71" s="21">
        <f t="shared" si="13"/>
        <v>1</v>
      </c>
      <c r="F71" s="666" t="s">
        <v>3593</v>
      </c>
      <c r="G71" s="21">
        <f t="shared" si="14"/>
        <v>1.04</v>
      </c>
      <c r="H71" s="666" t="s">
        <v>21</v>
      </c>
      <c r="I71" s="21">
        <f t="shared" si="15"/>
        <v>1.05</v>
      </c>
      <c r="J71" s="666"/>
      <c r="K71" s="21">
        <f t="shared" si="16"/>
        <v>1</v>
      </c>
      <c r="L71" s="666"/>
      <c r="M71" s="21">
        <f t="shared" si="17"/>
        <v>1</v>
      </c>
      <c r="N71" s="666"/>
      <c r="O71" s="21">
        <f t="shared" si="18"/>
        <v>1</v>
      </c>
      <c r="P71" s="666"/>
      <c r="Q71" s="21">
        <f t="shared" si="19"/>
        <v>1</v>
      </c>
      <c r="R71" s="662">
        <f t="shared" ca="1" si="20"/>
        <v>50295</v>
      </c>
      <c r="S71" s="316">
        <f t="shared" ca="1" si="21"/>
        <v>549</v>
      </c>
      <c r="T71" s="724" t="str">
        <f>明细表!G48</f>
        <v>办公</v>
      </c>
      <c r="U71" s="724">
        <f>明细表!D48</f>
        <v>14</v>
      </c>
    </row>
    <row r="72" spans="1:21">
      <c r="A72" s="150" t="str">
        <f>明细表!B49</f>
        <v>2单元1607</v>
      </c>
      <c r="B72" s="54">
        <f>明细表!E49</f>
        <v>109.06</v>
      </c>
      <c r="C72" s="21">
        <f t="shared" si="12"/>
        <v>1</v>
      </c>
      <c r="D72" s="2808" t="s">
        <v>3573</v>
      </c>
      <c r="E72" s="21">
        <f t="shared" si="13"/>
        <v>1</v>
      </c>
      <c r="F72" s="666" t="s">
        <v>3593</v>
      </c>
      <c r="G72" s="21">
        <f t="shared" si="14"/>
        <v>1.04</v>
      </c>
      <c r="H72" s="666" t="s">
        <v>21</v>
      </c>
      <c r="I72" s="21">
        <f t="shared" si="15"/>
        <v>1.05</v>
      </c>
      <c r="J72" s="666"/>
      <c r="K72" s="21">
        <f t="shared" si="16"/>
        <v>1</v>
      </c>
      <c r="L72" s="666"/>
      <c r="M72" s="21">
        <f t="shared" si="17"/>
        <v>1</v>
      </c>
      <c r="N72" s="666"/>
      <c r="O72" s="21">
        <f t="shared" si="18"/>
        <v>1</v>
      </c>
      <c r="P72" s="666"/>
      <c r="Q72" s="21">
        <f t="shared" si="19"/>
        <v>1</v>
      </c>
      <c r="R72" s="662">
        <f t="shared" ca="1" si="20"/>
        <v>50295</v>
      </c>
      <c r="S72" s="316">
        <f t="shared" ca="1" si="21"/>
        <v>549</v>
      </c>
      <c r="T72" s="724" t="str">
        <f>明细表!G49</f>
        <v>办公</v>
      </c>
      <c r="U72" s="724">
        <f>明细表!D49</f>
        <v>14</v>
      </c>
    </row>
    <row r="73" spans="1:21">
      <c r="A73" s="150" t="str">
        <f>明细表!B50</f>
        <v>2单元1608</v>
      </c>
      <c r="B73" s="54">
        <f>明细表!E50</f>
        <v>208.9</v>
      </c>
      <c r="C73" s="21">
        <f t="shared" si="12"/>
        <v>1</v>
      </c>
      <c r="D73" s="2808" t="s">
        <v>3573</v>
      </c>
      <c r="E73" s="21">
        <f t="shared" si="13"/>
        <v>1</v>
      </c>
      <c r="F73" s="666" t="s">
        <v>3593</v>
      </c>
      <c r="G73" s="21">
        <f t="shared" si="14"/>
        <v>1.04</v>
      </c>
      <c r="H73" s="666" t="s">
        <v>21</v>
      </c>
      <c r="I73" s="21">
        <f t="shared" si="15"/>
        <v>1.05</v>
      </c>
      <c r="J73" s="666"/>
      <c r="K73" s="21">
        <f t="shared" si="16"/>
        <v>1</v>
      </c>
      <c r="L73" s="666"/>
      <c r="M73" s="21">
        <f t="shared" si="17"/>
        <v>1</v>
      </c>
      <c r="N73" s="666"/>
      <c r="O73" s="21">
        <f t="shared" si="18"/>
        <v>1</v>
      </c>
      <c r="P73" s="666"/>
      <c r="Q73" s="21">
        <f t="shared" si="19"/>
        <v>1</v>
      </c>
      <c r="R73" s="662">
        <f t="shared" ca="1" si="20"/>
        <v>50295</v>
      </c>
      <c r="S73" s="316">
        <f t="shared" ca="1" si="21"/>
        <v>1051</v>
      </c>
      <c r="T73" s="724" t="str">
        <f>明细表!G50</f>
        <v>办公</v>
      </c>
      <c r="U73" s="724">
        <f>明细表!D50</f>
        <v>14</v>
      </c>
    </row>
    <row r="74" spans="1:21">
      <c r="A74" s="150" t="str">
        <f>明细表!B51</f>
        <v>2单元1610</v>
      </c>
      <c r="B74" s="54">
        <f>明细表!E51</f>
        <v>108.47</v>
      </c>
      <c r="C74" s="21">
        <f t="shared" si="12"/>
        <v>1</v>
      </c>
      <c r="D74" s="2808" t="s">
        <v>3573</v>
      </c>
      <c r="E74" s="21">
        <f t="shared" si="13"/>
        <v>1</v>
      </c>
      <c r="F74" s="666" t="s">
        <v>3593</v>
      </c>
      <c r="G74" s="21">
        <f t="shared" si="14"/>
        <v>1.04</v>
      </c>
      <c r="H74" s="666" t="s">
        <v>3586</v>
      </c>
      <c r="I74" s="21">
        <f t="shared" si="15"/>
        <v>1</v>
      </c>
      <c r="J74" s="666"/>
      <c r="K74" s="21">
        <f t="shared" si="16"/>
        <v>1</v>
      </c>
      <c r="L74" s="666"/>
      <c r="M74" s="21">
        <f t="shared" si="17"/>
        <v>1</v>
      </c>
      <c r="N74" s="666"/>
      <c r="O74" s="21">
        <f t="shared" si="18"/>
        <v>1</v>
      </c>
      <c r="P74" s="666"/>
      <c r="Q74" s="21">
        <f t="shared" si="19"/>
        <v>1</v>
      </c>
      <c r="R74" s="662">
        <f t="shared" ca="1" si="20"/>
        <v>47900</v>
      </c>
      <c r="S74" s="316">
        <f t="shared" ca="1" si="21"/>
        <v>520</v>
      </c>
      <c r="T74" s="724" t="str">
        <f>明细表!G51</f>
        <v>公寓</v>
      </c>
      <c r="U74" s="724">
        <f>明细表!D51</f>
        <v>14</v>
      </c>
    </row>
    <row r="75" spans="1:21">
      <c r="A75" s="150" t="str">
        <f>明细表!B52</f>
        <v>2单元1611</v>
      </c>
      <c r="B75" s="54">
        <f>明细表!E52</f>
        <v>108.47</v>
      </c>
      <c r="C75" s="21">
        <f t="shared" si="12"/>
        <v>1</v>
      </c>
      <c r="D75" s="2808" t="s">
        <v>3573</v>
      </c>
      <c r="E75" s="21">
        <f t="shared" si="13"/>
        <v>1</v>
      </c>
      <c r="F75" s="666" t="s">
        <v>3593</v>
      </c>
      <c r="G75" s="21">
        <f t="shared" si="14"/>
        <v>1.04</v>
      </c>
      <c r="H75" s="666" t="s">
        <v>3586</v>
      </c>
      <c r="I75" s="21">
        <f t="shared" si="15"/>
        <v>1</v>
      </c>
      <c r="J75" s="666"/>
      <c r="K75" s="21">
        <f t="shared" si="16"/>
        <v>1</v>
      </c>
      <c r="L75" s="666"/>
      <c r="M75" s="21">
        <f t="shared" si="17"/>
        <v>1</v>
      </c>
      <c r="N75" s="666"/>
      <c r="O75" s="21">
        <f t="shared" si="18"/>
        <v>1</v>
      </c>
      <c r="P75" s="666"/>
      <c r="Q75" s="21">
        <f t="shared" si="19"/>
        <v>1</v>
      </c>
      <c r="R75" s="662">
        <f t="shared" ca="1" si="20"/>
        <v>47900</v>
      </c>
      <c r="S75" s="316">
        <f t="shared" ca="1" si="21"/>
        <v>520</v>
      </c>
      <c r="T75" s="724" t="str">
        <f>明细表!G52</f>
        <v>公寓</v>
      </c>
      <c r="U75" s="724">
        <f>明细表!D52</f>
        <v>14</v>
      </c>
    </row>
    <row r="76" spans="1:21">
      <c r="A76" s="150" t="str">
        <f>明细表!B53</f>
        <v>2单元1612</v>
      </c>
      <c r="B76" s="54">
        <f>明细表!E53</f>
        <v>100.31</v>
      </c>
      <c r="C76" s="21">
        <f t="shared" si="12"/>
        <v>1</v>
      </c>
      <c r="D76" s="2808" t="s">
        <v>3573</v>
      </c>
      <c r="E76" s="21">
        <f t="shared" si="13"/>
        <v>1</v>
      </c>
      <c r="F76" s="666" t="s">
        <v>3593</v>
      </c>
      <c r="G76" s="21">
        <f t="shared" si="14"/>
        <v>1.04</v>
      </c>
      <c r="H76" s="666" t="s">
        <v>3586</v>
      </c>
      <c r="I76" s="21">
        <f t="shared" si="15"/>
        <v>1</v>
      </c>
      <c r="J76" s="666"/>
      <c r="K76" s="21">
        <f t="shared" si="16"/>
        <v>1</v>
      </c>
      <c r="L76" s="666"/>
      <c r="M76" s="21">
        <f t="shared" si="17"/>
        <v>1</v>
      </c>
      <c r="N76" s="666"/>
      <c r="O76" s="21">
        <f t="shared" si="18"/>
        <v>1</v>
      </c>
      <c r="P76" s="666"/>
      <c r="Q76" s="21">
        <f t="shared" si="19"/>
        <v>1</v>
      </c>
      <c r="R76" s="662">
        <f t="shared" ca="1" si="20"/>
        <v>47900</v>
      </c>
      <c r="S76" s="316">
        <f t="shared" ca="1" si="21"/>
        <v>480</v>
      </c>
      <c r="T76" s="724" t="str">
        <f>明细表!G53</f>
        <v>公寓</v>
      </c>
      <c r="U76" s="724">
        <f>明细表!D53</f>
        <v>14</v>
      </c>
    </row>
    <row r="77" spans="1:21">
      <c r="A77" s="150" t="str">
        <f>明细表!B54</f>
        <v>2单元1615</v>
      </c>
      <c r="B77" s="54">
        <f>明细表!E54</f>
        <v>108.47</v>
      </c>
      <c r="C77" s="21">
        <f t="shared" si="12"/>
        <v>1</v>
      </c>
      <c r="D77" s="2808" t="s">
        <v>3573</v>
      </c>
      <c r="E77" s="21">
        <f t="shared" si="13"/>
        <v>1</v>
      </c>
      <c r="F77" s="666" t="s">
        <v>3593</v>
      </c>
      <c r="G77" s="21">
        <f t="shared" si="14"/>
        <v>1.04</v>
      </c>
      <c r="H77" s="666" t="s">
        <v>3586</v>
      </c>
      <c r="I77" s="21">
        <f t="shared" si="15"/>
        <v>1</v>
      </c>
      <c r="J77" s="666"/>
      <c r="K77" s="21">
        <f t="shared" si="16"/>
        <v>1</v>
      </c>
      <c r="L77" s="666"/>
      <c r="M77" s="21">
        <f t="shared" si="17"/>
        <v>1</v>
      </c>
      <c r="N77" s="666"/>
      <c r="O77" s="21">
        <f t="shared" si="18"/>
        <v>1</v>
      </c>
      <c r="P77" s="666"/>
      <c r="Q77" s="21">
        <f t="shared" si="19"/>
        <v>1</v>
      </c>
      <c r="R77" s="662">
        <f t="shared" ca="1" si="20"/>
        <v>47900</v>
      </c>
      <c r="S77" s="316">
        <f t="shared" ca="1" si="21"/>
        <v>520</v>
      </c>
      <c r="T77" s="724" t="str">
        <f>明细表!G54</f>
        <v>公寓</v>
      </c>
      <c r="U77" s="724">
        <f>明细表!D54</f>
        <v>14</v>
      </c>
    </row>
    <row r="78" spans="1:21">
      <c r="A78" s="150" t="str">
        <f>明细表!B55</f>
        <v>2单元1617</v>
      </c>
      <c r="B78" s="54">
        <f>明细表!E55</f>
        <v>142.4</v>
      </c>
      <c r="C78" s="21">
        <f t="shared" si="12"/>
        <v>1</v>
      </c>
      <c r="D78" s="2808" t="s">
        <v>3573</v>
      </c>
      <c r="E78" s="21">
        <f t="shared" si="13"/>
        <v>1</v>
      </c>
      <c r="F78" s="666" t="s">
        <v>3593</v>
      </c>
      <c r="G78" s="21">
        <f t="shared" si="14"/>
        <v>1.04</v>
      </c>
      <c r="H78" s="666" t="s">
        <v>3586</v>
      </c>
      <c r="I78" s="21">
        <f t="shared" si="15"/>
        <v>1</v>
      </c>
      <c r="J78" s="666"/>
      <c r="K78" s="21">
        <f t="shared" si="16"/>
        <v>1</v>
      </c>
      <c r="L78" s="666"/>
      <c r="M78" s="21">
        <f t="shared" si="17"/>
        <v>1</v>
      </c>
      <c r="N78" s="666"/>
      <c r="O78" s="21">
        <f t="shared" si="18"/>
        <v>1</v>
      </c>
      <c r="P78" s="666"/>
      <c r="Q78" s="21">
        <f t="shared" si="19"/>
        <v>1</v>
      </c>
      <c r="R78" s="662">
        <f t="shared" ca="1" si="20"/>
        <v>47900</v>
      </c>
      <c r="S78" s="316">
        <f t="shared" ref="S78:S122" ca="1" si="22">ROUND(R78*B78/10000,0)</f>
        <v>682</v>
      </c>
      <c r="T78" s="724" t="str">
        <f>明细表!G55</f>
        <v>公寓</v>
      </c>
      <c r="U78" s="724">
        <f>明细表!D55</f>
        <v>14</v>
      </c>
    </row>
    <row r="79" spans="1:21">
      <c r="A79" s="150" t="str">
        <f>明细表!B56</f>
        <v>2单元1703</v>
      </c>
      <c r="B79" s="54">
        <f>明细表!E56</f>
        <v>109.06</v>
      </c>
      <c r="C79" s="21">
        <f t="shared" si="12"/>
        <v>1</v>
      </c>
      <c r="D79" s="2808" t="s">
        <v>3573</v>
      </c>
      <c r="E79" s="21">
        <f t="shared" si="13"/>
        <v>1</v>
      </c>
      <c r="F79" s="666" t="s">
        <v>3593</v>
      </c>
      <c r="G79" s="21">
        <f t="shared" si="14"/>
        <v>1.04</v>
      </c>
      <c r="H79" s="666" t="s">
        <v>3586</v>
      </c>
      <c r="I79" s="21">
        <f t="shared" si="15"/>
        <v>1</v>
      </c>
      <c r="J79" s="666"/>
      <c r="K79" s="21">
        <f t="shared" si="16"/>
        <v>1</v>
      </c>
      <c r="L79" s="666"/>
      <c r="M79" s="21">
        <f t="shared" si="17"/>
        <v>1</v>
      </c>
      <c r="N79" s="666"/>
      <c r="O79" s="21">
        <f t="shared" si="18"/>
        <v>1</v>
      </c>
      <c r="P79" s="666"/>
      <c r="Q79" s="21">
        <f t="shared" si="19"/>
        <v>1</v>
      </c>
      <c r="R79" s="662">
        <f t="shared" ca="1" si="20"/>
        <v>47900</v>
      </c>
      <c r="S79" s="316">
        <f t="shared" ca="1" si="22"/>
        <v>522</v>
      </c>
      <c r="T79" s="724" t="str">
        <f>明细表!G56</f>
        <v>公寓</v>
      </c>
      <c r="U79" s="724">
        <f>明细表!D56</f>
        <v>15</v>
      </c>
    </row>
    <row r="80" spans="1:21">
      <c r="A80" s="150" t="str">
        <f>明细表!B57</f>
        <v>2单元1707</v>
      </c>
      <c r="B80" s="54">
        <f>明细表!E57</f>
        <v>109.06</v>
      </c>
      <c r="C80" s="21">
        <f t="shared" si="12"/>
        <v>1</v>
      </c>
      <c r="D80" s="2808" t="s">
        <v>3573</v>
      </c>
      <c r="E80" s="21">
        <f t="shared" si="13"/>
        <v>1</v>
      </c>
      <c r="F80" s="666" t="s">
        <v>3593</v>
      </c>
      <c r="G80" s="21">
        <f t="shared" si="14"/>
        <v>1.04</v>
      </c>
      <c r="H80" s="666" t="s">
        <v>3586</v>
      </c>
      <c r="I80" s="21">
        <f t="shared" si="15"/>
        <v>1</v>
      </c>
      <c r="J80" s="666"/>
      <c r="K80" s="21">
        <f t="shared" si="16"/>
        <v>1</v>
      </c>
      <c r="L80" s="666"/>
      <c r="M80" s="21">
        <f t="shared" si="17"/>
        <v>1</v>
      </c>
      <c r="N80" s="666"/>
      <c r="O80" s="21">
        <f t="shared" si="18"/>
        <v>1</v>
      </c>
      <c r="P80" s="666"/>
      <c r="Q80" s="21">
        <f t="shared" si="19"/>
        <v>1</v>
      </c>
      <c r="R80" s="662">
        <f t="shared" ca="1" si="20"/>
        <v>47900</v>
      </c>
      <c r="S80" s="316">
        <f t="shared" ca="1" si="22"/>
        <v>522</v>
      </c>
      <c r="T80" s="724" t="str">
        <f>明细表!G57</f>
        <v>公寓</v>
      </c>
      <c r="U80" s="724">
        <f>明细表!D57</f>
        <v>15</v>
      </c>
    </row>
    <row r="81" spans="1:21">
      <c r="A81" s="150" t="str">
        <f>明细表!B58</f>
        <v>2单元1708</v>
      </c>
      <c r="B81" s="54">
        <f>明细表!E58</f>
        <v>208.9</v>
      </c>
      <c r="C81" s="21">
        <f t="shared" si="12"/>
        <v>1</v>
      </c>
      <c r="D81" s="2808" t="s">
        <v>3573</v>
      </c>
      <c r="E81" s="21">
        <f t="shared" si="13"/>
        <v>1</v>
      </c>
      <c r="F81" s="666" t="s">
        <v>3593</v>
      </c>
      <c r="G81" s="21">
        <f t="shared" si="14"/>
        <v>1.04</v>
      </c>
      <c r="H81" s="666" t="s">
        <v>3586</v>
      </c>
      <c r="I81" s="21">
        <f t="shared" si="15"/>
        <v>1</v>
      </c>
      <c r="J81" s="666"/>
      <c r="K81" s="21">
        <f t="shared" si="16"/>
        <v>1</v>
      </c>
      <c r="L81" s="666"/>
      <c r="M81" s="21">
        <f t="shared" si="17"/>
        <v>1</v>
      </c>
      <c r="N81" s="666"/>
      <c r="O81" s="21">
        <f t="shared" si="18"/>
        <v>1</v>
      </c>
      <c r="P81" s="666"/>
      <c r="Q81" s="21">
        <f t="shared" si="19"/>
        <v>1</v>
      </c>
      <c r="R81" s="662">
        <f t="shared" ca="1" si="20"/>
        <v>47900</v>
      </c>
      <c r="S81" s="316">
        <f t="shared" ca="1" si="22"/>
        <v>1001</v>
      </c>
      <c r="T81" s="724" t="str">
        <f>明细表!G58</f>
        <v>公寓</v>
      </c>
      <c r="U81" s="724">
        <f>明细表!D58</f>
        <v>15</v>
      </c>
    </row>
    <row r="82" spans="1:21">
      <c r="A82" s="150" t="str">
        <f>明细表!B59</f>
        <v>2单元1710</v>
      </c>
      <c r="B82" s="54">
        <f>明细表!E59</f>
        <v>108.47</v>
      </c>
      <c r="C82" s="21">
        <f t="shared" si="12"/>
        <v>1</v>
      </c>
      <c r="D82" s="2808" t="s">
        <v>3573</v>
      </c>
      <c r="E82" s="21">
        <f t="shared" si="13"/>
        <v>1</v>
      </c>
      <c r="F82" s="666" t="s">
        <v>3593</v>
      </c>
      <c r="G82" s="21">
        <f t="shared" si="14"/>
        <v>1.04</v>
      </c>
      <c r="H82" s="666" t="s">
        <v>3586</v>
      </c>
      <c r="I82" s="21">
        <f t="shared" si="15"/>
        <v>1</v>
      </c>
      <c r="J82" s="666"/>
      <c r="K82" s="21">
        <f t="shared" si="16"/>
        <v>1</v>
      </c>
      <c r="L82" s="666"/>
      <c r="M82" s="21">
        <f t="shared" si="17"/>
        <v>1</v>
      </c>
      <c r="N82" s="666"/>
      <c r="O82" s="21">
        <f t="shared" si="18"/>
        <v>1</v>
      </c>
      <c r="P82" s="666"/>
      <c r="Q82" s="21">
        <f t="shared" si="19"/>
        <v>1</v>
      </c>
      <c r="R82" s="662">
        <f t="shared" ca="1" si="20"/>
        <v>47900</v>
      </c>
      <c r="S82" s="316">
        <f t="shared" ca="1" si="22"/>
        <v>520</v>
      </c>
      <c r="T82" s="724" t="str">
        <f>明细表!G59</f>
        <v>公寓</v>
      </c>
      <c r="U82" s="724">
        <f>明细表!D59</f>
        <v>15</v>
      </c>
    </row>
    <row r="83" spans="1:21">
      <c r="A83" s="150" t="str">
        <f>明细表!B60</f>
        <v>2单元1711</v>
      </c>
      <c r="B83" s="54">
        <f>明细表!E60</f>
        <v>108.47</v>
      </c>
      <c r="C83" s="21">
        <f t="shared" si="12"/>
        <v>1</v>
      </c>
      <c r="D83" s="2808" t="s">
        <v>3573</v>
      </c>
      <c r="E83" s="21">
        <f t="shared" si="13"/>
        <v>1</v>
      </c>
      <c r="F83" s="666" t="s">
        <v>3593</v>
      </c>
      <c r="G83" s="21">
        <f t="shared" si="14"/>
        <v>1.04</v>
      </c>
      <c r="H83" s="666" t="s">
        <v>3586</v>
      </c>
      <c r="I83" s="21">
        <f t="shared" si="15"/>
        <v>1</v>
      </c>
      <c r="J83" s="666"/>
      <c r="K83" s="21">
        <f t="shared" si="16"/>
        <v>1</v>
      </c>
      <c r="L83" s="666"/>
      <c r="M83" s="21">
        <f t="shared" si="17"/>
        <v>1</v>
      </c>
      <c r="N83" s="666"/>
      <c r="O83" s="21">
        <f t="shared" si="18"/>
        <v>1</v>
      </c>
      <c r="P83" s="666"/>
      <c r="Q83" s="21">
        <f t="shared" si="19"/>
        <v>1</v>
      </c>
      <c r="R83" s="662">
        <f t="shared" ca="1" si="20"/>
        <v>47900</v>
      </c>
      <c r="S83" s="316">
        <f t="shared" ca="1" si="22"/>
        <v>520</v>
      </c>
      <c r="T83" s="724" t="str">
        <f>明细表!G60</f>
        <v>公寓</v>
      </c>
      <c r="U83" s="724">
        <f>明细表!D60</f>
        <v>15</v>
      </c>
    </row>
    <row r="84" spans="1:21">
      <c r="A84" s="150" t="str">
        <f>明细表!B61</f>
        <v>2单元1712</v>
      </c>
      <c r="B84" s="54">
        <f>明细表!E61</f>
        <v>100.31</v>
      </c>
      <c r="C84" s="21">
        <f t="shared" si="12"/>
        <v>1</v>
      </c>
      <c r="D84" s="2808" t="s">
        <v>3573</v>
      </c>
      <c r="E84" s="21">
        <f t="shared" si="13"/>
        <v>1</v>
      </c>
      <c r="F84" s="666" t="s">
        <v>3593</v>
      </c>
      <c r="G84" s="21">
        <f t="shared" si="14"/>
        <v>1.04</v>
      </c>
      <c r="H84" s="666" t="s">
        <v>3586</v>
      </c>
      <c r="I84" s="21">
        <f t="shared" si="15"/>
        <v>1</v>
      </c>
      <c r="J84" s="666"/>
      <c r="K84" s="21">
        <f t="shared" si="16"/>
        <v>1</v>
      </c>
      <c r="L84" s="666"/>
      <c r="M84" s="21">
        <f t="shared" si="17"/>
        <v>1</v>
      </c>
      <c r="N84" s="666"/>
      <c r="O84" s="21">
        <f t="shared" si="18"/>
        <v>1</v>
      </c>
      <c r="P84" s="666"/>
      <c r="Q84" s="21">
        <f t="shared" si="19"/>
        <v>1</v>
      </c>
      <c r="R84" s="662">
        <f t="shared" ca="1" si="20"/>
        <v>47900</v>
      </c>
      <c r="S84" s="316">
        <f t="shared" ca="1" si="22"/>
        <v>480</v>
      </c>
      <c r="T84" s="724" t="str">
        <f>明细表!G61</f>
        <v>公寓</v>
      </c>
      <c r="U84" s="724">
        <f>明细表!D61</f>
        <v>15</v>
      </c>
    </row>
    <row r="85" spans="1:21">
      <c r="A85" s="150" t="str">
        <f>明细表!B62</f>
        <v>2单元1716</v>
      </c>
      <c r="B85" s="54">
        <f>明细表!E62</f>
        <v>108.47</v>
      </c>
      <c r="C85" s="21">
        <f t="shared" si="12"/>
        <v>1</v>
      </c>
      <c r="D85" s="2808" t="s">
        <v>3573</v>
      </c>
      <c r="E85" s="21">
        <f t="shared" si="13"/>
        <v>1</v>
      </c>
      <c r="F85" s="666" t="s">
        <v>3593</v>
      </c>
      <c r="G85" s="21">
        <f t="shared" si="14"/>
        <v>1.04</v>
      </c>
      <c r="H85" s="666" t="s">
        <v>3586</v>
      </c>
      <c r="I85" s="21">
        <f t="shared" si="15"/>
        <v>1</v>
      </c>
      <c r="J85" s="666"/>
      <c r="K85" s="21">
        <f t="shared" si="16"/>
        <v>1</v>
      </c>
      <c r="L85" s="666"/>
      <c r="M85" s="21">
        <f t="shared" si="17"/>
        <v>1</v>
      </c>
      <c r="N85" s="666"/>
      <c r="O85" s="21">
        <f t="shared" si="18"/>
        <v>1</v>
      </c>
      <c r="P85" s="666"/>
      <c r="Q85" s="21">
        <f t="shared" si="19"/>
        <v>1</v>
      </c>
      <c r="R85" s="662">
        <f t="shared" ca="1" si="20"/>
        <v>47900</v>
      </c>
      <c r="S85" s="316">
        <f t="shared" ca="1" si="22"/>
        <v>520</v>
      </c>
      <c r="T85" s="724" t="str">
        <f>明细表!G62</f>
        <v>公寓</v>
      </c>
      <c r="U85" s="724">
        <f>明细表!D62</f>
        <v>15</v>
      </c>
    </row>
    <row r="86" spans="1:21">
      <c r="A86" s="150" t="str">
        <f>明细表!B63</f>
        <v>2单元1717</v>
      </c>
      <c r="B86" s="54">
        <f>明细表!E63</f>
        <v>142.4</v>
      </c>
      <c r="C86" s="21">
        <f t="shared" si="12"/>
        <v>1</v>
      </c>
      <c r="D86" s="2808" t="s">
        <v>3573</v>
      </c>
      <c r="E86" s="21">
        <f t="shared" si="13"/>
        <v>1</v>
      </c>
      <c r="F86" s="666" t="s">
        <v>3593</v>
      </c>
      <c r="G86" s="21">
        <f t="shared" si="14"/>
        <v>1.04</v>
      </c>
      <c r="H86" s="666" t="s">
        <v>3586</v>
      </c>
      <c r="I86" s="21">
        <f t="shared" si="15"/>
        <v>1</v>
      </c>
      <c r="J86" s="666"/>
      <c r="K86" s="21">
        <f t="shared" si="16"/>
        <v>1</v>
      </c>
      <c r="L86" s="666"/>
      <c r="M86" s="21">
        <f t="shared" si="17"/>
        <v>1</v>
      </c>
      <c r="N86" s="666"/>
      <c r="O86" s="21">
        <f t="shared" si="18"/>
        <v>1</v>
      </c>
      <c r="P86" s="666"/>
      <c r="Q86" s="21">
        <f t="shared" si="19"/>
        <v>1</v>
      </c>
      <c r="R86" s="662">
        <f t="shared" ca="1" si="20"/>
        <v>47900</v>
      </c>
      <c r="S86" s="316">
        <f t="shared" ca="1" si="22"/>
        <v>682</v>
      </c>
      <c r="T86" s="724" t="str">
        <f>明细表!G63</f>
        <v>公寓</v>
      </c>
      <c r="U86" s="724">
        <f>明细表!D63</f>
        <v>15</v>
      </c>
    </row>
    <row r="87" spans="1:21">
      <c r="A87" s="150" t="str">
        <f>明细表!B64</f>
        <v>2单元1801</v>
      </c>
      <c r="B87" s="54">
        <f>明细表!E64</f>
        <v>208.9</v>
      </c>
      <c r="C87" s="21">
        <f t="shared" si="12"/>
        <v>1</v>
      </c>
      <c r="D87" s="2808" t="s">
        <v>3573</v>
      </c>
      <c r="E87" s="21">
        <f t="shared" si="13"/>
        <v>1</v>
      </c>
      <c r="F87" s="666" t="s">
        <v>3593</v>
      </c>
      <c r="G87" s="21">
        <f t="shared" si="14"/>
        <v>1.04</v>
      </c>
      <c r="H87" s="666" t="s">
        <v>3586</v>
      </c>
      <c r="I87" s="21">
        <f t="shared" si="15"/>
        <v>1</v>
      </c>
      <c r="J87" s="666"/>
      <c r="K87" s="21">
        <f t="shared" si="16"/>
        <v>1</v>
      </c>
      <c r="L87" s="666"/>
      <c r="M87" s="21">
        <f t="shared" si="17"/>
        <v>1</v>
      </c>
      <c r="N87" s="666"/>
      <c r="O87" s="21">
        <f t="shared" si="18"/>
        <v>1</v>
      </c>
      <c r="P87" s="666"/>
      <c r="Q87" s="21">
        <f t="shared" si="19"/>
        <v>1</v>
      </c>
      <c r="R87" s="662">
        <f t="shared" ca="1" si="20"/>
        <v>47900</v>
      </c>
      <c r="S87" s="316">
        <f t="shared" ca="1" si="22"/>
        <v>1001</v>
      </c>
      <c r="T87" s="724" t="str">
        <f>明细表!G64</f>
        <v>公寓</v>
      </c>
      <c r="U87" s="724">
        <f>明细表!D64</f>
        <v>16</v>
      </c>
    </row>
    <row r="88" spans="1:21">
      <c r="A88" s="150" t="str">
        <f>明细表!B65</f>
        <v>2单元1805</v>
      </c>
      <c r="B88" s="54">
        <f>明细表!E65</f>
        <v>218.12</v>
      </c>
      <c r="C88" s="21">
        <f t="shared" si="12"/>
        <v>1</v>
      </c>
      <c r="D88" s="2808" t="s">
        <v>3573</v>
      </c>
      <c r="E88" s="21">
        <f t="shared" si="13"/>
        <v>1</v>
      </c>
      <c r="F88" s="666" t="s">
        <v>3593</v>
      </c>
      <c r="G88" s="21">
        <f t="shared" si="14"/>
        <v>1.04</v>
      </c>
      <c r="H88" s="666" t="s">
        <v>3586</v>
      </c>
      <c r="I88" s="21">
        <f t="shared" si="15"/>
        <v>1</v>
      </c>
      <c r="J88" s="666"/>
      <c r="K88" s="21">
        <f t="shared" si="16"/>
        <v>1</v>
      </c>
      <c r="L88" s="666"/>
      <c r="M88" s="21">
        <f t="shared" si="17"/>
        <v>1</v>
      </c>
      <c r="N88" s="666"/>
      <c r="O88" s="21">
        <f t="shared" si="18"/>
        <v>1</v>
      </c>
      <c r="P88" s="666"/>
      <c r="Q88" s="21">
        <f t="shared" si="19"/>
        <v>1</v>
      </c>
      <c r="R88" s="662">
        <f t="shared" ca="1" si="20"/>
        <v>47900</v>
      </c>
      <c r="S88" s="316">
        <f t="shared" ca="1" si="22"/>
        <v>1045</v>
      </c>
      <c r="T88" s="724" t="str">
        <f>明细表!G65</f>
        <v>公寓</v>
      </c>
      <c r="U88" s="724">
        <f>明细表!D65</f>
        <v>16</v>
      </c>
    </row>
    <row r="89" spans="1:21">
      <c r="A89" s="150" t="str">
        <f>明细表!B66</f>
        <v>2单元1806</v>
      </c>
      <c r="B89" s="54">
        <f>明细表!E66</f>
        <v>208.9</v>
      </c>
      <c r="C89" s="21">
        <f t="shared" si="12"/>
        <v>1</v>
      </c>
      <c r="D89" s="2808" t="s">
        <v>3573</v>
      </c>
      <c r="E89" s="21">
        <f t="shared" si="13"/>
        <v>1</v>
      </c>
      <c r="F89" s="666" t="s">
        <v>3593</v>
      </c>
      <c r="G89" s="21">
        <f t="shared" si="14"/>
        <v>1.04</v>
      </c>
      <c r="H89" s="666" t="s">
        <v>3586</v>
      </c>
      <c r="I89" s="21">
        <f t="shared" si="15"/>
        <v>1</v>
      </c>
      <c r="J89" s="666"/>
      <c r="K89" s="21">
        <f t="shared" si="16"/>
        <v>1</v>
      </c>
      <c r="L89" s="666"/>
      <c r="M89" s="21">
        <f t="shared" si="17"/>
        <v>1</v>
      </c>
      <c r="N89" s="666"/>
      <c r="O89" s="21">
        <f t="shared" si="18"/>
        <v>1</v>
      </c>
      <c r="P89" s="666"/>
      <c r="Q89" s="21">
        <f t="shared" si="19"/>
        <v>1</v>
      </c>
      <c r="R89" s="662">
        <f t="shared" ca="1" si="20"/>
        <v>47900</v>
      </c>
      <c r="S89" s="316">
        <f t="shared" ca="1" si="22"/>
        <v>1001</v>
      </c>
      <c r="T89" s="724" t="str">
        <f>明细表!G66</f>
        <v>公寓</v>
      </c>
      <c r="U89" s="724">
        <f>明细表!D66</f>
        <v>16</v>
      </c>
    </row>
    <row r="90" spans="1:21">
      <c r="A90" s="150" t="str">
        <f>明细表!B67</f>
        <v>2单元1807</v>
      </c>
      <c r="B90" s="54">
        <f>明细表!E67</f>
        <v>250.89</v>
      </c>
      <c r="C90" s="21">
        <f t="shared" ref="C90:C153" si="23">IF(B90="",1,(LOOKUP(B90,$3:$3,$4:$4)-LOOKUP($B$24,$3:$3,$4:$4)+100)/100)</f>
        <v>1</v>
      </c>
      <c r="D90" s="2808" t="s">
        <v>3573</v>
      </c>
      <c r="E90" s="21">
        <f t="shared" ref="E90:E153" si="24">(SUMIF($5:$5,D90,$6:$6)-SUMIF($5:$5,$D$24,$6:$6)+100)/100</f>
        <v>1</v>
      </c>
      <c r="F90" s="666" t="s">
        <v>3593</v>
      </c>
      <c r="G90" s="21">
        <f t="shared" ref="G90:G153" si="25">(SUMIF($7:$7,F90,$8:$8)-SUMIF($7:$7,$F$24,$8:$8)+100)/100</f>
        <v>1.04</v>
      </c>
      <c r="H90" s="666" t="s">
        <v>3586</v>
      </c>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47900</v>
      </c>
      <c r="S90" s="316">
        <f t="shared" ca="1" si="22"/>
        <v>1202</v>
      </c>
      <c r="T90" s="724" t="str">
        <f>明细表!G67</f>
        <v>公寓</v>
      </c>
      <c r="U90" s="724">
        <f>明细表!D67</f>
        <v>16</v>
      </c>
    </row>
    <row r="91" spans="1:21">
      <c r="A91" s="150" t="str">
        <f>明细表!B68</f>
        <v>2单元1808</v>
      </c>
      <c r="B91" s="54">
        <f>明细表!E68</f>
        <v>108.47</v>
      </c>
      <c r="C91" s="21">
        <f t="shared" si="23"/>
        <v>1</v>
      </c>
      <c r="D91" s="2808" t="s">
        <v>3573</v>
      </c>
      <c r="E91" s="21">
        <f t="shared" si="24"/>
        <v>1</v>
      </c>
      <c r="F91" s="666" t="s">
        <v>3593</v>
      </c>
      <c r="G91" s="21">
        <f t="shared" si="25"/>
        <v>1.04</v>
      </c>
      <c r="H91" s="666" t="s">
        <v>3586</v>
      </c>
      <c r="I91" s="21">
        <f t="shared" si="26"/>
        <v>1</v>
      </c>
      <c r="J91" s="666"/>
      <c r="K91" s="21">
        <f t="shared" si="27"/>
        <v>1</v>
      </c>
      <c r="L91" s="666"/>
      <c r="M91" s="21">
        <f t="shared" si="28"/>
        <v>1</v>
      </c>
      <c r="N91" s="666"/>
      <c r="O91" s="21">
        <f t="shared" si="29"/>
        <v>1</v>
      </c>
      <c r="P91" s="666"/>
      <c r="Q91" s="21">
        <f t="shared" si="30"/>
        <v>1</v>
      </c>
      <c r="R91" s="662">
        <f t="shared" ca="1" si="31"/>
        <v>47900</v>
      </c>
      <c r="S91" s="316">
        <f t="shared" ca="1" si="22"/>
        <v>520</v>
      </c>
      <c r="T91" s="724" t="str">
        <f>明细表!G68</f>
        <v>公寓</v>
      </c>
      <c r="U91" s="724">
        <f>明细表!D68</f>
        <v>16</v>
      </c>
    </row>
    <row r="92" spans="1:21">
      <c r="A92" s="150" t="str">
        <f>明细表!B69</f>
        <v>2单元1810</v>
      </c>
      <c r="B92" s="54">
        <f>明细表!E69</f>
        <v>250.89</v>
      </c>
      <c r="C92" s="21">
        <f t="shared" si="23"/>
        <v>1</v>
      </c>
      <c r="D92" s="2808" t="s">
        <v>3573</v>
      </c>
      <c r="E92" s="21">
        <f t="shared" si="24"/>
        <v>1</v>
      </c>
      <c r="F92" s="666" t="s">
        <v>3593</v>
      </c>
      <c r="G92" s="21">
        <f t="shared" si="25"/>
        <v>1.04</v>
      </c>
      <c r="H92" s="666" t="s">
        <v>3586</v>
      </c>
      <c r="I92" s="21">
        <f t="shared" si="26"/>
        <v>1</v>
      </c>
      <c r="J92" s="666"/>
      <c r="K92" s="21">
        <f t="shared" si="27"/>
        <v>1</v>
      </c>
      <c r="L92" s="666"/>
      <c r="M92" s="21">
        <f t="shared" si="28"/>
        <v>1</v>
      </c>
      <c r="N92" s="666"/>
      <c r="O92" s="21">
        <f t="shared" si="29"/>
        <v>1</v>
      </c>
      <c r="P92" s="666"/>
      <c r="Q92" s="21">
        <f t="shared" si="30"/>
        <v>1</v>
      </c>
      <c r="R92" s="662">
        <f t="shared" ca="1" si="31"/>
        <v>47900</v>
      </c>
      <c r="S92" s="316">
        <f t="shared" ca="1" si="22"/>
        <v>1202</v>
      </c>
      <c r="T92" s="724" t="str">
        <f>明细表!G69</f>
        <v>公寓</v>
      </c>
      <c r="U92" s="724">
        <f>明细表!D69</f>
        <v>16</v>
      </c>
    </row>
    <row r="93" spans="1:21">
      <c r="A93" s="150" t="str">
        <f>明细表!B70</f>
        <v>6单元201</v>
      </c>
      <c r="B93" s="54">
        <f>明细表!E70</f>
        <v>125.44</v>
      </c>
      <c r="C93" s="21">
        <f t="shared" si="23"/>
        <v>1</v>
      </c>
      <c r="D93" s="2808" t="s">
        <v>3573</v>
      </c>
      <c r="E93" s="21">
        <f t="shared" si="24"/>
        <v>1</v>
      </c>
      <c r="F93" s="666" t="s">
        <v>3528</v>
      </c>
      <c r="G93" s="21">
        <f t="shared" si="25"/>
        <v>1</v>
      </c>
      <c r="H93" s="666" t="s">
        <v>21</v>
      </c>
      <c r="I93" s="21">
        <f t="shared" si="26"/>
        <v>1.05</v>
      </c>
      <c r="J93" s="666"/>
      <c r="K93" s="21">
        <f t="shared" si="27"/>
        <v>1</v>
      </c>
      <c r="L93" s="666"/>
      <c r="M93" s="21">
        <f t="shared" si="28"/>
        <v>1</v>
      </c>
      <c r="N93" s="666"/>
      <c r="O93" s="21">
        <f t="shared" si="29"/>
        <v>1</v>
      </c>
      <c r="P93" s="666"/>
      <c r="Q93" s="21">
        <f t="shared" si="30"/>
        <v>1</v>
      </c>
      <c r="R93" s="662">
        <f t="shared" ca="1" si="31"/>
        <v>48361</v>
      </c>
      <c r="S93" s="316">
        <f t="shared" ca="1" si="22"/>
        <v>607</v>
      </c>
      <c r="T93" s="724" t="str">
        <f>明细表!G70</f>
        <v>办公</v>
      </c>
      <c r="U93" s="724">
        <f>明细表!D70</f>
        <v>2</v>
      </c>
    </row>
    <row r="94" spans="1:21">
      <c r="A94" s="150" t="str">
        <f>明细表!B71</f>
        <v>6单元202</v>
      </c>
      <c r="B94" s="54">
        <f>明细表!E71</f>
        <v>211.49</v>
      </c>
      <c r="C94" s="21">
        <f t="shared" si="23"/>
        <v>1</v>
      </c>
      <c r="D94" s="2808" t="s">
        <v>3573</v>
      </c>
      <c r="E94" s="21">
        <f t="shared" si="24"/>
        <v>1</v>
      </c>
      <c r="F94" s="666" t="s">
        <v>3528</v>
      </c>
      <c r="G94" s="21">
        <f t="shared" si="25"/>
        <v>1</v>
      </c>
      <c r="H94" s="666" t="s">
        <v>21</v>
      </c>
      <c r="I94" s="21">
        <f t="shared" si="26"/>
        <v>1.05</v>
      </c>
      <c r="J94" s="666"/>
      <c r="K94" s="21">
        <f t="shared" si="27"/>
        <v>1</v>
      </c>
      <c r="L94" s="666"/>
      <c r="M94" s="21">
        <f t="shared" si="28"/>
        <v>1</v>
      </c>
      <c r="N94" s="666"/>
      <c r="O94" s="21">
        <f t="shared" si="29"/>
        <v>1</v>
      </c>
      <c r="P94" s="666"/>
      <c r="Q94" s="21">
        <f t="shared" si="30"/>
        <v>1</v>
      </c>
      <c r="R94" s="662">
        <f t="shared" ca="1" si="31"/>
        <v>48361</v>
      </c>
      <c r="S94" s="316">
        <f t="shared" ca="1" si="22"/>
        <v>1023</v>
      </c>
      <c r="T94" s="724" t="str">
        <f>明细表!G71</f>
        <v>办公</v>
      </c>
      <c r="U94" s="724">
        <f>明细表!D71</f>
        <v>2</v>
      </c>
    </row>
    <row r="95" spans="1:21">
      <c r="A95" s="150" t="str">
        <f>明细表!B72</f>
        <v>6单元203</v>
      </c>
      <c r="B95" s="54">
        <f>明细表!E72</f>
        <v>211.49</v>
      </c>
      <c r="C95" s="21">
        <f t="shared" si="23"/>
        <v>1</v>
      </c>
      <c r="D95" s="2808" t="s">
        <v>3573</v>
      </c>
      <c r="E95" s="21">
        <f t="shared" si="24"/>
        <v>1</v>
      </c>
      <c r="F95" s="666" t="s">
        <v>3528</v>
      </c>
      <c r="G95" s="21">
        <f t="shared" si="25"/>
        <v>1</v>
      </c>
      <c r="H95" s="666" t="s">
        <v>21</v>
      </c>
      <c r="I95" s="21">
        <f t="shared" si="26"/>
        <v>1.05</v>
      </c>
      <c r="J95" s="666"/>
      <c r="K95" s="21">
        <f t="shared" si="27"/>
        <v>1</v>
      </c>
      <c r="L95" s="666"/>
      <c r="M95" s="21">
        <f t="shared" si="28"/>
        <v>1</v>
      </c>
      <c r="N95" s="666"/>
      <c r="O95" s="21">
        <f t="shared" si="29"/>
        <v>1</v>
      </c>
      <c r="P95" s="666"/>
      <c r="Q95" s="21">
        <f t="shared" si="30"/>
        <v>1</v>
      </c>
      <c r="R95" s="662">
        <f t="shared" ca="1" si="31"/>
        <v>48361</v>
      </c>
      <c r="S95" s="316">
        <f t="shared" ca="1" si="22"/>
        <v>1023</v>
      </c>
      <c r="T95" s="724" t="str">
        <f>明细表!G72</f>
        <v>办公</v>
      </c>
      <c r="U95" s="724">
        <f>明细表!D72</f>
        <v>2</v>
      </c>
    </row>
    <row r="96" spans="1:21">
      <c r="A96" s="150" t="str">
        <f>明细表!B73</f>
        <v>6单元205</v>
      </c>
      <c r="B96" s="54">
        <f>明细表!E73</f>
        <v>125.44</v>
      </c>
      <c r="C96" s="21">
        <f t="shared" si="23"/>
        <v>1</v>
      </c>
      <c r="D96" s="2808" t="s">
        <v>3573</v>
      </c>
      <c r="E96" s="21">
        <f t="shared" si="24"/>
        <v>1</v>
      </c>
      <c r="F96" s="666" t="s">
        <v>3528</v>
      </c>
      <c r="G96" s="21">
        <f t="shared" si="25"/>
        <v>1</v>
      </c>
      <c r="H96" s="666" t="s">
        <v>21</v>
      </c>
      <c r="I96" s="21">
        <f t="shared" si="26"/>
        <v>1.05</v>
      </c>
      <c r="J96" s="666"/>
      <c r="K96" s="21">
        <f t="shared" si="27"/>
        <v>1</v>
      </c>
      <c r="L96" s="666"/>
      <c r="M96" s="21">
        <f t="shared" si="28"/>
        <v>1</v>
      </c>
      <c r="N96" s="666"/>
      <c r="O96" s="21">
        <f t="shared" si="29"/>
        <v>1</v>
      </c>
      <c r="P96" s="666"/>
      <c r="Q96" s="21">
        <f t="shared" si="30"/>
        <v>1</v>
      </c>
      <c r="R96" s="662">
        <f t="shared" ca="1" si="31"/>
        <v>48361</v>
      </c>
      <c r="S96" s="316">
        <f t="shared" ca="1" si="22"/>
        <v>607</v>
      </c>
      <c r="T96" s="724" t="str">
        <f>明细表!G73</f>
        <v>办公</v>
      </c>
      <c r="U96" s="724">
        <f>明细表!D73</f>
        <v>2</v>
      </c>
    </row>
    <row r="97" spans="1:21">
      <c r="A97" s="150" t="str">
        <f>明细表!B74</f>
        <v>6单元206</v>
      </c>
      <c r="B97" s="54">
        <f>明细表!E74</f>
        <v>125.44</v>
      </c>
      <c r="C97" s="21">
        <f t="shared" si="23"/>
        <v>1</v>
      </c>
      <c r="D97" s="2808" t="s">
        <v>3573</v>
      </c>
      <c r="E97" s="21">
        <f t="shared" si="24"/>
        <v>1</v>
      </c>
      <c r="F97" s="666" t="s">
        <v>3528</v>
      </c>
      <c r="G97" s="21">
        <f t="shared" si="25"/>
        <v>1</v>
      </c>
      <c r="H97" s="666" t="s">
        <v>21</v>
      </c>
      <c r="I97" s="21">
        <f t="shared" si="26"/>
        <v>1.05</v>
      </c>
      <c r="J97" s="666"/>
      <c r="K97" s="21">
        <f t="shared" si="27"/>
        <v>1</v>
      </c>
      <c r="L97" s="666"/>
      <c r="M97" s="21">
        <f t="shared" si="28"/>
        <v>1</v>
      </c>
      <c r="N97" s="666"/>
      <c r="O97" s="21">
        <f t="shared" si="29"/>
        <v>1</v>
      </c>
      <c r="P97" s="666"/>
      <c r="Q97" s="21">
        <f t="shared" si="30"/>
        <v>1</v>
      </c>
      <c r="R97" s="662">
        <f t="shared" ca="1" si="31"/>
        <v>48361</v>
      </c>
      <c r="S97" s="316">
        <f t="shared" ca="1" si="22"/>
        <v>607</v>
      </c>
      <c r="T97" s="724" t="str">
        <f>明细表!G74</f>
        <v>办公</v>
      </c>
      <c r="U97" s="724">
        <f>明细表!D74</f>
        <v>2</v>
      </c>
    </row>
    <row r="98" spans="1:21">
      <c r="A98" s="150" t="str">
        <f>明细表!B75</f>
        <v>6单元207</v>
      </c>
      <c r="B98" s="54">
        <f>明细表!E75</f>
        <v>164.06</v>
      </c>
      <c r="C98" s="21">
        <f t="shared" si="23"/>
        <v>1</v>
      </c>
      <c r="D98" s="2808" t="s">
        <v>3573</v>
      </c>
      <c r="E98" s="21">
        <f t="shared" si="24"/>
        <v>1</v>
      </c>
      <c r="F98" s="666" t="s">
        <v>3528</v>
      </c>
      <c r="G98" s="21">
        <f t="shared" si="25"/>
        <v>1</v>
      </c>
      <c r="H98" s="666" t="s">
        <v>21</v>
      </c>
      <c r="I98" s="21">
        <f t="shared" si="26"/>
        <v>1.05</v>
      </c>
      <c r="J98" s="666"/>
      <c r="K98" s="21">
        <f t="shared" si="27"/>
        <v>1</v>
      </c>
      <c r="L98" s="666"/>
      <c r="M98" s="21">
        <f t="shared" si="28"/>
        <v>1</v>
      </c>
      <c r="N98" s="666"/>
      <c r="O98" s="21">
        <f t="shared" si="29"/>
        <v>1</v>
      </c>
      <c r="P98" s="666"/>
      <c r="Q98" s="21">
        <f t="shared" si="30"/>
        <v>1</v>
      </c>
      <c r="R98" s="662">
        <f t="shared" ca="1" si="31"/>
        <v>48361</v>
      </c>
      <c r="S98" s="316">
        <f t="shared" ca="1" si="22"/>
        <v>793</v>
      </c>
      <c r="T98" s="724" t="str">
        <f>明细表!G75</f>
        <v>办公</v>
      </c>
      <c r="U98" s="724">
        <f>明细表!D75</f>
        <v>2</v>
      </c>
    </row>
    <row r="99" spans="1:21">
      <c r="A99" s="150" t="str">
        <f>明细表!B76</f>
        <v>6单元208</v>
      </c>
      <c r="B99" s="54">
        <f>明细表!E76</f>
        <v>169.88</v>
      </c>
      <c r="C99" s="21">
        <f t="shared" si="23"/>
        <v>1</v>
      </c>
      <c r="D99" s="2808" t="s">
        <v>3573</v>
      </c>
      <c r="E99" s="21">
        <f t="shared" si="24"/>
        <v>1</v>
      </c>
      <c r="F99" s="666" t="s">
        <v>3528</v>
      </c>
      <c r="G99" s="21">
        <f t="shared" si="25"/>
        <v>1</v>
      </c>
      <c r="H99" s="666" t="s">
        <v>21</v>
      </c>
      <c r="I99" s="21">
        <f t="shared" si="26"/>
        <v>1.05</v>
      </c>
      <c r="J99" s="666"/>
      <c r="K99" s="21">
        <f t="shared" si="27"/>
        <v>1</v>
      </c>
      <c r="L99" s="666"/>
      <c r="M99" s="21">
        <f t="shared" si="28"/>
        <v>1</v>
      </c>
      <c r="N99" s="666"/>
      <c r="O99" s="21">
        <f t="shared" si="29"/>
        <v>1</v>
      </c>
      <c r="P99" s="666"/>
      <c r="Q99" s="21">
        <f t="shared" si="30"/>
        <v>1</v>
      </c>
      <c r="R99" s="662">
        <f t="shared" ca="1" si="31"/>
        <v>48361</v>
      </c>
      <c r="S99" s="316">
        <f t="shared" ca="1" si="22"/>
        <v>822</v>
      </c>
      <c r="T99" s="724" t="str">
        <f>明细表!G76</f>
        <v>办公</v>
      </c>
      <c r="U99" s="724">
        <f>明细表!D76</f>
        <v>2</v>
      </c>
    </row>
    <row r="100" spans="1:21">
      <c r="A100" s="150" t="str">
        <f>明细表!B77</f>
        <v>6单元209</v>
      </c>
      <c r="B100" s="54">
        <f>明细表!E77</f>
        <v>125.44</v>
      </c>
      <c r="C100" s="21">
        <f t="shared" si="23"/>
        <v>1</v>
      </c>
      <c r="D100" s="2808" t="s">
        <v>3573</v>
      </c>
      <c r="E100" s="21">
        <f t="shared" si="24"/>
        <v>1</v>
      </c>
      <c r="F100" s="666" t="s">
        <v>3528</v>
      </c>
      <c r="G100" s="21">
        <f t="shared" si="25"/>
        <v>1</v>
      </c>
      <c r="H100" s="666" t="s">
        <v>21</v>
      </c>
      <c r="I100" s="21">
        <f t="shared" si="26"/>
        <v>1.05</v>
      </c>
      <c r="J100" s="666"/>
      <c r="K100" s="21">
        <f t="shared" si="27"/>
        <v>1</v>
      </c>
      <c r="L100" s="666"/>
      <c r="M100" s="21">
        <f t="shared" si="28"/>
        <v>1</v>
      </c>
      <c r="N100" s="666"/>
      <c r="O100" s="21">
        <f t="shared" si="29"/>
        <v>1</v>
      </c>
      <c r="P100" s="666"/>
      <c r="Q100" s="21">
        <f t="shared" si="30"/>
        <v>1</v>
      </c>
      <c r="R100" s="662">
        <f t="shared" ca="1" si="31"/>
        <v>48361</v>
      </c>
      <c r="S100" s="316">
        <f t="shared" ca="1" si="22"/>
        <v>607</v>
      </c>
      <c r="T100" s="724" t="str">
        <f>明细表!G77</f>
        <v>办公</v>
      </c>
      <c r="U100" s="724">
        <f>明细表!D77</f>
        <v>2</v>
      </c>
    </row>
    <row r="101" spans="1:21">
      <c r="A101" s="150" t="str">
        <f>明细表!B78</f>
        <v>6单元808</v>
      </c>
      <c r="B101" s="54">
        <f>明细表!E78</f>
        <v>234.74</v>
      </c>
      <c r="C101" s="21">
        <f t="shared" si="23"/>
        <v>1</v>
      </c>
      <c r="D101" s="2808" t="s">
        <v>3573</v>
      </c>
      <c r="E101" s="21">
        <f t="shared" si="24"/>
        <v>1</v>
      </c>
      <c r="F101" s="666" t="s">
        <v>3580</v>
      </c>
      <c r="G101" s="21">
        <f t="shared" si="25"/>
        <v>1.02</v>
      </c>
      <c r="H101" s="666" t="s">
        <v>21</v>
      </c>
      <c r="I101" s="21">
        <f t="shared" si="26"/>
        <v>1.05</v>
      </c>
      <c r="J101" s="666"/>
      <c r="K101" s="21">
        <f t="shared" si="27"/>
        <v>1</v>
      </c>
      <c r="L101" s="666"/>
      <c r="M101" s="21">
        <f t="shared" si="28"/>
        <v>1</v>
      </c>
      <c r="N101" s="666"/>
      <c r="O101" s="21">
        <f t="shared" si="29"/>
        <v>1</v>
      </c>
      <c r="P101" s="666"/>
      <c r="Q101" s="21">
        <f t="shared" si="30"/>
        <v>1</v>
      </c>
      <c r="R101" s="662">
        <f t="shared" ca="1" si="31"/>
        <v>49328</v>
      </c>
      <c r="S101" s="316">
        <f t="shared" ca="1" si="22"/>
        <v>1158</v>
      </c>
      <c r="T101" s="724" t="str">
        <f>明细表!G78</f>
        <v>办公</v>
      </c>
      <c r="U101" s="724">
        <f>明细表!D78</f>
        <v>7</v>
      </c>
    </row>
    <row r="102" spans="1:21">
      <c r="A102" s="150" t="str">
        <f>明细表!B79</f>
        <v>6单元1101</v>
      </c>
      <c r="B102" s="54">
        <f>明细表!E79</f>
        <v>125.44</v>
      </c>
      <c r="C102" s="21">
        <f t="shared" si="23"/>
        <v>1</v>
      </c>
      <c r="D102" s="2808" t="s">
        <v>3573</v>
      </c>
      <c r="E102" s="21">
        <f t="shared" si="24"/>
        <v>1</v>
      </c>
      <c r="F102" s="666" t="s">
        <v>3580</v>
      </c>
      <c r="G102" s="21">
        <f t="shared" si="25"/>
        <v>1.02</v>
      </c>
      <c r="H102" s="666" t="s">
        <v>21</v>
      </c>
      <c r="I102" s="21">
        <f t="shared" si="26"/>
        <v>1.05</v>
      </c>
      <c r="J102" s="666"/>
      <c r="K102" s="21">
        <f t="shared" si="27"/>
        <v>1</v>
      </c>
      <c r="L102" s="666"/>
      <c r="M102" s="21">
        <f t="shared" si="28"/>
        <v>1</v>
      </c>
      <c r="N102" s="666"/>
      <c r="O102" s="21">
        <f t="shared" si="29"/>
        <v>1</v>
      </c>
      <c r="P102" s="666"/>
      <c r="Q102" s="21">
        <f t="shared" si="30"/>
        <v>1</v>
      </c>
      <c r="R102" s="662">
        <f t="shared" ca="1" si="31"/>
        <v>49328</v>
      </c>
      <c r="S102" s="316">
        <f t="shared" ca="1" si="22"/>
        <v>619</v>
      </c>
      <c r="T102" s="724" t="str">
        <f>明细表!G79</f>
        <v>办公</v>
      </c>
      <c r="U102" s="724">
        <f>明细表!D79</f>
        <v>10</v>
      </c>
    </row>
    <row r="103" spans="1:21">
      <c r="A103" s="150" t="str">
        <f>明细表!B80</f>
        <v>6单元1102</v>
      </c>
      <c r="B103" s="54">
        <f>明细表!E80</f>
        <v>211.49</v>
      </c>
      <c r="C103" s="21">
        <f t="shared" si="23"/>
        <v>1</v>
      </c>
      <c r="D103" s="2808" t="s">
        <v>3573</v>
      </c>
      <c r="E103" s="21">
        <f t="shared" si="24"/>
        <v>1</v>
      </c>
      <c r="F103" s="666" t="s">
        <v>3580</v>
      </c>
      <c r="G103" s="21">
        <f t="shared" si="25"/>
        <v>1.02</v>
      </c>
      <c r="H103" s="666" t="s">
        <v>21</v>
      </c>
      <c r="I103" s="21">
        <f t="shared" si="26"/>
        <v>1.05</v>
      </c>
      <c r="J103" s="666"/>
      <c r="K103" s="21">
        <f t="shared" si="27"/>
        <v>1</v>
      </c>
      <c r="L103" s="666"/>
      <c r="M103" s="21">
        <f t="shared" si="28"/>
        <v>1</v>
      </c>
      <c r="N103" s="666"/>
      <c r="O103" s="21">
        <f t="shared" si="29"/>
        <v>1</v>
      </c>
      <c r="P103" s="666"/>
      <c r="Q103" s="21">
        <f t="shared" si="30"/>
        <v>1</v>
      </c>
      <c r="R103" s="662">
        <f t="shared" ca="1" si="31"/>
        <v>49328</v>
      </c>
      <c r="S103" s="316">
        <f t="shared" ca="1" si="22"/>
        <v>1043</v>
      </c>
      <c r="T103" s="724" t="str">
        <f>明细表!G80</f>
        <v>办公</v>
      </c>
      <c r="U103" s="724">
        <f>明细表!D80</f>
        <v>10</v>
      </c>
    </row>
    <row r="104" spans="1:21">
      <c r="A104" s="150" t="str">
        <f>明细表!B81</f>
        <v>6单元1103</v>
      </c>
      <c r="B104" s="54">
        <f>明细表!E81</f>
        <v>211.49</v>
      </c>
      <c r="C104" s="21">
        <f t="shared" si="23"/>
        <v>1</v>
      </c>
      <c r="D104" s="666" t="s">
        <v>3588</v>
      </c>
      <c r="E104" s="21">
        <f t="shared" si="24"/>
        <v>0.98</v>
      </c>
      <c r="F104" s="666" t="s">
        <v>3580</v>
      </c>
      <c r="G104" s="21">
        <f t="shared" si="25"/>
        <v>1.02</v>
      </c>
      <c r="H104" s="666" t="s">
        <v>21</v>
      </c>
      <c r="I104" s="21">
        <f t="shared" si="26"/>
        <v>1.05</v>
      </c>
      <c r="J104" s="666"/>
      <c r="K104" s="21">
        <f t="shared" si="27"/>
        <v>1</v>
      </c>
      <c r="L104" s="666"/>
      <c r="M104" s="21">
        <f t="shared" si="28"/>
        <v>1</v>
      </c>
      <c r="N104" s="666"/>
      <c r="O104" s="21">
        <f t="shared" si="29"/>
        <v>1</v>
      </c>
      <c r="P104" s="666"/>
      <c r="Q104" s="21">
        <f t="shared" si="30"/>
        <v>1</v>
      </c>
      <c r="R104" s="662">
        <f t="shared" ca="1" si="31"/>
        <v>48342</v>
      </c>
      <c r="S104" s="316">
        <f t="shared" ca="1" si="22"/>
        <v>1022</v>
      </c>
      <c r="T104" s="724" t="str">
        <f>明细表!G81</f>
        <v>办公</v>
      </c>
      <c r="U104" s="724">
        <f>明细表!D81</f>
        <v>10</v>
      </c>
    </row>
    <row r="105" spans="1:21">
      <c r="A105" s="150" t="str">
        <f>明细表!B82</f>
        <v>6单元1105</v>
      </c>
      <c r="B105" s="54">
        <f>明细表!E82</f>
        <v>125.44</v>
      </c>
      <c r="C105" s="21">
        <f t="shared" si="23"/>
        <v>1</v>
      </c>
      <c r="D105" s="666" t="s">
        <v>3588</v>
      </c>
      <c r="E105" s="21">
        <f t="shared" si="24"/>
        <v>0.98</v>
      </c>
      <c r="F105" s="666" t="s">
        <v>3580</v>
      </c>
      <c r="G105" s="21">
        <f t="shared" si="25"/>
        <v>1.02</v>
      </c>
      <c r="H105" s="666" t="s">
        <v>21</v>
      </c>
      <c r="I105" s="21">
        <f t="shared" si="26"/>
        <v>1.05</v>
      </c>
      <c r="J105" s="666"/>
      <c r="K105" s="21">
        <f t="shared" si="27"/>
        <v>1</v>
      </c>
      <c r="L105" s="666"/>
      <c r="M105" s="21">
        <f t="shared" si="28"/>
        <v>1</v>
      </c>
      <c r="N105" s="666"/>
      <c r="O105" s="21">
        <f t="shared" si="29"/>
        <v>1</v>
      </c>
      <c r="P105" s="666"/>
      <c r="Q105" s="21">
        <f t="shared" si="30"/>
        <v>1</v>
      </c>
      <c r="R105" s="662">
        <f t="shared" ca="1" si="31"/>
        <v>48342</v>
      </c>
      <c r="S105" s="316">
        <f t="shared" ca="1" si="22"/>
        <v>606</v>
      </c>
      <c r="T105" s="724" t="str">
        <f>明细表!G82</f>
        <v>办公</v>
      </c>
      <c r="U105" s="724">
        <f>明细表!D82</f>
        <v>10</v>
      </c>
    </row>
    <row r="106" spans="1:21">
      <c r="A106" s="150" t="str">
        <f>明细表!B83</f>
        <v>6单元1106</v>
      </c>
      <c r="B106" s="54">
        <f>明细表!E83</f>
        <v>125.44</v>
      </c>
      <c r="C106" s="21">
        <f t="shared" si="23"/>
        <v>1</v>
      </c>
      <c r="D106" s="666" t="s">
        <v>3588</v>
      </c>
      <c r="E106" s="21">
        <f t="shared" si="24"/>
        <v>0.98</v>
      </c>
      <c r="F106" s="666" t="s">
        <v>3580</v>
      </c>
      <c r="G106" s="21">
        <f t="shared" si="25"/>
        <v>1.02</v>
      </c>
      <c r="H106" s="666" t="s">
        <v>21</v>
      </c>
      <c r="I106" s="21">
        <f t="shared" si="26"/>
        <v>1.05</v>
      </c>
      <c r="J106" s="666"/>
      <c r="K106" s="21">
        <f t="shared" si="27"/>
        <v>1</v>
      </c>
      <c r="L106" s="666"/>
      <c r="M106" s="21">
        <f t="shared" si="28"/>
        <v>1</v>
      </c>
      <c r="N106" s="666"/>
      <c r="O106" s="21">
        <f t="shared" si="29"/>
        <v>1</v>
      </c>
      <c r="P106" s="666"/>
      <c r="Q106" s="21">
        <f t="shared" si="30"/>
        <v>1</v>
      </c>
      <c r="R106" s="662">
        <f t="shared" ca="1" si="31"/>
        <v>48342</v>
      </c>
      <c r="S106" s="316">
        <f t="shared" ca="1" si="22"/>
        <v>606</v>
      </c>
      <c r="T106" s="724" t="str">
        <f>明细表!G83</f>
        <v>办公</v>
      </c>
      <c r="U106" s="724">
        <f>明细表!D83</f>
        <v>10</v>
      </c>
    </row>
    <row r="107" spans="1:21">
      <c r="A107" s="150" t="str">
        <f>明细表!B84</f>
        <v>6单元1107</v>
      </c>
      <c r="B107" s="54">
        <f>明细表!E84</f>
        <v>234.73</v>
      </c>
      <c r="C107" s="21">
        <f t="shared" si="23"/>
        <v>1</v>
      </c>
      <c r="D107" s="666" t="s">
        <v>3588</v>
      </c>
      <c r="E107" s="21">
        <f t="shared" si="24"/>
        <v>0.98</v>
      </c>
      <c r="F107" s="666" t="s">
        <v>3580</v>
      </c>
      <c r="G107" s="21">
        <f t="shared" si="25"/>
        <v>1.02</v>
      </c>
      <c r="H107" s="666" t="s">
        <v>21</v>
      </c>
      <c r="I107" s="21">
        <f t="shared" si="26"/>
        <v>1.05</v>
      </c>
      <c r="J107" s="666"/>
      <c r="K107" s="21">
        <f t="shared" si="27"/>
        <v>1</v>
      </c>
      <c r="L107" s="666"/>
      <c r="M107" s="21">
        <f t="shared" si="28"/>
        <v>1</v>
      </c>
      <c r="N107" s="666"/>
      <c r="O107" s="21">
        <f t="shared" si="29"/>
        <v>1</v>
      </c>
      <c r="P107" s="666"/>
      <c r="Q107" s="21">
        <f t="shared" si="30"/>
        <v>1</v>
      </c>
      <c r="R107" s="662">
        <f t="shared" ca="1" si="31"/>
        <v>48342</v>
      </c>
      <c r="S107" s="316">
        <f t="shared" ca="1" si="22"/>
        <v>1135</v>
      </c>
      <c r="T107" s="724" t="str">
        <f>明细表!G84</f>
        <v>办公</v>
      </c>
      <c r="U107" s="724">
        <f>明细表!D84</f>
        <v>10</v>
      </c>
    </row>
    <row r="108" spans="1:21">
      <c r="A108" s="150" t="str">
        <f>明细表!B85</f>
        <v>6单元1108</v>
      </c>
      <c r="B108" s="54">
        <f>明细表!E85</f>
        <v>234.74</v>
      </c>
      <c r="C108" s="21">
        <f t="shared" si="23"/>
        <v>1</v>
      </c>
      <c r="D108" s="666" t="s">
        <v>3588</v>
      </c>
      <c r="E108" s="21">
        <f t="shared" si="24"/>
        <v>0.98</v>
      </c>
      <c r="F108" s="666" t="s">
        <v>3580</v>
      </c>
      <c r="G108" s="21">
        <f t="shared" si="25"/>
        <v>1.02</v>
      </c>
      <c r="H108" s="666" t="s">
        <v>21</v>
      </c>
      <c r="I108" s="21">
        <f t="shared" si="26"/>
        <v>1.05</v>
      </c>
      <c r="J108" s="666"/>
      <c r="K108" s="21">
        <f t="shared" si="27"/>
        <v>1</v>
      </c>
      <c r="L108" s="666"/>
      <c r="M108" s="21">
        <f t="shared" si="28"/>
        <v>1</v>
      </c>
      <c r="N108" s="666"/>
      <c r="O108" s="21">
        <f t="shared" si="29"/>
        <v>1</v>
      </c>
      <c r="P108" s="666"/>
      <c r="Q108" s="21">
        <f t="shared" si="30"/>
        <v>1</v>
      </c>
      <c r="R108" s="662">
        <f t="shared" ca="1" si="31"/>
        <v>48342</v>
      </c>
      <c r="S108" s="316">
        <f t="shared" ca="1" si="22"/>
        <v>1135</v>
      </c>
      <c r="T108" s="724" t="str">
        <f>明细表!G85</f>
        <v>办公</v>
      </c>
      <c r="U108" s="724">
        <f>明细表!D85</f>
        <v>10</v>
      </c>
    </row>
    <row r="109" spans="1:21">
      <c r="A109" s="150" t="str">
        <f>明细表!B86</f>
        <v>6单元1109</v>
      </c>
      <c r="B109" s="54">
        <f>明细表!E86</f>
        <v>125.44</v>
      </c>
      <c r="C109" s="21">
        <f t="shared" si="23"/>
        <v>1</v>
      </c>
      <c r="D109" s="2808" t="s">
        <v>3573</v>
      </c>
      <c r="E109" s="21">
        <f t="shared" si="24"/>
        <v>1</v>
      </c>
      <c r="F109" s="666" t="s">
        <v>3580</v>
      </c>
      <c r="G109" s="21">
        <f t="shared" si="25"/>
        <v>1.02</v>
      </c>
      <c r="H109" s="666" t="s">
        <v>21</v>
      </c>
      <c r="I109" s="21">
        <f t="shared" si="26"/>
        <v>1.05</v>
      </c>
      <c r="J109" s="666"/>
      <c r="K109" s="21">
        <f t="shared" si="27"/>
        <v>1</v>
      </c>
      <c r="L109" s="666"/>
      <c r="M109" s="21">
        <f t="shared" si="28"/>
        <v>1</v>
      </c>
      <c r="N109" s="666"/>
      <c r="O109" s="21">
        <f t="shared" si="29"/>
        <v>1</v>
      </c>
      <c r="P109" s="666"/>
      <c r="Q109" s="21">
        <f t="shared" si="30"/>
        <v>1</v>
      </c>
      <c r="R109" s="662">
        <f t="shared" ca="1" si="31"/>
        <v>49328</v>
      </c>
      <c r="S109" s="316">
        <f t="shared" ca="1" si="22"/>
        <v>619</v>
      </c>
      <c r="T109" s="724" t="str">
        <f>明细表!G86</f>
        <v>办公</v>
      </c>
      <c r="U109" s="724">
        <f>明细表!D86</f>
        <v>10</v>
      </c>
    </row>
    <row r="110" spans="1:21">
      <c r="A110" s="150" t="str">
        <f>明细表!B87</f>
        <v>6单元1201</v>
      </c>
      <c r="B110" s="54">
        <f>明细表!E87</f>
        <v>125.44</v>
      </c>
      <c r="C110" s="21">
        <f t="shared" si="23"/>
        <v>1</v>
      </c>
      <c r="D110" s="2808" t="s">
        <v>3573</v>
      </c>
      <c r="E110" s="21">
        <f t="shared" si="24"/>
        <v>1</v>
      </c>
      <c r="F110" s="666" t="s">
        <v>3580</v>
      </c>
      <c r="G110" s="21">
        <f t="shared" si="25"/>
        <v>1.02</v>
      </c>
      <c r="H110" s="666" t="s">
        <v>21</v>
      </c>
      <c r="I110" s="21">
        <f t="shared" si="26"/>
        <v>1.05</v>
      </c>
      <c r="J110" s="666"/>
      <c r="K110" s="21">
        <f t="shared" si="27"/>
        <v>1</v>
      </c>
      <c r="L110" s="666"/>
      <c r="M110" s="21">
        <f t="shared" si="28"/>
        <v>1</v>
      </c>
      <c r="N110" s="666"/>
      <c r="O110" s="21">
        <f t="shared" si="29"/>
        <v>1</v>
      </c>
      <c r="P110" s="666"/>
      <c r="Q110" s="21">
        <f t="shared" si="30"/>
        <v>1</v>
      </c>
      <c r="R110" s="662">
        <f t="shared" ca="1" si="31"/>
        <v>49328</v>
      </c>
      <c r="S110" s="316">
        <f t="shared" ca="1" si="22"/>
        <v>619</v>
      </c>
      <c r="T110" s="724" t="str">
        <f>明细表!G87</f>
        <v>办公</v>
      </c>
      <c r="U110" s="724">
        <f>明细表!D87</f>
        <v>11</v>
      </c>
    </row>
    <row r="111" spans="1:21">
      <c r="A111" s="150" t="str">
        <f>明细表!B88</f>
        <v>6单元1202</v>
      </c>
      <c r="B111" s="54">
        <f>明细表!E88</f>
        <v>211.49</v>
      </c>
      <c r="C111" s="21">
        <f t="shared" si="23"/>
        <v>1</v>
      </c>
      <c r="D111" s="2808" t="s">
        <v>3573</v>
      </c>
      <c r="E111" s="21">
        <f t="shared" si="24"/>
        <v>1</v>
      </c>
      <c r="F111" s="666" t="s">
        <v>3580</v>
      </c>
      <c r="G111" s="21">
        <f t="shared" si="25"/>
        <v>1.02</v>
      </c>
      <c r="H111" s="666" t="s">
        <v>21</v>
      </c>
      <c r="I111" s="21">
        <f t="shared" si="26"/>
        <v>1.05</v>
      </c>
      <c r="J111" s="666"/>
      <c r="K111" s="21">
        <f t="shared" si="27"/>
        <v>1</v>
      </c>
      <c r="L111" s="666"/>
      <c r="M111" s="21">
        <f t="shared" si="28"/>
        <v>1</v>
      </c>
      <c r="N111" s="666"/>
      <c r="O111" s="21">
        <f t="shared" si="29"/>
        <v>1</v>
      </c>
      <c r="P111" s="666"/>
      <c r="Q111" s="21">
        <f t="shared" si="30"/>
        <v>1</v>
      </c>
      <c r="R111" s="662">
        <f t="shared" ca="1" si="31"/>
        <v>49328</v>
      </c>
      <c r="S111" s="316">
        <f t="shared" ca="1" si="22"/>
        <v>1043</v>
      </c>
      <c r="T111" s="724" t="str">
        <f>明细表!G88</f>
        <v>办公</v>
      </c>
      <c r="U111" s="724">
        <f>明细表!D88</f>
        <v>11</v>
      </c>
    </row>
    <row r="112" spans="1:21">
      <c r="A112" s="150" t="str">
        <f>明细表!B89</f>
        <v>6单元1203</v>
      </c>
      <c r="B112" s="54">
        <f>明细表!E89</f>
        <v>211.49</v>
      </c>
      <c r="C112" s="21">
        <f t="shared" si="23"/>
        <v>1</v>
      </c>
      <c r="D112" s="2808" t="s">
        <v>3573</v>
      </c>
      <c r="E112" s="21">
        <f t="shared" si="24"/>
        <v>1</v>
      </c>
      <c r="F112" s="666" t="s">
        <v>3580</v>
      </c>
      <c r="G112" s="21">
        <f t="shared" si="25"/>
        <v>1.02</v>
      </c>
      <c r="H112" s="666" t="s">
        <v>21</v>
      </c>
      <c r="I112" s="21">
        <f t="shared" si="26"/>
        <v>1.05</v>
      </c>
      <c r="J112" s="666"/>
      <c r="K112" s="21">
        <f t="shared" si="27"/>
        <v>1</v>
      </c>
      <c r="L112" s="666"/>
      <c r="M112" s="21">
        <f t="shared" si="28"/>
        <v>1</v>
      </c>
      <c r="N112" s="666"/>
      <c r="O112" s="21">
        <f t="shared" si="29"/>
        <v>1</v>
      </c>
      <c r="P112" s="666"/>
      <c r="Q112" s="21">
        <f t="shared" si="30"/>
        <v>1</v>
      </c>
      <c r="R112" s="662">
        <f t="shared" ca="1" si="31"/>
        <v>49328</v>
      </c>
      <c r="S112" s="316">
        <f t="shared" ca="1" si="22"/>
        <v>1043</v>
      </c>
      <c r="T112" s="724" t="str">
        <f>明细表!G89</f>
        <v>办公</v>
      </c>
      <c r="U112" s="724">
        <f>明细表!D89</f>
        <v>11</v>
      </c>
    </row>
    <row r="113" spans="1:21">
      <c r="A113" s="150" t="str">
        <f>明细表!B90</f>
        <v>6单元1205</v>
      </c>
      <c r="B113" s="54">
        <f>明细表!E90</f>
        <v>125.44</v>
      </c>
      <c r="C113" s="21">
        <f t="shared" si="23"/>
        <v>1</v>
      </c>
      <c r="D113" s="2808" t="s">
        <v>3573</v>
      </c>
      <c r="E113" s="21">
        <f t="shared" si="24"/>
        <v>1</v>
      </c>
      <c r="F113" s="666" t="s">
        <v>3580</v>
      </c>
      <c r="G113" s="21">
        <f t="shared" si="25"/>
        <v>1.02</v>
      </c>
      <c r="H113" s="666" t="s">
        <v>21</v>
      </c>
      <c r="I113" s="21">
        <f t="shared" si="26"/>
        <v>1.05</v>
      </c>
      <c r="J113" s="666"/>
      <c r="K113" s="21">
        <f t="shared" si="27"/>
        <v>1</v>
      </c>
      <c r="L113" s="666"/>
      <c r="M113" s="21">
        <f t="shared" si="28"/>
        <v>1</v>
      </c>
      <c r="N113" s="666"/>
      <c r="O113" s="21">
        <f t="shared" si="29"/>
        <v>1</v>
      </c>
      <c r="P113" s="666"/>
      <c r="Q113" s="21">
        <f t="shared" si="30"/>
        <v>1</v>
      </c>
      <c r="R113" s="662">
        <f t="shared" ca="1" si="31"/>
        <v>49328</v>
      </c>
      <c r="S113" s="316">
        <f t="shared" ca="1" si="22"/>
        <v>619</v>
      </c>
      <c r="T113" s="724" t="str">
        <f>明细表!G90</f>
        <v>办公</v>
      </c>
      <c r="U113" s="724">
        <f>明细表!D90</f>
        <v>11</v>
      </c>
    </row>
    <row r="114" spans="1:21">
      <c r="A114" s="150" t="str">
        <f>明细表!B91</f>
        <v>6单元1206</v>
      </c>
      <c r="B114" s="54">
        <f>明细表!E91</f>
        <v>125.44</v>
      </c>
      <c r="C114" s="21">
        <f t="shared" si="23"/>
        <v>1</v>
      </c>
      <c r="D114" s="2808" t="s">
        <v>3573</v>
      </c>
      <c r="E114" s="21">
        <f t="shared" si="24"/>
        <v>1</v>
      </c>
      <c r="F114" s="666" t="s">
        <v>3580</v>
      </c>
      <c r="G114" s="21">
        <f t="shared" si="25"/>
        <v>1.02</v>
      </c>
      <c r="H114" s="666" t="s">
        <v>21</v>
      </c>
      <c r="I114" s="21">
        <f t="shared" si="26"/>
        <v>1.05</v>
      </c>
      <c r="J114" s="666"/>
      <c r="K114" s="21">
        <f t="shared" si="27"/>
        <v>1</v>
      </c>
      <c r="L114" s="666"/>
      <c r="M114" s="21">
        <f t="shared" si="28"/>
        <v>1</v>
      </c>
      <c r="N114" s="666"/>
      <c r="O114" s="21">
        <f t="shared" si="29"/>
        <v>1</v>
      </c>
      <c r="P114" s="666"/>
      <c r="Q114" s="21">
        <f t="shared" si="30"/>
        <v>1</v>
      </c>
      <c r="R114" s="662">
        <f t="shared" ca="1" si="31"/>
        <v>49328</v>
      </c>
      <c r="S114" s="316">
        <f t="shared" ca="1" si="22"/>
        <v>619</v>
      </c>
      <c r="T114" s="724" t="str">
        <f>明细表!G91</f>
        <v>办公</v>
      </c>
      <c r="U114" s="724">
        <f>明细表!D91</f>
        <v>11</v>
      </c>
    </row>
    <row r="115" spans="1:21">
      <c r="A115" s="150" t="str">
        <f>明细表!B92</f>
        <v>6单元1207</v>
      </c>
      <c r="B115" s="54">
        <f>明细表!E92</f>
        <v>234.73</v>
      </c>
      <c r="C115" s="21">
        <f t="shared" si="23"/>
        <v>1</v>
      </c>
      <c r="D115" s="2808" t="s">
        <v>3573</v>
      </c>
      <c r="E115" s="21">
        <f t="shared" si="24"/>
        <v>1</v>
      </c>
      <c r="F115" s="666" t="s">
        <v>3580</v>
      </c>
      <c r="G115" s="21">
        <f t="shared" si="25"/>
        <v>1.02</v>
      </c>
      <c r="H115" s="666" t="s">
        <v>21</v>
      </c>
      <c r="I115" s="21">
        <f t="shared" si="26"/>
        <v>1.05</v>
      </c>
      <c r="J115" s="666"/>
      <c r="K115" s="21">
        <f t="shared" si="27"/>
        <v>1</v>
      </c>
      <c r="L115" s="666"/>
      <c r="M115" s="21">
        <f t="shared" si="28"/>
        <v>1</v>
      </c>
      <c r="N115" s="666"/>
      <c r="O115" s="21">
        <f t="shared" si="29"/>
        <v>1</v>
      </c>
      <c r="P115" s="666"/>
      <c r="Q115" s="21">
        <f t="shared" si="30"/>
        <v>1</v>
      </c>
      <c r="R115" s="662">
        <f t="shared" ca="1" si="31"/>
        <v>49328</v>
      </c>
      <c r="S115" s="316">
        <f t="shared" ca="1" si="22"/>
        <v>1158</v>
      </c>
      <c r="T115" s="724" t="str">
        <f>明细表!G92</f>
        <v>办公</v>
      </c>
      <c r="U115" s="724">
        <f>明细表!D92</f>
        <v>11</v>
      </c>
    </row>
    <row r="116" spans="1:21">
      <c r="A116" s="150" t="str">
        <f>明细表!B93</f>
        <v>6单元1208</v>
      </c>
      <c r="B116" s="54">
        <f>明细表!E93</f>
        <v>234.74</v>
      </c>
      <c r="C116" s="21">
        <f t="shared" si="23"/>
        <v>1</v>
      </c>
      <c r="D116" s="2808" t="s">
        <v>3573</v>
      </c>
      <c r="E116" s="21">
        <f t="shared" si="24"/>
        <v>1</v>
      </c>
      <c r="F116" s="666" t="s">
        <v>3580</v>
      </c>
      <c r="G116" s="21">
        <f t="shared" si="25"/>
        <v>1.02</v>
      </c>
      <c r="H116" s="666" t="s">
        <v>21</v>
      </c>
      <c r="I116" s="21">
        <f t="shared" si="26"/>
        <v>1.05</v>
      </c>
      <c r="J116" s="666"/>
      <c r="K116" s="21">
        <f t="shared" si="27"/>
        <v>1</v>
      </c>
      <c r="L116" s="666"/>
      <c r="M116" s="21">
        <f t="shared" si="28"/>
        <v>1</v>
      </c>
      <c r="N116" s="666"/>
      <c r="O116" s="21">
        <f t="shared" si="29"/>
        <v>1</v>
      </c>
      <c r="P116" s="666"/>
      <c r="Q116" s="21">
        <f t="shared" si="30"/>
        <v>1</v>
      </c>
      <c r="R116" s="662">
        <f t="shared" ca="1" si="31"/>
        <v>49328</v>
      </c>
      <c r="S116" s="316">
        <f t="shared" ca="1" si="22"/>
        <v>1158</v>
      </c>
      <c r="T116" s="724" t="str">
        <f>明细表!G93</f>
        <v>办公</v>
      </c>
      <c r="U116" s="724">
        <f>明细表!D93</f>
        <v>11</v>
      </c>
    </row>
    <row r="117" spans="1:21">
      <c r="A117" s="150" t="str">
        <f>明细表!B94</f>
        <v>6单元1209</v>
      </c>
      <c r="B117" s="54">
        <f>明细表!E94</f>
        <v>125.44</v>
      </c>
      <c r="C117" s="21">
        <f t="shared" si="23"/>
        <v>1</v>
      </c>
      <c r="D117" s="2808" t="s">
        <v>3573</v>
      </c>
      <c r="E117" s="21">
        <f t="shared" si="24"/>
        <v>1</v>
      </c>
      <c r="F117" s="666" t="s">
        <v>3580</v>
      </c>
      <c r="G117" s="21">
        <f t="shared" si="25"/>
        <v>1.02</v>
      </c>
      <c r="H117" s="666" t="s">
        <v>21</v>
      </c>
      <c r="I117" s="21">
        <f t="shared" si="26"/>
        <v>1.05</v>
      </c>
      <c r="J117" s="666"/>
      <c r="K117" s="21">
        <f t="shared" si="27"/>
        <v>1</v>
      </c>
      <c r="L117" s="666"/>
      <c r="M117" s="21">
        <f t="shared" si="28"/>
        <v>1</v>
      </c>
      <c r="N117" s="666"/>
      <c r="O117" s="21">
        <f t="shared" si="29"/>
        <v>1</v>
      </c>
      <c r="P117" s="666"/>
      <c r="Q117" s="21">
        <f t="shared" si="30"/>
        <v>1</v>
      </c>
      <c r="R117" s="662">
        <f t="shared" ca="1" si="31"/>
        <v>49328</v>
      </c>
      <c r="S117" s="316">
        <f t="shared" ca="1" si="22"/>
        <v>619</v>
      </c>
      <c r="T117" s="724" t="str">
        <f>明细表!G94</f>
        <v>办公</v>
      </c>
      <c r="U117" s="724">
        <f>明细表!D94</f>
        <v>11</v>
      </c>
    </row>
    <row r="118" spans="1:21">
      <c r="A118" s="150" t="str">
        <f>明细表!B95</f>
        <v>6单元2001</v>
      </c>
      <c r="B118" s="54">
        <f>明细表!E95</f>
        <v>125.44</v>
      </c>
      <c r="C118" s="21">
        <f t="shared" si="23"/>
        <v>1</v>
      </c>
      <c r="D118" s="2808" t="s">
        <v>3573</v>
      </c>
      <c r="E118" s="21">
        <f t="shared" si="24"/>
        <v>1</v>
      </c>
      <c r="F118" s="666" t="s">
        <v>3528</v>
      </c>
      <c r="G118" s="21">
        <f t="shared" si="25"/>
        <v>1</v>
      </c>
      <c r="H118" s="666" t="s">
        <v>21</v>
      </c>
      <c r="I118" s="21">
        <f t="shared" si="26"/>
        <v>1.05</v>
      </c>
      <c r="J118" s="666"/>
      <c r="K118" s="21">
        <f t="shared" si="27"/>
        <v>1</v>
      </c>
      <c r="L118" s="666"/>
      <c r="M118" s="21">
        <f t="shared" si="28"/>
        <v>1</v>
      </c>
      <c r="N118" s="666"/>
      <c r="O118" s="21">
        <f t="shared" si="29"/>
        <v>1</v>
      </c>
      <c r="P118" s="666"/>
      <c r="Q118" s="21">
        <f t="shared" si="30"/>
        <v>1</v>
      </c>
      <c r="R118" s="662">
        <f t="shared" ca="1" si="31"/>
        <v>48361</v>
      </c>
      <c r="S118" s="316">
        <f t="shared" ca="1" si="22"/>
        <v>607</v>
      </c>
      <c r="T118" s="724" t="str">
        <f>明细表!G95</f>
        <v>办公</v>
      </c>
      <c r="U118" s="724">
        <f>明细表!D95</f>
        <v>18</v>
      </c>
    </row>
    <row r="119" spans="1:21">
      <c r="A119" s="150" t="str">
        <f>明细表!B96</f>
        <v>6单元2002</v>
      </c>
      <c r="B119" s="54">
        <f>明细表!E96</f>
        <v>211.49</v>
      </c>
      <c r="C119" s="21">
        <f t="shared" si="23"/>
        <v>1</v>
      </c>
      <c r="D119" s="2808" t="s">
        <v>3573</v>
      </c>
      <c r="E119" s="21">
        <f t="shared" si="24"/>
        <v>1</v>
      </c>
      <c r="F119" s="666" t="s">
        <v>3528</v>
      </c>
      <c r="G119" s="21">
        <f t="shared" si="25"/>
        <v>1</v>
      </c>
      <c r="H119" s="666" t="s">
        <v>21</v>
      </c>
      <c r="I119" s="21">
        <f t="shared" si="26"/>
        <v>1.05</v>
      </c>
      <c r="J119" s="666"/>
      <c r="K119" s="21">
        <f t="shared" si="27"/>
        <v>1</v>
      </c>
      <c r="L119" s="666"/>
      <c r="M119" s="21">
        <f t="shared" si="28"/>
        <v>1</v>
      </c>
      <c r="N119" s="666"/>
      <c r="O119" s="21">
        <f t="shared" si="29"/>
        <v>1</v>
      </c>
      <c r="P119" s="666"/>
      <c r="Q119" s="21">
        <f t="shared" si="30"/>
        <v>1</v>
      </c>
      <c r="R119" s="662">
        <f t="shared" ca="1" si="31"/>
        <v>48361</v>
      </c>
      <c r="S119" s="316">
        <f t="shared" ca="1" si="22"/>
        <v>1023</v>
      </c>
      <c r="T119" s="724" t="str">
        <f>明细表!G96</f>
        <v>办公</v>
      </c>
      <c r="U119" s="724">
        <f>明细表!D96</f>
        <v>18</v>
      </c>
    </row>
    <row r="120" spans="1:21">
      <c r="A120" s="150" t="str">
        <f>明细表!B97</f>
        <v>6单元2003</v>
      </c>
      <c r="B120" s="54">
        <f>明细表!E97</f>
        <v>211.49</v>
      </c>
      <c r="C120" s="21">
        <f t="shared" si="23"/>
        <v>1</v>
      </c>
      <c r="D120" s="2808" t="s">
        <v>3573</v>
      </c>
      <c r="E120" s="21">
        <f t="shared" si="24"/>
        <v>1</v>
      </c>
      <c r="F120" s="666" t="s">
        <v>3528</v>
      </c>
      <c r="G120" s="21">
        <f t="shared" si="25"/>
        <v>1</v>
      </c>
      <c r="H120" s="666" t="s">
        <v>21</v>
      </c>
      <c r="I120" s="21">
        <f t="shared" si="26"/>
        <v>1.05</v>
      </c>
      <c r="J120" s="666"/>
      <c r="K120" s="21">
        <f t="shared" si="27"/>
        <v>1</v>
      </c>
      <c r="L120" s="666"/>
      <c r="M120" s="21">
        <f t="shared" si="28"/>
        <v>1</v>
      </c>
      <c r="N120" s="666"/>
      <c r="O120" s="21">
        <f t="shared" si="29"/>
        <v>1</v>
      </c>
      <c r="P120" s="666"/>
      <c r="Q120" s="21">
        <f t="shared" si="30"/>
        <v>1</v>
      </c>
      <c r="R120" s="662">
        <f t="shared" ca="1" si="31"/>
        <v>48361</v>
      </c>
      <c r="S120" s="316">
        <f t="shared" ca="1" si="22"/>
        <v>1023</v>
      </c>
      <c r="T120" s="724" t="str">
        <f>明细表!G97</f>
        <v>办公</v>
      </c>
      <c r="U120" s="724">
        <f>明细表!D97</f>
        <v>18</v>
      </c>
    </row>
    <row r="121" spans="1:21">
      <c r="A121" s="150" t="str">
        <f>明细表!B98</f>
        <v>6单元2005</v>
      </c>
      <c r="B121" s="54">
        <f>明细表!E98</f>
        <v>125.44</v>
      </c>
      <c r="C121" s="21">
        <f t="shared" si="23"/>
        <v>1</v>
      </c>
      <c r="D121" s="2808" t="s">
        <v>3573</v>
      </c>
      <c r="E121" s="21">
        <f t="shared" si="24"/>
        <v>1</v>
      </c>
      <c r="F121" s="666" t="s">
        <v>3528</v>
      </c>
      <c r="G121" s="21">
        <f t="shared" si="25"/>
        <v>1</v>
      </c>
      <c r="H121" s="666" t="s">
        <v>21</v>
      </c>
      <c r="I121" s="21">
        <f t="shared" si="26"/>
        <v>1.05</v>
      </c>
      <c r="J121" s="666"/>
      <c r="K121" s="21">
        <f t="shared" si="27"/>
        <v>1</v>
      </c>
      <c r="L121" s="666"/>
      <c r="M121" s="21">
        <f t="shared" si="28"/>
        <v>1</v>
      </c>
      <c r="N121" s="666"/>
      <c r="O121" s="21">
        <f t="shared" si="29"/>
        <v>1</v>
      </c>
      <c r="P121" s="666"/>
      <c r="Q121" s="21">
        <f t="shared" si="30"/>
        <v>1</v>
      </c>
      <c r="R121" s="662">
        <f t="shared" ca="1" si="31"/>
        <v>48361</v>
      </c>
      <c r="S121" s="316">
        <f t="shared" ca="1" si="22"/>
        <v>607</v>
      </c>
      <c r="T121" s="724" t="str">
        <f>明细表!G98</f>
        <v>办公</v>
      </c>
      <c r="U121" s="724">
        <f>明细表!D98</f>
        <v>18</v>
      </c>
    </row>
    <row r="122" spans="1:21">
      <c r="A122" s="150" t="str">
        <f>明细表!B99</f>
        <v>6单元2006</v>
      </c>
      <c r="B122" s="54">
        <f>明细表!E99</f>
        <v>125.44</v>
      </c>
      <c r="C122" s="21">
        <f t="shared" si="23"/>
        <v>1</v>
      </c>
      <c r="D122" s="2808" t="s">
        <v>3573</v>
      </c>
      <c r="E122" s="21">
        <f t="shared" si="24"/>
        <v>1</v>
      </c>
      <c r="F122" s="666" t="s">
        <v>3528</v>
      </c>
      <c r="G122" s="21">
        <f t="shared" si="25"/>
        <v>1</v>
      </c>
      <c r="H122" s="666" t="s">
        <v>21</v>
      </c>
      <c r="I122" s="21">
        <f t="shared" si="26"/>
        <v>1.05</v>
      </c>
      <c r="J122" s="666"/>
      <c r="K122" s="21">
        <f t="shared" si="27"/>
        <v>1</v>
      </c>
      <c r="L122" s="666"/>
      <c r="M122" s="21">
        <f t="shared" si="28"/>
        <v>1</v>
      </c>
      <c r="N122" s="666"/>
      <c r="O122" s="21">
        <f t="shared" si="29"/>
        <v>1</v>
      </c>
      <c r="P122" s="666"/>
      <c r="Q122" s="21">
        <f t="shared" si="30"/>
        <v>1</v>
      </c>
      <c r="R122" s="662">
        <f t="shared" ca="1" si="31"/>
        <v>48361</v>
      </c>
      <c r="S122" s="316">
        <f t="shared" ca="1" si="22"/>
        <v>607</v>
      </c>
      <c r="T122" s="724" t="str">
        <f>明细表!G99</f>
        <v>办公</v>
      </c>
      <c r="U122" s="724">
        <f>明细表!D99</f>
        <v>18</v>
      </c>
    </row>
    <row r="123" spans="1:21">
      <c r="A123" s="150" t="str">
        <f>明细表!B100</f>
        <v>6单元2007</v>
      </c>
      <c r="B123" s="54">
        <f>明细表!E100</f>
        <v>234.73</v>
      </c>
      <c r="C123" s="21">
        <f t="shared" si="23"/>
        <v>1</v>
      </c>
      <c r="D123" s="2808" t="s">
        <v>3573</v>
      </c>
      <c r="E123" s="21">
        <f t="shared" si="24"/>
        <v>1</v>
      </c>
      <c r="F123" s="666" t="s">
        <v>3528</v>
      </c>
      <c r="G123" s="21">
        <f t="shared" si="25"/>
        <v>1</v>
      </c>
      <c r="H123" s="666" t="s">
        <v>21</v>
      </c>
      <c r="I123" s="21">
        <f t="shared" si="26"/>
        <v>1.05</v>
      </c>
      <c r="J123" s="666"/>
      <c r="K123" s="21">
        <f t="shared" si="27"/>
        <v>1</v>
      </c>
      <c r="L123" s="666"/>
      <c r="M123" s="21">
        <f t="shared" si="28"/>
        <v>1</v>
      </c>
      <c r="N123" s="666"/>
      <c r="O123" s="21">
        <f t="shared" si="29"/>
        <v>1</v>
      </c>
      <c r="P123" s="666"/>
      <c r="Q123" s="21">
        <f t="shared" si="30"/>
        <v>1</v>
      </c>
      <c r="R123" s="662">
        <f t="shared" ca="1" si="31"/>
        <v>48361</v>
      </c>
      <c r="S123" s="316">
        <f t="shared" ref="S123:S186" ca="1" si="32">ROUND(R123*B123/10000,0)</f>
        <v>1135</v>
      </c>
      <c r="T123" s="724" t="str">
        <f>明细表!G100</f>
        <v>办公</v>
      </c>
      <c r="U123" s="724">
        <f>明细表!D100</f>
        <v>18</v>
      </c>
    </row>
    <row r="124" spans="1:21">
      <c r="A124" s="150" t="str">
        <f>明细表!B101</f>
        <v>6单元2008</v>
      </c>
      <c r="B124" s="54">
        <f>明细表!E101</f>
        <v>234.74</v>
      </c>
      <c r="C124" s="21">
        <f t="shared" si="23"/>
        <v>1</v>
      </c>
      <c r="D124" s="2808" t="s">
        <v>3573</v>
      </c>
      <c r="E124" s="21">
        <f t="shared" si="24"/>
        <v>1</v>
      </c>
      <c r="F124" s="666" t="s">
        <v>3528</v>
      </c>
      <c r="G124" s="21">
        <f t="shared" si="25"/>
        <v>1</v>
      </c>
      <c r="H124" s="666" t="s">
        <v>21</v>
      </c>
      <c r="I124" s="21">
        <f t="shared" si="26"/>
        <v>1.05</v>
      </c>
      <c r="J124" s="666"/>
      <c r="K124" s="21">
        <f t="shared" si="27"/>
        <v>1</v>
      </c>
      <c r="L124" s="666"/>
      <c r="M124" s="21">
        <f t="shared" si="28"/>
        <v>1</v>
      </c>
      <c r="N124" s="666"/>
      <c r="O124" s="21">
        <f t="shared" si="29"/>
        <v>1</v>
      </c>
      <c r="P124" s="666"/>
      <c r="Q124" s="21">
        <f t="shared" si="30"/>
        <v>1</v>
      </c>
      <c r="R124" s="662">
        <f t="shared" ca="1" si="31"/>
        <v>48361</v>
      </c>
      <c r="S124" s="316">
        <f t="shared" ca="1" si="32"/>
        <v>1135</v>
      </c>
      <c r="T124" s="724" t="str">
        <f>明细表!G101</f>
        <v>办公</v>
      </c>
      <c r="U124" s="724">
        <f>明细表!D101</f>
        <v>18</v>
      </c>
    </row>
    <row r="125" spans="1:21">
      <c r="A125" s="150" t="str">
        <f>明细表!B102</f>
        <v>6单元2009</v>
      </c>
      <c r="B125" s="54">
        <f>明细表!E102</f>
        <v>125.44</v>
      </c>
      <c r="C125" s="21">
        <f t="shared" si="23"/>
        <v>1</v>
      </c>
      <c r="D125" s="2808" t="s">
        <v>3573</v>
      </c>
      <c r="E125" s="21">
        <f t="shared" si="24"/>
        <v>1</v>
      </c>
      <c r="F125" s="666" t="s">
        <v>3528</v>
      </c>
      <c r="G125" s="21">
        <f t="shared" si="25"/>
        <v>1</v>
      </c>
      <c r="H125" s="666" t="s">
        <v>21</v>
      </c>
      <c r="I125" s="21">
        <f t="shared" si="26"/>
        <v>1.05</v>
      </c>
      <c r="J125" s="666"/>
      <c r="K125" s="21">
        <f t="shared" si="27"/>
        <v>1</v>
      </c>
      <c r="L125" s="666"/>
      <c r="M125" s="21">
        <f t="shared" si="28"/>
        <v>1</v>
      </c>
      <c r="N125" s="666"/>
      <c r="O125" s="21">
        <f t="shared" si="29"/>
        <v>1</v>
      </c>
      <c r="P125" s="666"/>
      <c r="Q125" s="21">
        <f t="shared" si="30"/>
        <v>1</v>
      </c>
      <c r="R125" s="662">
        <f t="shared" ca="1" si="31"/>
        <v>48361</v>
      </c>
      <c r="S125" s="316">
        <f t="shared" ca="1" si="32"/>
        <v>607</v>
      </c>
      <c r="T125" s="724" t="str">
        <f>明细表!G102</f>
        <v>办公</v>
      </c>
      <c r="U125" s="724">
        <f>明细表!D102</f>
        <v>18</v>
      </c>
    </row>
    <row r="126" spans="1:21">
      <c r="A126" s="150" t="str">
        <f>明细表!B103</f>
        <v>6单元2101</v>
      </c>
      <c r="B126" s="54">
        <f>明细表!E103</f>
        <v>125.44</v>
      </c>
      <c r="C126" s="21">
        <f t="shared" si="23"/>
        <v>1</v>
      </c>
      <c r="D126" s="2808" t="s">
        <v>3573</v>
      </c>
      <c r="E126" s="21">
        <f t="shared" si="24"/>
        <v>1</v>
      </c>
      <c r="F126" s="666" t="s">
        <v>3528</v>
      </c>
      <c r="G126" s="21">
        <f t="shared" si="25"/>
        <v>1</v>
      </c>
      <c r="H126" s="666" t="s">
        <v>21</v>
      </c>
      <c r="I126" s="21">
        <f t="shared" si="26"/>
        <v>1.05</v>
      </c>
      <c r="J126" s="666"/>
      <c r="K126" s="21">
        <f t="shared" si="27"/>
        <v>1</v>
      </c>
      <c r="L126" s="666"/>
      <c r="M126" s="21">
        <f t="shared" si="28"/>
        <v>1</v>
      </c>
      <c r="N126" s="666"/>
      <c r="O126" s="21">
        <f t="shared" si="29"/>
        <v>1</v>
      </c>
      <c r="P126" s="666"/>
      <c r="Q126" s="21">
        <f t="shared" si="30"/>
        <v>1</v>
      </c>
      <c r="R126" s="662">
        <f t="shared" ca="1" si="31"/>
        <v>48361</v>
      </c>
      <c r="S126" s="316">
        <f t="shared" ca="1" si="32"/>
        <v>607</v>
      </c>
      <c r="T126" s="724" t="str">
        <f>明细表!G103</f>
        <v>办公</v>
      </c>
      <c r="U126" s="724">
        <f>明细表!D103</f>
        <v>19</v>
      </c>
    </row>
    <row r="127" spans="1:21">
      <c r="A127" s="150" t="str">
        <f>明细表!B104</f>
        <v>6单元2102</v>
      </c>
      <c r="B127" s="54">
        <f>明细表!E104</f>
        <v>211.49</v>
      </c>
      <c r="C127" s="21">
        <f t="shared" si="23"/>
        <v>1</v>
      </c>
      <c r="D127" s="2808" t="s">
        <v>3573</v>
      </c>
      <c r="E127" s="21">
        <f t="shared" si="24"/>
        <v>1</v>
      </c>
      <c r="F127" s="666" t="s">
        <v>3528</v>
      </c>
      <c r="G127" s="21">
        <f t="shared" si="25"/>
        <v>1</v>
      </c>
      <c r="H127" s="666" t="s">
        <v>21</v>
      </c>
      <c r="I127" s="21">
        <f t="shared" si="26"/>
        <v>1.05</v>
      </c>
      <c r="J127" s="666"/>
      <c r="K127" s="21">
        <f t="shared" si="27"/>
        <v>1</v>
      </c>
      <c r="L127" s="666"/>
      <c r="M127" s="21">
        <f t="shared" si="28"/>
        <v>1</v>
      </c>
      <c r="N127" s="666"/>
      <c r="O127" s="21">
        <f t="shared" si="29"/>
        <v>1</v>
      </c>
      <c r="P127" s="666"/>
      <c r="Q127" s="21">
        <f t="shared" si="30"/>
        <v>1</v>
      </c>
      <c r="R127" s="662">
        <f t="shared" ca="1" si="31"/>
        <v>48361</v>
      </c>
      <c r="S127" s="316">
        <f t="shared" ca="1" si="32"/>
        <v>1023</v>
      </c>
      <c r="T127" s="724" t="str">
        <f>明细表!G104</f>
        <v>办公</v>
      </c>
      <c r="U127" s="724">
        <f>明细表!D104</f>
        <v>19</v>
      </c>
    </row>
    <row r="128" spans="1:21">
      <c r="A128" s="150" t="str">
        <f>明细表!B105</f>
        <v>6单元2103</v>
      </c>
      <c r="B128" s="54">
        <f>明细表!E105</f>
        <v>211.49</v>
      </c>
      <c r="C128" s="21">
        <f t="shared" si="23"/>
        <v>1</v>
      </c>
      <c r="D128" s="2808" t="s">
        <v>3573</v>
      </c>
      <c r="E128" s="21">
        <f t="shared" si="24"/>
        <v>1</v>
      </c>
      <c r="F128" s="666" t="s">
        <v>3528</v>
      </c>
      <c r="G128" s="21">
        <f t="shared" si="25"/>
        <v>1</v>
      </c>
      <c r="H128" s="666" t="s">
        <v>21</v>
      </c>
      <c r="I128" s="21">
        <f t="shared" si="26"/>
        <v>1.05</v>
      </c>
      <c r="J128" s="666"/>
      <c r="K128" s="21">
        <f t="shared" si="27"/>
        <v>1</v>
      </c>
      <c r="L128" s="666"/>
      <c r="M128" s="21">
        <f t="shared" si="28"/>
        <v>1</v>
      </c>
      <c r="N128" s="666"/>
      <c r="O128" s="21">
        <f t="shared" si="29"/>
        <v>1</v>
      </c>
      <c r="P128" s="666"/>
      <c r="Q128" s="21">
        <f t="shared" si="30"/>
        <v>1</v>
      </c>
      <c r="R128" s="662">
        <f t="shared" ca="1" si="31"/>
        <v>48361</v>
      </c>
      <c r="S128" s="316">
        <f t="shared" ca="1" si="32"/>
        <v>1023</v>
      </c>
      <c r="T128" s="724" t="str">
        <f>明细表!G105</f>
        <v>办公</v>
      </c>
      <c r="U128" s="724">
        <f>明细表!D105</f>
        <v>19</v>
      </c>
    </row>
    <row r="129" spans="1:21">
      <c r="A129" s="150" t="str">
        <f>明细表!B106</f>
        <v>6单元2105</v>
      </c>
      <c r="B129" s="54">
        <f>明细表!E106</f>
        <v>125.44</v>
      </c>
      <c r="C129" s="21">
        <f t="shared" si="23"/>
        <v>1</v>
      </c>
      <c r="D129" s="2808" t="s">
        <v>3573</v>
      </c>
      <c r="E129" s="21">
        <f t="shared" si="24"/>
        <v>1</v>
      </c>
      <c r="F129" s="666" t="s">
        <v>3528</v>
      </c>
      <c r="G129" s="21">
        <f t="shared" si="25"/>
        <v>1</v>
      </c>
      <c r="H129" s="666" t="s">
        <v>21</v>
      </c>
      <c r="I129" s="21">
        <f t="shared" si="26"/>
        <v>1.05</v>
      </c>
      <c r="J129" s="666"/>
      <c r="K129" s="21">
        <f t="shared" si="27"/>
        <v>1</v>
      </c>
      <c r="L129" s="666"/>
      <c r="M129" s="21">
        <f t="shared" si="28"/>
        <v>1</v>
      </c>
      <c r="N129" s="666"/>
      <c r="O129" s="21">
        <f t="shared" si="29"/>
        <v>1</v>
      </c>
      <c r="P129" s="666"/>
      <c r="Q129" s="21">
        <f t="shared" si="30"/>
        <v>1</v>
      </c>
      <c r="R129" s="662">
        <f t="shared" ca="1" si="31"/>
        <v>48361</v>
      </c>
      <c r="S129" s="316">
        <f t="shared" ca="1" si="32"/>
        <v>607</v>
      </c>
      <c r="T129" s="724" t="str">
        <f>明细表!G106</f>
        <v>办公</v>
      </c>
      <c r="U129" s="724">
        <f>明细表!D106</f>
        <v>19</v>
      </c>
    </row>
    <row r="130" spans="1:21">
      <c r="A130" s="150" t="str">
        <f>明细表!B107</f>
        <v>6单元2106</v>
      </c>
      <c r="B130" s="54">
        <f>明细表!E107</f>
        <v>125.44</v>
      </c>
      <c r="C130" s="21">
        <f t="shared" si="23"/>
        <v>1</v>
      </c>
      <c r="D130" s="2808" t="s">
        <v>3573</v>
      </c>
      <c r="E130" s="21">
        <f t="shared" si="24"/>
        <v>1</v>
      </c>
      <c r="F130" s="666" t="s">
        <v>3528</v>
      </c>
      <c r="G130" s="21">
        <f t="shared" si="25"/>
        <v>1</v>
      </c>
      <c r="H130" s="666" t="s">
        <v>21</v>
      </c>
      <c r="I130" s="21">
        <f t="shared" si="26"/>
        <v>1.05</v>
      </c>
      <c r="J130" s="666"/>
      <c r="K130" s="21">
        <f t="shared" si="27"/>
        <v>1</v>
      </c>
      <c r="L130" s="666"/>
      <c r="M130" s="21">
        <f t="shared" si="28"/>
        <v>1</v>
      </c>
      <c r="N130" s="666"/>
      <c r="O130" s="21">
        <f t="shared" si="29"/>
        <v>1</v>
      </c>
      <c r="P130" s="666"/>
      <c r="Q130" s="21">
        <f t="shared" si="30"/>
        <v>1</v>
      </c>
      <c r="R130" s="662">
        <f t="shared" ca="1" si="31"/>
        <v>48361</v>
      </c>
      <c r="S130" s="316">
        <f t="shared" ca="1" si="32"/>
        <v>607</v>
      </c>
      <c r="T130" s="724" t="str">
        <f>明细表!G107</f>
        <v>办公</v>
      </c>
      <c r="U130" s="724">
        <f>明细表!D107</f>
        <v>19</v>
      </c>
    </row>
    <row r="131" spans="1:21">
      <c r="A131" s="150" t="str">
        <f>明细表!B108</f>
        <v>6单元2107</v>
      </c>
      <c r="B131" s="54">
        <f>明细表!E108</f>
        <v>234.73</v>
      </c>
      <c r="C131" s="21">
        <f t="shared" si="23"/>
        <v>1</v>
      </c>
      <c r="D131" s="2808" t="s">
        <v>3573</v>
      </c>
      <c r="E131" s="21">
        <f t="shared" si="24"/>
        <v>1</v>
      </c>
      <c r="F131" s="666" t="s">
        <v>3528</v>
      </c>
      <c r="G131" s="21">
        <f t="shared" si="25"/>
        <v>1</v>
      </c>
      <c r="H131" s="666" t="s">
        <v>21</v>
      </c>
      <c r="I131" s="21">
        <f t="shared" si="26"/>
        <v>1.05</v>
      </c>
      <c r="J131" s="666"/>
      <c r="K131" s="21">
        <f t="shared" si="27"/>
        <v>1</v>
      </c>
      <c r="L131" s="666"/>
      <c r="M131" s="21">
        <f t="shared" si="28"/>
        <v>1</v>
      </c>
      <c r="N131" s="666"/>
      <c r="O131" s="21">
        <f t="shared" si="29"/>
        <v>1</v>
      </c>
      <c r="P131" s="666"/>
      <c r="Q131" s="21">
        <f t="shared" si="30"/>
        <v>1</v>
      </c>
      <c r="R131" s="662">
        <f t="shared" ca="1" si="31"/>
        <v>48361</v>
      </c>
      <c r="S131" s="316">
        <f t="shared" ca="1" si="32"/>
        <v>1135</v>
      </c>
      <c r="T131" s="724" t="str">
        <f>明细表!G108</f>
        <v>办公</v>
      </c>
      <c r="U131" s="724">
        <f>明细表!D108</f>
        <v>19</v>
      </c>
    </row>
    <row r="132" spans="1:21">
      <c r="A132" s="150" t="str">
        <f>明细表!B109</f>
        <v>6单元2108</v>
      </c>
      <c r="B132" s="54">
        <f>明细表!E109</f>
        <v>234.74</v>
      </c>
      <c r="C132" s="21">
        <f t="shared" si="23"/>
        <v>1</v>
      </c>
      <c r="D132" s="2808" t="s">
        <v>3573</v>
      </c>
      <c r="E132" s="21">
        <f t="shared" si="24"/>
        <v>1</v>
      </c>
      <c r="F132" s="666" t="s">
        <v>3528</v>
      </c>
      <c r="G132" s="21">
        <f t="shared" si="25"/>
        <v>1</v>
      </c>
      <c r="H132" s="666" t="s">
        <v>21</v>
      </c>
      <c r="I132" s="21">
        <f t="shared" si="26"/>
        <v>1.05</v>
      </c>
      <c r="J132" s="666"/>
      <c r="K132" s="21">
        <f t="shared" si="27"/>
        <v>1</v>
      </c>
      <c r="L132" s="666"/>
      <c r="M132" s="21">
        <f t="shared" si="28"/>
        <v>1</v>
      </c>
      <c r="N132" s="666"/>
      <c r="O132" s="21">
        <f t="shared" si="29"/>
        <v>1</v>
      </c>
      <c r="P132" s="666"/>
      <c r="Q132" s="21">
        <f t="shared" si="30"/>
        <v>1</v>
      </c>
      <c r="R132" s="662">
        <f t="shared" ca="1" si="31"/>
        <v>48361</v>
      </c>
      <c r="S132" s="316">
        <f t="shared" ca="1" si="32"/>
        <v>1135</v>
      </c>
      <c r="T132" s="724" t="str">
        <f>明细表!G109</f>
        <v>办公</v>
      </c>
      <c r="U132" s="724">
        <f>明细表!D109</f>
        <v>19</v>
      </c>
    </row>
    <row r="133" spans="1:21">
      <c r="A133" s="150" t="str">
        <f>明细表!B110</f>
        <v>6单元2109</v>
      </c>
      <c r="B133" s="54">
        <f>明细表!E110</f>
        <v>125.44</v>
      </c>
      <c r="C133" s="21">
        <f t="shared" si="23"/>
        <v>1</v>
      </c>
      <c r="D133" s="2808" t="s">
        <v>3573</v>
      </c>
      <c r="E133" s="21">
        <f t="shared" si="24"/>
        <v>1</v>
      </c>
      <c r="F133" s="666" t="s">
        <v>3528</v>
      </c>
      <c r="G133" s="21">
        <f t="shared" si="25"/>
        <v>1</v>
      </c>
      <c r="H133" s="666" t="s">
        <v>21</v>
      </c>
      <c r="I133" s="21">
        <f t="shared" si="26"/>
        <v>1.05</v>
      </c>
      <c r="J133" s="666"/>
      <c r="K133" s="21">
        <f t="shared" si="27"/>
        <v>1</v>
      </c>
      <c r="L133" s="666"/>
      <c r="M133" s="21">
        <f t="shared" si="28"/>
        <v>1</v>
      </c>
      <c r="N133" s="666"/>
      <c r="O133" s="21">
        <f t="shared" si="29"/>
        <v>1</v>
      </c>
      <c r="P133" s="666"/>
      <c r="Q133" s="21">
        <f t="shared" si="30"/>
        <v>1</v>
      </c>
      <c r="R133" s="662">
        <f t="shared" ca="1" si="31"/>
        <v>48361</v>
      </c>
      <c r="S133" s="316">
        <f t="shared" ca="1" si="32"/>
        <v>607</v>
      </c>
      <c r="T133" s="724" t="str">
        <f>明细表!G110</f>
        <v>办公</v>
      </c>
      <c r="U133" s="724">
        <f>明细表!D110</f>
        <v>19</v>
      </c>
    </row>
    <row r="134" spans="1:21">
      <c r="A134" s="150"/>
      <c r="B134" s="54"/>
      <c r="C134" s="21">
        <f t="shared" si="23"/>
        <v>1</v>
      </c>
      <c r="D134" s="666"/>
      <c r="E134" s="21">
        <f t="shared" si="24"/>
        <v>0.01</v>
      </c>
      <c r="F134" s="666"/>
      <c r="G134" s="21">
        <f t="shared" si="25"/>
        <v>0.04</v>
      </c>
      <c r="H134" s="666"/>
      <c r="I134" s="21">
        <f t="shared" si="26"/>
        <v>0.05</v>
      </c>
      <c r="J134" s="666"/>
      <c r="K134" s="21">
        <f t="shared" si="27"/>
        <v>1</v>
      </c>
      <c r="L134" s="666"/>
      <c r="M134" s="21">
        <f t="shared" si="28"/>
        <v>1</v>
      </c>
      <c r="N134" s="666"/>
      <c r="O134" s="21">
        <f t="shared" si="29"/>
        <v>1</v>
      </c>
      <c r="P134" s="666"/>
      <c r="Q134" s="21">
        <f t="shared" si="30"/>
        <v>1</v>
      </c>
      <c r="R134" s="662">
        <f t="shared" si="31"/>
        <v>0</v>
      </c>
      <c r="S134" s="316">
        <f t="shared" si="32"/>
        <v>0</v>
      </c>
    </row>
    <row r="135" spans="1:21">
      <c r="A135" s="150"/>
      <c r="B135" s="54"/>
      <c r="C135" s="21">
        <f t="shared" si="23"/>
        <v>1</v>
      </c>
      <c r="D135" s="666"/>
      <c r="E135" s="21">
        <f t="shared" si="24"/>
        <v>0.01</v>
      </c>
      <c r="F135" s="666"/>
      <c r="G135" s="21">
        <f t="shared" si="25"/>
        <v>0.04</v>
      </c>
      <c r="H135" s="666"/>
      <c r="I135" s="21">
        <f t="shared" si="26"/>
        <v>0.05</v>
      </c>
      <c r="J135" s="666"/>
      <c r="K135" s="21">
        <f t="shared" si="27"/>
        <v>1</v>
      </c>
      <c r="L135" s="666"/>
      <c r="M135" s="21">
        <f t="shared" si="28"/>
        <v>1</v>
      </c>
      <c r="N135" s="666"/>
      <c r="O135" s="21">
        <f t="shared" si="29"/>
        <v>1</v>
      </c>
      <c r="P135" s="666"/>
      <c r="Q135" s="21">
        <f t="shared" si="30"/>
        <v>1</v>
      </c>
      <c r="R135" s="662">
        <f t="shared" si="31"/>
        <v>0</v>
      </c>
      <c r="S135" s="316">
        <f t="shared" si="32"/>
        <v>0</v>
      </c>
    </row>
    <row r="136" spans="1:21">
      <c r="A136" s="150"/>
      <c r="B136" s="54"/>
      <c r="C136" s="21">
        <f t="shared" si="23"/>
        <v>1</v>
      </c>
      <c r="D136" s="666"/>
      <c r="E136" s="21">
        <f t="shared" si="24"/>
        <v>0.01</v>
      </c>
      <c r="F136" s="666"/>
      <c r="G136" s="21">
        <f t="shared" si="25"/>
        <v>0.04</v>
      </c>
      <c r="H136" s="666"/>
      <c r="I136" s="21">
        <f t="shared" si="26"/>
        <v>0.05</v>
      </c>
      <c r="J136" s="666"/>
      <c r="K136" s="21">
        <f t="shared" si="27"/>
        <v>1</v>
      </c>
      <c r="L136" s="666"/>
      <c r="M136" s="21">
        <f t="shared" si="28"/>
        <v>1</v>
      </c>
      <c r="N136" s="666"/>
      <c r="O136" s="21">
        <f t="shared" si="29"/>
        <v>1</v>
      </c>
      <c r="P136" s="666"/>
      <c r="Q136" s="21">
        <f t="shared" si="30"/>
        <v>1</v>
      </c>
      <c r="R136" s="662">
        <f t="shared" si="31"/>
        <v>0</v>
      </c>
      <c r="S136" s="316">
        <f t="shared" si="32"/>
        <v>0</v>
      </c>
    </row>
    <row r="137" spans="1:21">
      <c r="A137" s="150"/>
      <c r="B137" s="54"/>
      <c r="C137" s="21">
        <f t="shared" si="23"/>
        <v>1</v>
      </c>
      <c r="D137" s="666"/>
      <c r="E137" s="21">
        <f t="shared" si="24"/>
        <v>0.01</v>
      </c>
      <c r="F137" s="666"/>
      <c r="G137" s="21">
        <f t="shared" si="25"/>
        <v>0.04</v>
      </c>
      <c r="H137" s="666"/>
      <c r="I137" s="21">
        <f t="shared" si="26"/>
        <v>0.05</v>
      </c>
      <c r="J137" s="666"/>
      <c r="K137" s="21">
        <f t="shared" si="27"/>
        <v>1</v>
      </c>
      <c r="L137" s="666"/>
      <c r="M137" s="21">
        <f t="shared" si="28"/>
        <v>1</v>
      </c>
      <c r="N137" s="666"/>
      <c r="O137" s="21">
        <f t="shared" si="29"/>
        <v>1</v>
      </c>
      <c r="P137" s="666"/>
      <c r="Q137" s="21">
        <f t="shared" si="30"/>
        <v>1</v>
      </c>
      <c r="R137" s="662">
        <f t="shared" si="31"/>
        <v>0</v>
      </c>
      <c r="S137" s="316">
        <f t="shared" si="32"/>
        <v>0</v>
      </c>
    </row>
    <row r="138" spans="1:21">
      <c r="A138" s="150"/>
      <c r="B138" s="54"/>
      <c r="C138" s="21">
        <f t="shared" si="23"/>
        <v>1</v>
      </c>
      <c r="D138" s="666"/>
      <c r="E138" s="21">
        <f t="shared" si="24"/>
        <v>0.01</v>
      </c>
      <c r="F138" s="666"/>
      <c r="G138" s="21">
        <f t="shared" si="25"/>
        <v>0.04</v>
      </c>
      <c r="H138" s="666"/>
      <c r="I138" s="21">
        <f t="shared" si="26"/>
        <v>0.05</v>
      </c>
      <c r="J138" s="666"/>
      <c r="K138" s="21">
        <f t="shared" si="27"/>
        <v>1</v>
      </c>
      <c r="L138" s="666"/>
      <c r="M138" s="21">
        <f t="shared" si="28"/>
        <v>1</v>
      </c>
      <c r="N138" s="666"/>
      <c r="O138" s="21">
        <f t="shared" si="29"/>
        <v>1</v>
      </c>
      <c r="P138" s="666"/>
      <c r="Q138" s="21">
        <f t="shared" si="30"/>
        <v>1</v>
      </c>
      <c r="R138" s="662">
        <f t="shared" si="31"/>
        <v>0</v>
      </c>
      <c r="S138" s="316">
        <f t="shared" si="32"/>
        <v>0</v>
      </c>
    </row>
    <row r="139" spans="1:21">
      <c r="A139" s="150"/>
      <c r="B139" s="54"/>
      <c r="C139" s="21">
        <f t="shared" si="23"/>
        <v>1</v>
      </c>
      <c r="D139" s="666"/>
      <c r="E139" s="21">
        <f t="shared" si="24"/>
        <v>0.01</v>
      </c>
      <c r="F139" s="666"/>
      <c r="G139" s="21">
        <f t="shared" si="25"/>
        <v>0.04</v>
      </c>
      <c r="H139" s="666"/>
      <c r="I139" s="21">
        <f t="shared" si="26"/>
        <v>0.05</v>
      </c>
      <c r="J139" s="666"/>
      <c r="K139" s="21">
        <f t="shared" si="27"/>
        <v>1</v>
      </c>
      <c r="L139" s="666"/>
      <c r="M139" s="21">
        <f t="shared" si="28"/>
        <v>1</v>
      </c>
      <c r="N139" s="666"/>
      <c r="O139" s="21">
        <f t="shared" si="29"/>
        <v>1</v>
      </c>
      <c r="P139" s="666"/>
      <c r="Q139" s="21">
        <f t="shared" si="30"/>
        <v>1</v>
      </c>
      <c r="R139" s="662">
        <f t="shared" si="31"/>
        <v>0</v>
      </c>
      <c r="S139" s="316">
        <f t="shared" si="32"/>
        <v>0</v>
      </c>
    </row>
    <row r="140" spans="1:21">
      <c r="A140" s="150"/>
      <c r="B140" s="54"/>
      <c r="C140" s="21">
        <f t="shared" si="23"/>
        <v>1</v>
      </c>
      <c r="D140" s="666"/>
      <c r="E140" s="21">
        <f t="shared" si="24"/>
        <v>0.01</v>
      </c>
      <c r="F140" s="666"/>
      <c r="G140" s="21">
        <f t="shared" si="25"/>
        <v>0.04</v>
      </c>
      <c r="H140" s="666"/>
      <c r="I140" s="21">
        <f t="shared" si="26"/>
        <v>0.05</v>
      </c>
      <c r="J140" s="666"/>
      <c r="K140" s="21">
        <f t="shared" si="27"/>
        <v>1</v>
      </c>
      <c r="L140" s="666"/>
      <c r="M140" s="21">
        <f t="shared" si="28"/>
        <v>1</v>
      </c>
      <c r="N140" s="666"/>
      <c r="O140" s="21">
        <f t="shared" si="29"/>
        <v>1</v>
      </c>
      <c r="P140" s="666"/>
      <c r="Q140" s="21">
        <f t="shared" si="30"/>
        <v>1</v>
      </c>
      <c r="R140" s="662">
        <f t="shared" si="31"/>
        <v>0</v>
      </c>
      <c r="S140" s="316">
        <f t="shared" si="32"/>
        <v>0</v>
      </c>
    </row>
    <row r="141" spans="1:21">
      <c r="A141" s="150"/>
      <c r="B141" s="54"/>
      <c r="C141" s="21">
        <f t="shared" si="23"/>
        <v>1</v>
      </c>
      <c r="D141" s="666"/>
      <c r="E141" s="21">
        <f t="shared" si="24"/>
        <v>0.01</v>
      </c>
      <c r="F141" s="666"/>
      <c r="G141" s="21">
        <f t="shared" si="25"/>
        <v>0.04</v>
      </c>
      <c r="H141" s="666"/>
      <c r="I141" s="21">
        <f t="shared" si="26"/>
        <v>0.05</v>
      </c>
      <c r="J141" s="666"/>
      <c r="K141" s="21">
        <f t="shared" si="27"/>
        <v>1</v>
      </c>
      <c r="L141" s="666"/>
      <c r="M141" s="21">
        <f t="shared" si="28"/>
        <v>1</v>
      </c>
      <c r="N141" s="666"/>
      <c r="O141" s="21">
        <f t="shared" si="29"/>
        <v>1</v>
      </c>
      <c r="P141" s="666"/>
      <c r="Q141" s="21">
        <f t="shared" si="30"/>
        <v>1</v>
      </c>
      <c r="R141" s="662">
        <f t="shared" si="31"/>
        <v>0</v>
      </c>
      <c r="S141" s="316">
        <f t="shared" si="32"/>
        <v>0</v>
      </c>
    </row>
    <row r="142" spans="1:21">
      <c r="A142" s="150"/>
      <c r="B142" s="54"/>
      <c r="C142" s="21">
        <f t="shared" si="23"/>
        <v>1</v>
      </c>
      <c r="D142" s="666"/>
      <c r="E142" s="21">
        <f t="shared" si="24"/>
        <v>0.01</v>
      </c>
      <c r="F142" s="666"/>
      <c r="G142" s="21">
        <f t="shared" si="25"/>
        <v>0.04</v>
      </c>
      <c r="H142" s="666"/>
      <c r="I142" s="21">
        <f t="shared" si="26"/>
        <v>0.05</v>
      </c>
      <c r="J142" s="666"/>
      <c r="K142" s="21">
        <f t="shared" si="27"/>
        <v>1</v>
      </c>
      <c r="L142" s="666"/>
      <c r="M142" s="21">
        <f t="shared" si="28"/>
        <v>1</v>
      </c>
      <c r="N142" s="666"/>
      <c r="O142" s="21">
        <f t="shared" si="29"/>
        <v>1</v>
      </c>
      <c r="P142" s="666"/>
      <c r="Q142" s="21">
        <f t="shared" si="30"/>
        <v>1</v>
      </c>
      <c r="R142" s="662">
        <f t="shared" si="31"/>
        <v>0</v>
      </c>
      <c r="S142" s="316">
        <f t="shared" si="32"/>
        <v>0</v>
      </c>
    </row>
    <row r="143" spans="1:21">
      <c r="A143" s="150"/>
      <c r="B143" s="54"/>
      <c r="C143" s="21">
        <f t="shared" si="23"/>
        <v>1</v>
      </c>
      <c r="D143" s="666"/>
      <c r="E143" s="21">
        <f t="shared" si="24"/>
        <v>0.01</v>
      </c>
      <c r="F143" s="666"/>
      <c r="G143" s="21">
        <f t="shared" si="25"/>
        <v>0.04</v>
      </c>
      <c r="H143" s="666"/>
      <c r="I143" s="21">
        <f t="shared" si="26"/>
        <v>0.05</v>
      </c>
      <c r="J143" s="666"/>
      <c r="K143" s="21">
        <f t="shared" si="27"/>
        <v>1</v>
      </c>
      <c r="L143" s="666"/>
      <c r="M143" s="21">
        <f t="shared" si="28"/>
        <v>1</v>
      </c>
      <c r="N143" s="666"/>
      <c r="O143" s="21">
        <f t="shared" si="29"/>
        <v>1</v>
      </c>
      <c r="P143" s="666"/>
      <c r="Q143" s="21">
        <f t="shared" si="30"/>
        <v>1</v>
      </c>
      <c r="R143" s="662">
        <f t="shared" si="31"/>
        <v>0</v>
      </c>
      <c r="S143" s="316">
        <f t="shared" si="32"/>
        <v>0</v>
      </c>
    </row>
    <row r="144" spans="1:21">
      <c r="A144" s="150"/>
      <c r="B144" s="54"/>
      <c r="C144" s="21">
        <f t="shared" si="23"/>
        <v>1</v>
      </c>
      <c r="D144" s="666"/>
      <c r="E144" s="21">
        <f t="shared" si="24"/>
        <v>0.01</v>
      </c>
      <c r="F144" s="666"/>
      <c r="G144" s="21">
        <f t="shared" si="25"/>
        <v>0.04</v>
      </c>
      <c r="H144" s="666"/>
      <c r="I144" s="21">
        <f t="shared" si="26"/>
        <v>0.05</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0.01</v>
      </c>
      <c r="F145" s="666"/>
      <c r="G145" s="21">
        <f t="shared" si="25"/>
        <v>0.04</v>
      </c>
      <c r="H145" s="666"/>
      <c r="I145" s="21">
        <f t="shared" si="26"/>
        <v>0.05</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0.01</v>
      </c>
      <c r="F146" s="666"/>
      <c r="G146" s="21">
        <f t="shared" si="25"/>
        <v>0.04</v>
      </c>
      <c r="H146" s="666"/>
      <c r="I146" s="21">
        <f t="shared" si="26"/>
        <v>0.05</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0.01</v>
      </c>
      <c r="F147" s="666"/>
      <c r="G147" s="21">
        <f t="shared" si="25"/>
        <v>0.04</v>
      </c>
      <c r="H147" s="666"/>
      <c r="I147" s="21">
        <f t="shared" si="26"/>
        <v>0.05</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0.01</v>
      </c>
      <c r="F148" s="666"/>
      <c r="G148" s="21">
        <f t="shared" si="25"/>
        <v>0.04</v>
      </c>
      <c r="H148" s="666"/>
      <c r="I148" s="21">
        <f t="shared" si="26"/>
        <v>0.05</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0.01</v>
      </c>
      <c r="F149" s="666"/>
      <c r="G149" s="21">
        <f t="shared" si="25"/>
        <v>0.04</v>
      </c>
      <c r="H149" s="666"/>
      <c r="I149" s="21">
        <f t="shared" si="26"/>
        <v>0.05</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0.01</v>
      </c>
      <c r="F150" s="666"/>
      <c r="G150" s="21">
        <f t="shared" si="25"/>
        <v>0.04</v>
      </c>
      <c r="H150" s="666"/>
      <c r="I150" s="21">
        <f t="shared" si="26"/>
        <v>0.05</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0.01</v>
      </c>
      <c r="F151" s="666"/>
      <c r="G151" s="21">
        <f t="shared" si="25"/>
        <v>0.04</v>
      </c>
      <c r="H151" s="666"/>
      <c r="I151" s="21">
        <f t="shared" si="26"/>
        <v>0.05</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0.01</v>
      </c>
      <c r="F152" s="666"/>
      <c r="G152" s="21">
        <f t="shared" si="25"/>
        <v>0.04</v>
      </c>
      <c r="H152" s="666"/>
      <c r="I152" s="21">
        <f t="shared" si="26"/>
        <v>0.05</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0.01</v>
      </c>
      <c r="F153" s="666"/>
      <c r="G153" s="21">
        <f t="shared" si="25"/>
        <v>0.04</v>
      </c>
      <c r="H153" s="666"/>
      <c r="I153" s="21">
        <f t="shared" si="26"/>
        <v>0.05</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0.01</v>
      </c>
      <c r="F154" s="666"/>
      <c r="G154" s="21">
        <f t="shared" ref="G154:G217" si="35">(SUMIF($7:$7,F154,$8:$8)-SUMIF($7:$7,$F$24,$8:$8)+100)/100</f>
        <v>0.04</v>
      </c>
      <c r="H154" s="666"/>
      <c r="I154" s="21">
        <f t="shared" ref="I154:I217" si="36">(SUMIF($9:$9,H154,$10:$10)-SUMIF($9:$9,$H$24,$10:$10)+100)/100</f>
        <v>0.05</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0.01</v>
      </c>
      <c r="F155" s="666"/>
      <c r="G155" s="21">
        <f t="shared" si="35"/>
        <v>0.04</v>
      </c>
      <c r="H155" s="666"/>
      <c r="I155" s="21">
        <f t="shared" si="36"/>
        <v>0.05</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0.01</v>
      </c>
      <c r="F156" s="666"/>
      <c r="G156" s="21">
        <f t="shared" si="35"/>
        <v>0.04</v>
      </c>
      <c r="H156" s="666"/>
      <c r="I156" s="21">
        <f t="shared" si="36"/>
        <v>0.05</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0.01</v>
      </c>
      <c r="F157" s="666"/>
      <c r="G157" s="21">
        <f t="shared" si="35"/>
        <v>0.04</v>
      </c>
      <c r="H157" s="666"/>
      <c r="I157" s="21">
        <f t="shared" si="36"/>
        <v>0.05</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0.01</v>
      </c>
      <c r="F158" s="666"/>
      <c r="G158" s="21">
        <f t="shared" si="35"/>
        <v>0.04</v>
      </c>
      <c r="H158" s="666"/>
      <c r="I158" s="21">
        <f t="shared" si="36"/>
        <v>0.05</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0.01</v>
      </c>
      <c r="F159" s="666"/>
      <c r="G159" s="21">
        <f t="shared" si="35"/>
        <v>0.04</v>
      </c>
      <c r="H159" s="666"/>
      <c r="I159" s="21">
        <f t="shared" si="36"/>
        <v>0.05</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0.01</v>
      </c>
      <c r="F160" s="666"/>
      <c r="G160" s="21">
        <f t="shared" si="35"/>
        <v>0.04</v>
      </c>
      <c r="H160" s="666"/>
      <c r="I160" s="21">
        <f t="shared" si="36"/>
        <v>0.05</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0.01</v>
      </c>
      <c r="F161" s="666"/>
      <c r="G161" s="21">
        <f t="shared" si="35"/>
        <v>0.04</v>
      </c>
      <c r="H161" s="666"/>
      <c r="I161" s="21">
        <f t="shared" si="36"/>
        <v>0.05</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0.01</v>
      </c>
      <c r="F162" s="666"/>
      <c r="G162" s="21">
        <f t="shared" si="35"/>
        <v>0.04</v>
      </c>
      <c r="H162" s="666"/>
      <c r="I162" s="21">
        <f t="shared" si="36"/>
        <v>0.05</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0.01</v>
      </c>
      <c r="F163" s="666"/>
      <c r="G163" s="21">
        <f t="shared" si="35"/>
        <v>0.04</v>
      </c>
      <c r="H163" s="666"/>
      <c r="I163" s="21">
        <f t="shared" si="36"/>
        <v>0.05</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0.01</v>
      </c>
      <c r="F164" s="666"/>
      <c r="G164" s="21">
        <f t="shared" si="35"/>
        <v>0.04</v>
      </c>
      <c r="H164" s="666"/>
      <c r="I164" s="21">
        <f t="shared" si="36"/>
        <v>0.05</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0.01</v>
      </c>
      <c r="F165" s="666"/>
      <c r="G165" s="21">
        <f t="shared" si="35"/>
        <v>0.04</v>
      </c>
      <c r="H165" s="666"/>
      <c r="I165" s="21">
        <f t="shared" si="36"/>
        <v>0.05</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0.01</v>
      </c>
      <c r="F166" s="666"/>
      <c r="G166" s="21">
        <f t="shared" si="35"/>
        <v>0.04</v>
      </c>
      <c r="H166" s="666"/>
      <c r="I166" s="21">
        <f t="shared" si="36"/>
        <v>0.05</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0.01</v>
      </c>
      <c r="F167" s="666"/>
      <c r="G167" s="21">
        <f t="shared" si="35"/>
        <v>0.04</v>
      </c>
      <c r="H167" s="666"/>
      <c r="I167" s="21">
        <f t="shared" si="36"/>
        <v>0.05</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0.01</v>
      </c>
      <c r="F168" s="666"/>
      <c r="G168" s="21">
        <f t="shared" si="35"/>
        <v>0.04</v>
      </c>
      <c r="H168" s="666"/>
      <c r="I168" s="21">
        <f t="shared" si="36"/>
        <v>0.05</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0.01</v>
      </c>
      <c r="F169" s="666"/>
      <c r="G169" s="21">
        <f t="shared" si="35"/>
        <v>0.04</v>
      </c>
      <c r="H169" s="666"/>
      <c r="I169" s="21">
        <f t="shared" si="36"/>
        <v>0.05</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0.01</v>
      </c>
      <c r="F170" s="666"/>
      <c r="G170" s="21">
        <f t="shared" si="35"/>
        <v>0.04</v>
      </c>
      <c r="H170" s="666"/>
      <c r="I170" s="21">
        <f t="shared" si="36"/>
        <v>0.05</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0.01</v>
      </c>
      <c r="F171" s="666"/>
      <c r="G171" s="21">
        <f t="shared" si="35"/>
        <v>0.04</v>
      </c>
      <c r="H171" s="666"/>
      <c r="I171" s="21">
        <f t="shared" si="36"/>
        <v>0.05</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0.01</v>
      </c>
      <c r="F172" s="666"/>
      <c r="G172" s="21">
        <f t="shared" si="35"/>
        <v>0.04</v>
      </c>
      <c r="H172" s="666"/>
      <c r="I172" s="21">
        <f t="shared" si="36"/>
        <v>0.05</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0.01</v>
      </c>
      <c r="F173" s="666"/>
      <c r="G173" s="21">
        <f t="shared" si="35"/>
        <v>0.04</v>
      </c>
      <c r="H173" s="666"/>
      <c r="I173" s="21">
        <f t="shared" si="36"/>
        <v>0.05</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0.01</v>
      </c>
      <c r="F174" s="666"/>
      <c r="G174" s="21">
        <f t="shared" si="35"/>
        <v>0.04</v>
      </c>
      <c r="H174" s="666"/>
      <c r="I174" s="21">
        <f t="shared" si="36"/>
        <v>0.05</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0.01</v>
      </c>
      <c r="F175" s="666"/>
      <c r="G175" s="21">
        <f t="shared" si="35"/>
        <v>0.04</v>
      </c>
      <c r="H175" s="666"/>
      <c r="I175" s="21">
        <f t="shared" si="36"/>
        <v>0.05</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0.01</v>
      </c>
      <c r="F176" s="666"/>
      <c r="G176" s="21">
        <f t="shared" si="35"/>
        <v>0.04</v>
      </c>
      <c r="H176" s="666"/>
      <c r="I176" s="21">
        <f t="shared" si="36"/>
        <v>0.05</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0.01</v>
      </c>
      <c r="F177" s="666"/>
      <c r="G177" s="21">
        <f t="shared" si="35"/>
        <v>0.04</v>
      </c>
      <c r="H177" s="666"/>
      <c r="I177" s="21">
        <f t="shared" si="36"/>
        <v>0.05</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0.01</v>
      </c>
      <c r="F178" s="666"/>
      <c r="G178" s="21">
        <f t="shared" si="35"/>
        <v>0.04</v>
      </c>
      <c r="H178" s="666"/>
      <c r="I178" s="21">
        <f t="shared" si="36"/>
        <v>0.05</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0.01</v>
      </c>
      <c r="F179" s="666"/>
      <c r="G179" s="21">
        <f t="shared" si="35"/>
        <v>0.04</v>
      </c>
      <c r="H179" s="666"/>
      <c r="I179" s="21">
        <f t="shared" si="36"/>
        <v>0.05</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0.01</v>
      </c>
      <c r="F180" s="666"/>
      <c r="G180" s="21">
        <f t="shared" si="35"/>
        <v>0.04</v>
      </c>
      <c r="H180" s="666"/>
      <c r="I180" s="21">
        <f t="shared" si="36"/>
        <v>0.05</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0.01</v>
      </c>
      <c r="F181" s="666"/>
      <c r="G181" s="21">
        <f t="shared" si="35"/>
        <v>0.04</v>
      </c>
      <c r="H181" s="666"/>
      <c r="I181" s="21">
        <f t="shared" si="36"/>
        <v>0.05</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0.01</v>
      </c>
      <c r="F182" s="666"/>
      <c r="G182" s="21">
        <f t="shared" si="35"/>
        <v>0.04</v>
      </c>
      <c r="H182" s="666"/>
      <c r="I182" s="21">
        <f t="shared" si="36"/>
        <v>0.05</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0.01</v>
      </c>
      <c r="F183" s="666"/>
      <c r="G183" s="21">
        <f t="shared" si="35"/>
        <v>0.04</v>
      </c>
      <c r="H183" s="666"/>
      <c r="I183" s="21">
        <f t="shared" si="36"/>
        <v>0.05</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0.01</v>
      </c>
      <c r="F184" s="666"/>
      <c r="G184" s="21">
        <f t="shared" si="35"/>
        <v>0.04</v>
      </c>
      <c r="H184" s="666"/>
      <c r="I184" s="21">
        <f t="shared" si="36"/>
        <v>0.05</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0.01</v>
      </c>
      <c r="F185" s="666"/>
      <c r="G185" s="21">
        <f t="shared" si="35"/>
        <v>0.04</v>
      </c>
      <c r="H185" s="666"/>
      <c r="I185" s="21">
        <f t="shared" si="36"/>
        <v>0.05</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0.01</v>
      </c>
      <c r="F186" s="666"/>
      <c r="G186" s="21">
        <f t="shared" si="35"/>
        <v>0.04</v>
      </c>
      <c r="H186" s="666"/>
      <c r="I186" s="21">
        <f t="shared" si="36"/>
        <v>0.05</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0.01</v>
      </c>
      <c r="F187" s="666"/>
      <c r="G187" s="21">
        <f t="shared" si="35"/>
        <v>0.04</v>
      </c>
      <c r="H187" s="666"/>
      <c r="I187" s="21">
        <f t="shared" si="36"/>
        <v>0.05</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0.01</v>
      </c>
      <c r="F188" s="666"/>
      <c r="G188" s="21">
        <f t="shared" si="35"/>
        <v>0.04</v>
      </c>
      <c r="H188" s="666"/>
      <c r="I188" s="21">
        <f t="shared" si="36"/>
        <v>0.05</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0.01</v>
      </c>
      <c r="F189" s="666"/>
      <c r="G189" s="21">
        <f t="shared" si="35"/>
        <v>0.04</v>
      </c>
      <c r="H189" s="666"/>
      <c r="I189" s="21">
        <f t="shared" si="36"/>
        <v>0.05</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0.01</v>
      </c>
      <c r="F190" s="666"/>
      <c r="G190" s="21">
        <f t="shared" si="35"/>
        <v>0.04</v>
      </c>
      <c r="H190" s="666"/>
      <c r="I190" s="21">
        <f t="shared" si="36"/>
        <v>0.05</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0.01</v>
      </c>
      <c r="F191" s="666"/>
      <c r="G191" s="21">
        <f t="shared" si="35"/>
        <v>0.04</v>
      </c>
      <c r="H191" s="666"/>
      <c r="I191" s="21">
        <f t="shared" si="36"/>
        <v>0.05</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0.01</v>
      </c>
      <c r="F192" s="666"/>
      <c r="G192" s="21">
        <f t="shared" si="35"/>
        <v>0.04</v>
      </c>
      <c r="H192" s="666"/>
      <c r="I192" s="21">
        <f t="shared" si="36"/>
        <v>0.05</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0.01</v>
      </c>
      <c r="F193" s="666"/>
      <c r="G193" s="21">
        <f t="shared" si="35"/>
        <v>0.04</v>
      </c>
      <c r="H193" s="666"/>
      <c r="I193" s="21">
        <f t="shared" si="36"/>
        <v>0.05</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0.01</v>
      </c>
      <c r="F194" s="666"/>
      <c r="G194" s="21">
        <f t="shared" si="35"/>
        <v>0.04</v>
      </c>
      <c r="H194" s="666"/>
      <c r="I194" s="21">
        <f t="shared" si="36"/>
        <v>0.05</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0.01</v>
      </c>
      <c r="F195" s="666"/>
      <c r="G195" s="21">
        <f t="shared" si="35"/>
        <v>0.04</v>
      </c>
      <c r="H195" s="666"/>
      <c r="I195" s="21">
        <f t="shared" si="36"/>
        <v>0.05</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0.01</v>
      </c>
      <c r="F196" s="666"/>
      <c r="G196" s="21">
        <f t="shared" si="35"/>
        <v>0.04</v>
      </c>
      <c r="H196" s="666"/>
      <c r="I196" s="21">
        <f t="shared" si="36"/>
        <v>0.05</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0.01</v>
      </c>
      <c r="F197" s="666"/>
      <c r="G197" s="21">
        <f t="shared" si="35"/>
        <v>0.04</v>
      </c>
      <c r="H197" s="666"/>
      <c r="I197" s="21">
        <f t="shared" si="36"/>
        <v>0.05</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0.01</v>
      </c>
      <c r="F198" s="666"/>
      <c r="G198" s="21">
        <f t="shared" si="35"/>
        <v>0.04</v>
      </c>
      <c r="H198" s="666"/>
      <c r="I198" s="21">
        <f t="shared" si="36"/>
        <v>0.05</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0.01</v>
      </c>
      <c r="F199" s="666"/>
      <c r="G199" s="21">
        <f t="shared" si="35"/>
        <v>0.04</v>
      </c>
      <c r="H199" s="666"/>
      <c r="I199" s="21">
        <f t="shared" si="36"/>
        <v>0.05</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0.01</v>
      </c>
      <c r="F200" s="666"/>
      <c r="G200" s="21">
        <f t="shared" si="35"/>
        <v>0.04</v>
      </c>
      <c r="H200" s="666"/>
      <c r="I200" s="21">
        <f t="shared" si="36"/>
        <v>0.05</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0.01</v>
      </c>
      <c r="F201" s="666"/>
      <c r="G201" s="21">
        <f t="shared" si="35"/>
        <v>0.04</v>
      </c>
      <c r="H201" s="666"/>
      <c r="I201" s="21">
        <f t="shared" si="36"/>
        <v>0.05</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0.01</v>
      </c>
      <c r="F202" s="666"/>
      <c r="G202" s="21">
        <f t="shared" si="35"/>
        <v>0.04</v>
      </c>
      <c r="H202" s="666"/>
      <c r="I202" s="21">
        <f t="shared" si="36"/>
        <v>0.05</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0.01</v>
      </c>
      <c r="F203" s="666"/>
      <c r="G203" s="21">
        <f t="shared" si="35"/>
        <v>0.04</v>
      </c>
      <c r="H203" s="666"/>
      <c r="I203" s="21">
        <f t="shared" si="36"/>
        <v>0.05</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0.01</v>
      </c>
      <c r="F204" s="666"/>
      <c r="G204" s="21">
        <f t="shared" si="35"/>
        <v>0.04</v>
      </c>
      <c r="H204" s="666"/>
      <c r="I204" s="21">
        <f t="shared" si="36"/>
        <v>0.05</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0.01</v>
      </c>
      <c r="F205" s="666"/>
      <c r="G205" s="21">
        <f t="shared" si="35"/>
        <v>0.04</v>
      </c>
      <c r="H205" s="666"/>
      <c r="I205" s="21">
        <f t="shared" si="36"/>
        <v>0.05</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0.01</v>
      </c>
      <c r="F206" s="666"/>
      <c r="G206" s="21">
        <f t="shared" si="35"/>
        <v>0.04</v>
      </c>
      <c r="H206" s="666"/>
      <c r="I206" s="21">
        <f t="shared" si="36"/>
        <v>0.05</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0.01</v>
      </c>
      <c r="F207" s="666"/>
      <c r="G207" s="21">
        <f t="shared" si="35"/>
        <v>0.04</v>
      </c>
      <c r="H207" s="666"/>
      <c r="I207" s="21">
        <f t="shared" si="36"/>
        <v>0.05</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0.01</v>
      </c>
      <c r="F208" s="666"/>
      <c r="G208" s="21">
        <f t="shared" si="35"/>
        <v>0.04</v>
      </c>
      <c r="H208" s="666"/>
      <c r="I208" s="21">
        <f t="shared" si="36"/>
        <v>0.05</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0.01</v>
      </c>
      <c r="F209" s="666"/>
      <c r="G209" s="21">
        <f t="shared" si="35"/>
        <v>0.04</v>
      </c>
      <c r="H209" s="666"/>
      <c r="I209" s="21">
        <f t="shared" si="36"/>
        <v>0.05</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0.01</v>
      </c>
      <c r="F210" s="666"/>
      <c r="G210" s="21">
        <f t="shared" si="35"/>
        <v>0.04</v>
      </c>
      <c r="H210" s="666"/>
      <c r="I210" s="21">
        <f t="shared" si="36"/>
        <v>0.05</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0.01</v>
      </c>
      <c r="F211" s="666"/>
      <c r="G211" s="21">
        <f t="shared" si="35"/>
        <v>0.04</v>
      </c>
      <c r="H211" s="666"/>
      <c r="I211" s="21">
        <f t="shared" si="36"/>
        <v>0.05</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0.01</v>
      </c>
      <c r="F212" s="666"/>
      <c r="G212" s="21">
        <f t="shared" si="35"/>
        <v>0.04</v>
      </c>
      <c r="H212" s="666"/>
      <c r="I212" s="21">
        <f t="shared" si="36"/>
        <v>0.05</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0.01</v>
      </c>
      <c r="F213" s="666"/>
      <c r="G213" s="21">
        <f t="shared" si="35"/>
        <v>0.04</v>
      </c>
      <c r="H213" s="666"/>
      <c r="I213" s="21">
        <f t="shared" si="36"/>
        <v>0.05</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0.01</v>
      </c>
      <c r="F214" s="666"/>
      <c r="G214" s="21">
        <f t="shared" si="35"/>
        <v>0.04</v>
      </c>
      <c r="H214" s="666"/>
      <c r="I214" s="21">
        <f t="shared" si="36"/>
        <v>0.05</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0.01</v>
      </c>
      <c r="F215" s="666"/>
      <c r="G215" s="21">
        <f t="shared" si="35"/>
        <v>0.04</v>
      </c>
      <c r="H215" s="666"/>
      <c r="I215" s="21">
        <f t="shared" si="36"/>
        <v>0.05</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0.01</v>
      </c>
      <c r="F216" s="666"/>
      <c r="G216" s="21">
        <f t="shared" si="35"/>
        <v>0.04</v>
      </c>
      <c r="H216" s="666"/>
      <c r="I216" s="21">
        <f t="shared" si="36"/>
        <v>0.05</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0.01</v>
      </c>
      <c r="F217" s="666"/>
      <c r="G217" s="21">
        <f t="shared" si="35"/>
        <v>0.04</v>
      </c>
      <c r="H217" s="666"/>
      <c r="I217" s="21">
        <f t="shared" si="36"/>
        <v>0.05</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0.01</v>
      </c>
      <c r="F218" s="666"/>
      <c r="G218" s="21">
        <f t="shared" ref="G218:G281" si="45">(SUMIF($7:$7,F218,$8:$8)-SUMIF($7:$7,$F$24,$8:$8)+100)/100</f>
        <v>0.04</v>
      </c>
      <c r="H218" s="666"/>
      <c r="I218" s="21">
        <f t="shared" ref="I218:I281" si="46">(SUMIF($9:$9,H218,$10:$10)-SUMIF($9:$9,$H$24,$10:$10)+100)/100</f>
        <v>0.05</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0.01</v>
      </c>
      <c r="F219" s="666"/>
      <c r="G219" s="21">
        <f t="shared" si="45"/>
        <v>0.04</v>
      </c>
      <c r="H219" s="666"/>
      <c r="I219" s="21">
        <f t="shared" si="46"/>
        <v>0.05</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0.01</v>
      </c>
      <c r="F220" s="666"/>
      <c r="G220" s="21">
        <f t="shared" si="45"/>
        <v>0.04</v>
      </c>
      <c r="H220" s="666"/>
      <c r="I220" s="21">
        <f t="shared" si="46"/>
        <v>0.05</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0.01</v>
      </c>
      <c r="F221" s="666"/>
      <c r="G221" s="21">
        <f t="shared" si="45"/>
        <v>0.04</v>
      </c>
      <c r="H221" s="666"/>
      <c r="I221" s="21">
        <f t="shared" si="46"/>
        <v>0.05</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0.01</v>
      </c>
      <c r="F222" s="666"/>
      <c r="G222" s="21">
        <f t="shared" si="45"/>
        <v>0.04</v>
      </c>
      <c r="H222" s="666"/>
      <c r="I222" s="21">
        <f t="shared" si="46"/>
        <v>0.05</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0.01</v>
      </c>
      <c r="F223" s="666"/>
      <c r="G223" s="21">
        <f t="shared" si="45"/>
        <v>0.04</v>
      </c>
      <c r="H223" s="666"/>
      <c r="I223" s="21">
        <f t="shared" si="46"/>
        <v>0.05</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0.01</v>
      </c>
      <c r="F224" s="666"/>
      <c r="G224" s="21">
        <f t="shared" si="45"/>
        <v>0.04</v>
      </c>
      <c r="H224" s="666"/>
      <c r="I224" s="21">
        <f t="shared" si="46"/>
        <v>0.05</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0.01</v>
      </c>
      <c r="F225" s="666"/>
      <c r="G225" s="21">
        <f t="shared" si="45"/>
        <v>0.04</v>
      </c>
      <c r="H225" s="666"/>
      <c r="I225" s="21">
        <f t="shared" si="46"/>
        <v>0.05</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0.01</v>
      </c>
      <c r="F226" s="666"/>
      <c r="G226" s="21">
        <f t="shared" si="45"/>
        <v>0.04</v>
      </c>
      <c r="H226" s="666"/>
      <c r="I226" s="21">
        <f t="shared" si="46"/>
        <v>0.05</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0.01</v>
      </c>
      <c r="F227" s="666"/>
      <c r="G227" s="21">
        <f t="shared" si="45"/>
        <v>0.04</v>
      </c>
      <c r="H227" s="666"/>
      <c r="I227" s="21">
        <f t="shared" si="46"/>
        <v>0.05</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0.01</v>
      </c>
      <c r="F228" s="666"/>
      <c r="G228" s="21">
        <f t="shared" si="45"/>
        <v>0.04</v>
      </c>
      <c r="H228" s="666"/>
      <c r="I228" s="21">
        <f t="shared" si="46"/>
        <v>0.05</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0.01</v>
      </c>
      <c r="F229" s="666"/>
      <c r="G229" s="21">
        <f t="shared" si="45"/>
        <v>0.04</v>
      </c>
      <c r="H229" s="666"/>
      <c r="I229" s="21">
        <f t="shared" si="46"/>
        <v>0.05</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0.01</v>
      </c>
      <c r="F230" s="666"/>
      <c r="G230" s="21">
        <f t="shared" si="45"/>
        <v>0.04</v>
      </c>
      <c r="H230" s="666"/>
      <c r="I230" s="21">
        <f t="shared" si="46"/>
        <v>0.05</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0.01</v>
      </c>
      <c r="F231" s="666"/>
      <c r="G231" s="21">
        <f t="shared" si="45"/>
        <v>0.04</v>
      </c>
      <c r="H231" s="666"/>
      <c r="I231" s="21">
        <f t="shared" si="46"/>
        <v>0.05</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0.01</v>
      </c>
      <c r="F232" s="666"/>
      <c r="G232" s="21">
        <f t="shared" si="45"/>
        <v>0.04</v>
      </c>
      <c r="H232" s="666"/>
      <c r="I232" s="21">
        <f t="shared" si="46"/>
        <v>0.05</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0.01</v>
      </c>
      <c r="F233" s="666"/>
      <c r="G233" s="21">
        <f t="shared" si="45"/>
        <v>0.04</v>
      </c>
      <c r="H233" s="666"/>
      <c r="I233" s="21">
        <f t="shared" si="46"/>
        <v>0.05</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0.01</v>
      </c>
      <c r="F234" s="666"/>
      <c r="G234" s="21">
        <f t="shared" si="45"/>
        <v>0.04</v>
      </c>
      <c r="H234" s="666"/>
      <c r="I234" s="21">
        <f t="shared" si="46"/>
        <v>0.05</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0.01</v>
      </c>
      <c r="F235" s="666"/>
      <c r="G235" s="21">
        <f t="shared" si="45"/>
        <v>0.04</v>
      </c>
      <c r="H235" s="666"/>
      <c r="I235" s="21">
        <f t="shared" si="46"/>
        <v>0.05</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0.01</v>
      </c>
      <c r="F236" s="666"/>
      <c r="G236" s="21">
        <f t="shared" si="45"/>
        <v>0.04</v>
      </c>
      <c r="H236" s="666"/>
      <c r="I236" s="21">
        <f t="shared" si="46"/>
        <v>0.05</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0.01</v>
      </c>
      <c r="F237" s="666"/>
      <c r="G237" s="21">
        <f t="shared" si="45"/>
        <v>0.04</v>
      </c>
      <c r="H237" s="666"/>
      <c r="I237" s="21">
        <f t="shared" si="46"/>
        <v>0.05</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0.01</v>
      </c>
      <c r="F238" s="666"/>
      <c r="G238" s="21">
        <f t="shared" si="45"/>
        <v>0.04</v>
      </c>
      <c r="H238" s="666"/>
      <c r="I238" s="21">
        <f t="shared" si="46"/>
        <v>0.05</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0.01</v>
      </c>
      <c r="F239" s="666"/>
      <c r="G239" s="21">
        <f t="shared" si="45"/>
        <v>0.04</v>
      </c>
      <c r="H239" s="666"/>
      <c r="I239" s="21">
        <f t="shared" si="46"/>
        <v>0.05</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0.01</v>
      </c>
      <c r="F240" s="666"/>
      <c r="G240" s="21">
        <f t="shared" si="45"/>
        <v>0.04</v>
      </c>
      <c r="H240" s="666"/>
      <c r="I240" s="21">
        <f t="shared" si="46"/>
        <v>0.05</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0.01</v>
      </c>
      <c r="F241" s="666"/>
      <c r="G241" s="21">
        <f t="shared" si="45"/>
        <v>0.04</v>
      </c>
      <c r="H241" s="666"/>
      <c r="I241" s="21">
        <f t="shared" si="46"/>
        <v>0.05</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0.01</v>
      </c>
      <c r="F242" s="666"/>
      <c r="G242" s="21">
        <f t="shared" si="45"/>
        <v>0.04</v>
      </c>
      <c r="H242" s="666"/>
      <c r="I242" s="21">
        <f t="shared" si="46"/>
        <v>0.05</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0.01</v>
      </c>
      <c r="F243" s="666"/>
      <c r="G243" s="21">
        <f t="shared" si="45"/>
        <v>0.04</v>
      </c>
      <c r="H243" s="666"/>
      <c r="I243" s="21">
        <f t="shared" si="46"/>
        <v>0.05</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0.01</v>
      </c>
      <c r="F244" s="666"/>
      <c r="G244" s="21">
        <f t="shared" si="45"/>
        <v>0.04</v>
      </c>
      <c r="H244" s="666"/>
      <c r="I244" s="21">
        <f t="shared" si="46"/>
        <v>0.05</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0.01</v>
      </c>
      <c r="F245" s="666"/>
      <c r="G245" s="21">
        <f t="shared" si="45"/>
        <v>0.04</v>
      </c>
      <c r="H245" s="666"/>
      <c r="I245" s="21">
        <f t="shared" si="46"/>
        <v>0.05</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0.01</v>
      </c>
      <c r="F246" s="666"/>
      <c r="G246" s="21">
        <f t="shared" si="45"/>
        <v>0.04</v>
      </c>
      <c r="H246" s="666"/>
      <c r="I246" s="21">
        <f t="shared" si="46"/>
        <v>0.05</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0.01</v>
      </c>
      <c r="F247" s="666"/>
      <c r="G247" s="21">
        <f t="shared" si="45"/>
        <v>0.04</v>
      </c>
      <c r="H247" s="666"/>
      <c r="I247" s="21">
        <f t="shared" si="46"/>
        <v>0.05</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0.01</v>
      </c>
      <c r="F248" s="666"/>
      <c r="G248" s="21">
        <f t="shared" si="45"/>
        <v>0.04</v>
      </c>
      <c r="H248" s="666"/>
      <c r="I248" s="21">
        <f t="shared" si="46"/>
        <v>0.05</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0.01</v>
      </c>
      <c r="F249" s="666"/>
      <c r="G249" s="21">
        <f t="shared" si="45"/>
        <v>0.04</v>
      </c>
      <c r="H249" s="666"/>
      <c r="I249" s="21">
        <f t="shared" si="46"/>
        <v>0.05</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0.01</v>
      </c>
      <c r="F250" s="666"/>
      <c r="G250" s="21">
        <f t="shared" si="45"/>
        <v>0.04</v>
      </c>
      <c r="H250" s="666"/>
      <c r="I250" s="21">
        <f t="shared" si="46"/>
        <v>0.05</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0.01</v>
      </c>
      <c r="F251" s="666"/>
      <c r="G251" s="21">
        <f t="shared" si="45"/>
        <v>0.04</v>
      </c>
      <c r="H251" s="666"/>
      <c r="I251" s="21">
        <f t="shared" si="46"/>
        <v>0.05</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0.01</v>
      </c>
      <c r="F252" s="666"/>
      <c r="G252" s="21">
        <f t="shared" si="45"/>
        <v>0.04</v>
      </c>
      <c r="H252" s="666"/>
      <c r="I252" s="21">
        <f t="shared" si="46"/>
        <v>0.05</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0.01</v>
      </c>
      <c r="F253" s="666"/>
      <c r="G253" s="21">
        <f t="shared" si="45"/>
        <v>0.04</v>
      </c>
      <c r="H253" s="666"/>
      <c r="I253" s="21">
        <f t="shared" si="46"/>
        <v>0.05</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0.01</v>
      </c>
      <c r="F254" s="666"/>
      <c r="G254" s="21">
        <f t="shared" si="45"/>
        <v>0.04</v>
      </c>
      <c r="H254" s="666"/>
      <c r="I254" s="21">
        <f t="shared" si="46"/>
        <v>0.05</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0.01</v>
      </c>
      <c r="F255" s="666"/>
      <c r="G255" s="21">
        <f t="shared" si="45"/>
        <v>0.04</v>
      </c>
      <c r="H255" s="666"/>
      <c r="I255" s="21">
        <f t="shared" si="46"/>
        <v>0.05</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0.01</v>
      </c>
      <c r="F256" s="666"/>
      <c r="G256" s="21">
        <f t="shared" si="45"/>
        <v>0.04</v>
      </c>
      <c r="H256" s="666"/>
      <c r="I256" s="21">
        <f t="shared" si="46"/>
        <v>0.05</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0.01</v>
      </c>
      <c r="F257" s="666"/>
      <c r="G257" s="21">
        <f t="shared" si="45"/>
        <v>0.04</v>
      </c>
      <c r="H257" s="666"/>
      <c r="I257" s="21">
        <f t="shared" si="46"/>
        <v>0.05</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0.01</v>
      </c>
      <c r="F258" s="666"/>
      <c r="G258" s="21">
        <f t="shared" si="45"/>
        <v>0.04</v>
      </c>
      <c r="H258" s="666"/>
      <c r="I258" s="21">
        <f t="shared" si="46"/>
        <v>0.05</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0.01</v>
      </c>
      <c r="F259" s="666"/>
      <c r="G259" s="21">
        <f t="shared" si="45"/>
        <v>0.04</v>
      </c>
      <c r="H259" s="666"/>
      <c r="I259" s="21">
        <f t="shared" si="46"/>
        <v>0.05</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0.01</v>
      </c>
      <c r="F260" s="666"/>
      <c r="G260" s="21">
        <f t="shared" si="45"/>
        <v>0.04</v>
      </c>
      <c r="H260" s="666"/>
      <c r="I260" s="21">
        <f t="shared" si="46"/>
        <v>0.05</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0.01</v>
      </c>
      <c r="F261" s="666"/>
      <c r="G261" s="21">
        <f t="shared" si="45"/>
        <v>0.04</v>
      </c>
      <c r="H261" s="666"/>
      <c r="I261" s="21">
        <f t="shared" si="46"/>
        <v>0.05</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0.01</v>
      </c>
      <c r="F262" s="666"/>
      <c r="G262" s="21">
        <f t="shared" si="45"/>
        <v>0.04</v>
      </c>
      <c r="H262" s="666"/>
      <c r="I262" s="21">
        <f t="shared" si="46"/>
        <v>0.05</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0.01</v>
      </c>
      <c r="F263" s="666"/>
      <c r="G263" s="21">
        <f t="shared" si="45"/>
        <v>0.04</v>
      </c>
      <c r="H263" s="666"/>
      <c r="I263" s="21">
        <f t="shared" si="46"/>
        <v>0.05</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0.01</v>
      </c>
      <c r="F264" s="666"/>
      <c r="G264" s="21">
        <f t="shared" si="45"/>
        <v>0.04</v>
      </c>
      <c r="H264" s="666"/>
      <c r="I264" s="21">
        <f t="shared" si="46"/>
        <v>0.05</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0.01</v>
      </c>
      <c r="F265" s="666"/>
      <c r="G265" s="21">
        <f t="shared" si="45"/>
        <v>0.04</v>
      </c>
      <c r="H265" s="666"/>
      <c r="I265" s="21">
        <f t="shared" si="46"/>
        <v>0.05</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0.01</v>
      </c>
      <c r="F266" s="666"/>
      <c r="G266" s="21">
        <f t="shared" si="45"/>
        <v>0.04</v>
      </c>
      <c r="H266" s="666"/>
      <c r="I266" s="21">
        <f t="shared" si="46"/>
        <v>0.05</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0.01</v>
      </c>
      <c r="F267" s="666"/>
      <c r="G267" s="21">
        <f t="shared" si="45"/>
        <v>0.04</v>
      </c>
      <c r="H267" s="666"/>
      <c r="I267" s="21">
        <f t="shared" si="46"/>
        <v>0.05</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0.01</v>
      </c>
      <c r="F268" s="666"/>
      <c r="G268" s="21">
        <f t="shared" si="45"/>
        <v>0.04</v>
      </c>
      <c r="H268" s="666"/>
      <c r="I268" s="21">
        <f t="shared" si="46"/>
        <v>0.05</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0.01</v>
      </c>
      <c r="F269" s="666"/>
      <c r="G269" s="21">
        <f t="shared" si="45"/>
        <v>0.04</v>
      </c>
      <c r="H269" s="666"/>
      <c r="I269" s="21">
        <f t="shared" si="46"/>
        <v>0.05</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0.01</v>
      </c>
      <c r="F270" s="666"/>
      <c r="G270" s="21">
        <f t="shared" si="45"/>
        <v>0.04</v>
      </c>
      <c r="H270" s="666"/>
      <c r="I270" s="21">
        <f t="shared" si="46"/>
        <v>0.05</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0.01</v>
      </c>
      <c r="F271" s="666"/>
      <c r="G271" s="21">
        <f t="shared" si="45"/>
        <v>0.04</v>
      </c>
      <c r="H271" s="666"/>
      <c r="I271" s="21">
        <f t="shared" si="46"/>
        <v>0.05</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0.01</v>
      </c>
      <c r="F272" s="666"/>
      <c r="G272" s="21">
        <f t="shared" si="45"/>
        <v>0.04</v>
      </c>
      <c r="H272" s="666"/>
      <c r="I272" s="21">
        <f t="shared" si="46"/>
        <v>0.05</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0.01</v>
      </c>
      <c r="F273" s="666"/>
      <c r="G273" s="21">
        <f t="shared" si="45"/>
        <v>0.04</v>
      </c>
      <c r="H273" s="666"/>
      <c r="I273" s="21">
        <f t="shared" si="46"/>
        <v>0.05</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0.01</v>
      </c>
      <c r="F274" s="666"/>
      <c r="G274" s="21">
        <f t="shared" si="45"/>
        <v>0.04</v>
      </c>
      <c r="H274" s="666"/>
      <c r="I274" s="21">
        <f t="shared" si="46"/>
        <v>0.05</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0.01</v>
      </c>
      <c r="F275" s="666"/>
      <c r="G275" s="21">
        <f t="shared" si="45"/>
        <v>0.04</v>
      </c>
      <c r="H275" s="666"/>
      <c r="I275" s="21">
        <f t="shared" si="46"/>
        <v>0.05</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0.01</v>
      </c>
      <c r="F276" s="666"/>
      <c r="G276" s="21">
        <f t="shared" si="45"/>
        <v>0.04</v>
      </c>
      <c r="H276" s="666"/>
      <c r="I276" s="21">
        <f t="shared" si="46"/>
        <v>0.05</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0.01</v>
      </c>
      <c r="F277" s="666"/>
      <c r="G277" s="21">
        <f t="shared" si="45"/>
        <v>0.04</v>
      </c>
      <c r="H277" s="666"/>
      <c r="I277" s="21">
        <f t="shared" si="46"/>
        <v>0.05</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0.01</v>
      </c>
      <c r="F278" s="666"/>
      <c r="G278" s="21">
        <f t="shared" si="45"/>
        <v>0.04</v>
      </c>
      <c r="H278" s="666"/>
      <c r="I278" s="21">
        <f t="shared" si="46"/>
        <v>0.05</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0.01</v>
      </c>
      <c r="F279" s="666"/>
      <c r="G279" s="21">
        <f t="shared" si="45"/>
        <v>0.04</v>
      </c>
      <c r="H279" s="666"/>
      <c r="I279" s="21">
        <f t="shared" si="46"/>
        <v>0.05</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0.01</v>
      </c>
      <c r="F280" s="666"/>
      <c r="G280" s="21">
        <f t="shared" si="45"/>
        <v>0.04</v>
      </c>
      <c r="H280" s="666"/>
      <c r="I280" s="21">
        <f t="shared" si="46"/>
        <v>0.05</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0.01</v>
      </c>
      <c r="F281" s="666"/>
      <c r="G281" s="21">
        <f t="shared" si="45"/>
        <v>0.04</v>
      </c>
      <c r="H281" s="666"/>
      <c r="I281" s="21">
        <f t="shared" si="46"/>
        <v>0.05</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0.01</v>
      </c>
      <c r="F282" s="666"/>
      <c r="G282" s="21">
        <f t="shared" ref="G282:G345" si="55">(SUMIF($7:$7,F282,$8:$8)-SUMIF($7:$7,$F$24,$8:$8)+100)/100</f>
        <v>0.04</v>
      </c>
      <c r="H282" s="666"/>
      <c r="I282" s="21">
        <f t="shared" ref="I282:I345" si="56">(SUMIF($9:$9,H282,$10:$10)-SUMIF($9:$9,$H$24,$10:$10)+100)/100</f>
        <v>0.05</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0.01</v>
      </c>
      <c r="F283" s="666"/>
      <c r="G283" s="21">
        <f t="shared" si="55"/>
        <v>0.04</v>
      </c>
      <c r="H283" s="666"/>
      <c r="I283" s="21">
        <f t="shared" si="56"/>
        <v>0.05</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0.01</v>
      </c>
      <c r="F284" s="666"/>
      <c r="G284" s="21">
        <f t="shared" si="55"/>
        <v>0.04</v>
      </c>
      <c r="H284" s="666"/>
      <c r="I284" s="21">
        <f t="shared" si="56"/>
        <v>0.05</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0.01</v>
      </c>
      <c r="F285" s="666"/>
      <c r="G285" s="21">
        <f t="shared" si="55"/>
        <v>0.04</v>
      </c>
      <c r="H285" s="666"/>
      <c r="I285" s="21">
        <f t="shared" si="56"/>
        <v>0.05</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0.01</v>
      </c>
      <c r="F286" s="666"/>
      <c r="G286" s="21">
        <f t="shared" si="55"/>
        <v>0.04</v>
      </c>
      <c r="H286" s="666"/>
      <c r="I286" s="21">
        <f t="shared" si="56"/>
        <v>0.05</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0.01</v>
      </c>
      <c r="F287" s="666"/>
      <c r="G287" s="21">
        <f t="shared" si="55"/>
        <v>0.04</v>
      </c>
      <c r="H287" s="666"/>
      <c r="I287" s="21">
        <f t="shared" si="56"/>
        <v>0.05</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0.01</v>
      </c>
      <c r="F288" s="666"/>
      <c r="G288" s="21">
        <f t="shared" si="55"/>
        <v>0.04</v>
      </c>
      <c r="H288" s="666"/>
      <c r="I288" s="21">
        <f t="shared" si="56"/>
        <v>0.05</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0.01</v>
      </c>
      <c r="F289" s="666"/>
      <c r="G289" s="21">
        <f t="shared" si="55"/>
        <v>0.04</v>
      </c>
      <c r="H289" s="666"/>
      <c r="I289" s="21">
        <f t="shared" si="56"/>
        <v>0.05</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0.01</v>
      </c>
      <c r="F290" s="666"/>
      <c r="G290" s="21">
        <f t="shared" si="55"/>
        <v>0.04</v>
      </c>
      <c r="H290" s="666"/>
      <c r="I290" s="21">
        <f t="shared" si="56"/>
        <v>0.05</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0.01</v>
      </c>
      <c r="F291" s="666"/>
      <c r="G291" s="21">
        <f t="shared" si="55"/>
        <v>0.04</v>
      </c>
      <c r="H291" s="666"/>
      <c r="I291" s="21">
        <f t="shared" si="56"/>
        <v>0.05</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0.01</v>
      </c>
      <c r="F292" s="666"/>
      <c r="G292" s="21">
        <f t="shared" si="55"/>
        <v>0.04</v>
      </c>
      <c r="H292" s="666"/>
      <c r="I292" s="21">
        <f t="shared" si="56"/>
        <v>0.05</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0.01</v>
      </c>
      <c r="F293" s="666"/>
      <c r="G293" s="21">
        <f t="shared" si="55"/>
        <v>0.04</v>
      </c>
      <c r="H293" s="666"/>
      <c r="I293" s="21">
        <f t="shared" si="56"/>
        <v>0.05</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0.01</v>
      </c>
      <c r="F294" s="666"/>
      <c r="G294" s="21">
        <f t="shared" si="55"/>
        <v>0.04</v>
      </c>
      <c r="H294" s="666"/>
      <c r="I294" s="21">
        <f t="shared" si="56"/>
        <v>0.05</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0.01</v>
      </c>
      <c r="F295" s="666"/>
      <c r="G295" s="21">
        <f t="shared" si="55"/>
        <v>0.04</v>
      </c>
      <c r="H295" s="666"/>
      <c r="I295" s="21">
        <f t="shared" si="56"/>
        <v>0.05</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0.01</v>
      </c>
      <c r="F296" s="666"/>
      <c r="G296" s="21">
        <f t="shared" si="55"/>
        <v>0.04</v>
      </c>
      <c r="H296" s="666"/>
      <c r="I296" s="21">
        <f t="shared" si="56"/>
        <v>0.05</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0.01</v>
      </c>
      <c r="F297" s="666"/>
      <c r="G297" s="21">
        <f t="shared" si="55"/>
        <v>0.04</v>
      </c>
      <c r="H297" s="666"/>
      <c r="I297" s="21">
        <f t="shared" si="56"/>
        <v>0.05</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0.01</v>
      </c>
      <c r="F298" s="666"/>
      <c r="G298" s="21">
        <f t="shared" si="55"/>
        <v>0.04</v>
      </c>
      <c r="H298" s="666"/>
      <c r="I298" s="21">
        <f t="shared" si="56"/>
        <v>0.05</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0.01</v>
      </c>
      <c r="F299" s="666"/>
      <c r="G299" s="21">
        <f t="shared" si="55"/>
        <v>0.04</v>
      </c>
      <c r="H299" s="666"/>
      <c r="I299" s="21">
        <f t="shared" si="56"/>
        <v>0.05</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0.01</v>
      </c>
      <c r="F300" s="666"/>
      <c r="G300" s="21">
        <f t="shared" si="55"/>
        <v>0.04</v>
      </c>
      <c r="H300" s="666"/>
      <c r="I300" s="21">
        <f t="shared" si="56"/>
        <v>0.05</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0.01</v>
      </c>
      <c r="F301" s="666"/>
      <c r="G301" s="21">
        <f t="shared" si="55"/>
        <v>0.04</v>
      </c>
      <c r="H301" s="666"/>
      <c r="I301" s="21">
        <f t="shared" si="56"/>
        <v>0.05</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0.01</v>
      </c>
      <c r="F302" s="666"/>
      <c r="G302" s="21">
        <f t="shared" si="55"/>
        <v>0.04</v>
      </c>
      <c r="H302" s="666"/>
      <c r="I302" s="21">
        <f t="shared" si="56"/>
        <v>0.05</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0.01</v>
      </c>
      <c r="F303" s="666"/>
      <c r="G303" s="21">
        <f t="shared" si="55"/>
        <v>0.04</v>
      </c>
      <c r="H303" s="666"/>
      <c r="I303" s="21">
        <f t="shared" si="56"/>
        <v>0.05</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0.01</v>
      </c>
      <c r="F304" s="666"/>
      <c r="G304" s="21">
        <f t="shared" si="55"/>
        <v>0.04</v>
      </c>
      <c r="H304" s="666"/>
      <c r="I304" s="21">
        <f t="shared" si="56"/>
        <v>0.05</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0.01</v>
      </c>
      <c r="F305" s="666"/>
      <c r="G305" s="21">
        <f t="shared" si="55"/>
        <v>0.04</v>
      </c>
      <c r="H305" s="666"/>
      <c r="I305" s="21">
        <f t="shared" si="56"/>
        <v>0.05</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0.01</v>
      </c>
      <c r="F306" s="666"/>
      <c r="G306" s="21">
        <f t="shared" si="55"/>
        <v>0.04</v>
      </c>
      <c r="H306" s="666"/>
      <c r="I306" s="21">
        <f t="shared" si="56"/>
        <v>0.05</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0.01</v>
      </c>
      <c r="F307" s="666"/>
      <c r="G307" s="21">
        <f t="shared" si="55"/>
        <v>0.04</v>
      </c>
      <c r="H307" s="666"/>
      <c r="I307" s="21">
        <f t="shared" si="56"/>
        <v>0.05</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0.01</v>
      </c>
      <c r="F308" s="666"/>
      <c r="G308" s="21">
        <f t="shared" si="55"/>
        <v>0.04</v>
      </c>
      <c r="H308" s="666"/>
      <c r="I308" s="21">
        <f t="shared" si="56"/>
        <v>0.05</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0.01</v>
      </c>
      <c r="F309" s="666"/>
      <c r="G309" s="21">
        <f t="shared" si="55"/>
        <v>0.04</v>
      </c>
      <c r="H309" s="666"/>
      <c r="I309" s="21">
        <f t="shared" si="56"/>
        <v>0.05</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0.01</v>
      </c>
      <c r="F310" s="666"/>
      <c r="G310" s="21">
        <f t="shared" si="55"/>
        <v>0.04</v>
      </c>
      <c r="H310" s="666"/>
      <c r="I310" s="21">
        <f t="shared" si="56"/>
        <v>0.05</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0.01</v>
      </c>
      <c r="F311" s="666"/>
      <c r="G311" s="21">
        <f t="shared" si="55"/>
        <v>0.04</v>
      </c>
      <c r="H311" s="666"/>
      <c r="I311" s="21">
        <f t="shared" si="56"/>
        <v>0.05</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0.01</v>
      </c>
      <c r="F312" s="666"/>
      <c r="G312" s="21">
        <f t="shared" si="55"/>
        <v>0.04</v>
      </c>
      <c r="H312" s="666"/>
      <c r="I312" s="21">
        <f t="shared" si="56"/>
        <v>0.05</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0.01</v>
      </c>
      <c r="F313" s="666"/>
      <c r="G313" s="21">
        <f t="shared" si="55"/>
        <v>0.04</v>
      </c>
      <c r="H313" s="666"/>
      <c r="I313" s="21">
        <f t="shared" si="56"/>
        <v>0.05</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0.01</v>
      </c>
      <c r="F314" s="666"/>
      <c r="G314" s="21">
        <f t="shared" si="55"/>
        <v>0.04</v>
      </c>
      <c r="H314" s="666"/>
      <c r="I314" s="21">
        <f t="shared" si="56"/>
        <v>0.05</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0.01</v>
      </c>
      <c r="F315" s="666"/>
      <c r="G315" s="21">
        <f t="shared" si="55"/>
        <v>0.04</v>
      </c>
      <c r="H315" s="666"/>
      <c r="I315" s="21">
        <f t="shared" si="56"/>
        <v>0.05</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0.01</v>
      </c>
      <c r="F316" s="666"/>
      <c r="G316" s="21">
        <f t="shared" si="55"/>
        <v>0.04</v>
      </c>
      <c r="H316" s="666"/>
      <c r="I316" s="21">
        <f t="shared" si="56"/>
        <v>0.05</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0.01</v>
      </c>
      <c r="F317" s="666"/>
      <c r="G317" s="21">
        <f t="shared" si="55"/>
        <v>0.04</v>
      </c>
      <c r="H317" s="666"/>
      <c r="I317" s="21">
        <f t="shared" si="56"/>
        <v>0.05</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0.01</v>
      </c>
      <c r="F318" s="666"/>
      <c r="G318" s="21">
        <f t="shared" si="55"/>
        <v>0.04</v>
      </c>
      <c r="H318" s="666"/>
      <c r="I318" s="21">
        <f t="shared" si="56"/>
        <v>0.05</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0.01</v>
      </c>
      <c r="F319" s="666"/>
      <c r="G319" s="21">
        <f t="shared" si="55"/>
        <v>0.04</v>
      </c>
      <c r="H319" s="666"/>
      <c r="I319" s="21">
        <f t="shared" si="56"/>
        <v>0.05</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0.01</v>
      </c>
      <c r="F320" s="666"/>
      <c r="G320" s="21">
        <f t="shared" si="55"/>
        <v>0.04</v>
      </c>
      <c r="H320" s="666"/>
      <c r="I320" s="21">
        <f t="shared" si="56"/>
        <v>0.05</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0.01</v>
      </c>
      <c r="F321" s="666"/>
      <c r="G321" s="21">
        <f t="shared" si="55"/>
        <v>0.04</v>
      </c>
      <c r="H321" s="666"/>
      <c r="I321" s="21">
        <f t="shared" si="56"/>
        <v>0.05</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0.01</v>
      </c>
      <c r="F322" s="666"/>
      <c r="G322" s="21">
        <f t="shared" si="55"/>
        <v>0.04</v>
      </c>
      <c r="H322" s="666"/>
      <c r="I322" s="21">
        <f t="shared" si="56"/>
        <v>0.05</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0.01</v>
      </c>
      <c r="F323" s="666"/>
      <c r="G323" s="21">
        <f t="shared" si="55"/>
        <v>0.04</v>
      </c>
      <c r="H323" s="666"/>
      <c r="I323" s="21">
        <f t="shared" si="56"/>
        <v>0.05</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0.01</v>
      </c>
      <c r="F324" s="666"/>
      <c r="G324" s="21">
        <f t="shared" si="55"/>
        <v>0.04</v>
      </c>
      <c r="H324" s="666"/>
      <c r="I324" s="21">
        <f t="shared" si="56"/>
        <v>0.05</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0.01</v>
      </c>
      <c r="F325" s="666"/>
      <c r="G325" s="21">
        <f t="shared" si="55"/>
        <v>0.04</v>
      </c>
      <c r="H325" s="666"/>
      <c r="I325" s="21">
        <f t="shared" si="56"/>
        <v>0.05</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0.01</v>
      </c>
      <c r="F326" s="666"/>
      <c r="G326" s="21">
        <f t="shared" si="55"/>
        <v>0.04</v>
      </c>
      <c r="H326" s="666"/>
      <c r="I326" s="21">
        <f t="shared" si="56"/>
        <v>0.05</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0.01</v>
      </c>
      <c r="F327" s="666"/>
      <c r="G327" s="21">
        <f t="shared" si="55"/>
        <v>0.04</v>
      </c>
      <c r="H327" s="666"/>
      <c r="I327" s="21">
        <f t="shared" si="56"/>
        <v>0.05</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0.01</v>
      </c>
      <c r="F328" s="666"/>
      <c r="G328" s="21">
        <f t="shared" si="55"/>
        <v>0.04</v>
      </c>
      <c r="H328" s="666"/>
      <c r="I328" s="21">
        <f t="shared" si="56"/>
        <v>0.05</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0.01</v>
      </c>
      <c r="F329" s="666"/>
      <c r="G329" s="21">
        <f t="shared" si="55"/>
        <v>0.04</v>
      </c>
      <c r="H329" s="666"/>
      <c r="I329" s="21">
        <f t="shared" si="56"/>
        <v>0.05</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0.01</v>
      </c>
      <c r="F330" s="666"/>
      <c r="G330" s="21">
        <f t="shared" si="55"/>
        <v>0.04</v>
      </c>
      <c r="H330" s="666"/>
      <c r="I330" s="21">
        <f t="shared" si="56"/>
        <v>0.05</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0.01</v>
      </c>
      <c r="F331" s="666"/>
      <c r="G331" s="21">
        <f t="shared" si="55"/>
        <v>0.04</v>
      </c>
      <c r="H331" s="666"/>
      <c r="I331" s="21">
        <f t="shared" si="56"/>
        <v>0.05</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0.01</v>
      </c>
      <c r="F332" s="666"/>
      <c r="G332" s="21">
        <f t="shared" si="55"/>
        <v>0.04</v>
      </c>
      <c r="H332" s="666"/>
      <c r="I332" s="21">
        <f t="shared" si="56"/>
        <v>0.05</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0.01</v>
      </c>
      <c r="F333" s="666"/>
      <c r="G333" s="21">
        <f t="shared" si="55"/>
        <v>0.04</v>
      </c>
      <c r="H333" s="666"/>
      <c r="I333" s="21">
        <f t="shared" si="56"/>
        <v>0.05</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0.01</v>
      </c>
      <c r="F334" s="666"/>
      <c r="G334" s="21">
        <f t="shared" si="55"/>
        <v>0.04</v>
      </c>
      <c r="H334" s="666"/>
      <c r="I334" s="21">
        <f t="shared" si="56"/>
        <v>0.05</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0.01</v>
      </c>
      <c r="F335" s="666"/>
      <c r="G335" s="21">
        <f t="shared" si="55"/>
        <v>0.04</v>
      </c>
      <c r="H335" s="666"/>
      <c r="I335" s="21">
        <f t="shared" si="56"/>
        <v>0.05</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0.01</v>
      </c>
      <c r="F336" s="666"/>
      <c r="G336" s="21">
        <f t="shared" si="55"/>
        <v>0.04</v>
      </c>
      <c r="H336" s="666"/>
      <c r="I336" s="21">
        <f t="shared" si="56"/>
        <v>0.05</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0.01</v>
      </c>
      <c r="F337" s="666"/>
      <c r="G337" s="21">
        <f t="shared" si="55"/>
        <v>0.04</v>
      </c>
      <c r="H337" s="666"/>
      <c r="I337" s="21">
        <f t="shared" si="56"/>
        <v>0.05</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0.01</v>
      </c>
      <c r="F338" s="666"/>
      <c r="G338" s="21">
        <f t="shared" si="55"/>
        <v>0.04</v>
      </c>
      <c r="H338" s="666"/>
      <c r="I338" s="21">
        <f t="shared" si="56"/>
        <v>0.05</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0.01</v>
      </c>
      <c r="F339" s="666"/>
      <c r="G339" s="21">
        <f t="shared" si="55"/>
        <v>0.04</v>
      </c>
      <c r="H339" s="666"/>
      <c r="I339" s="21">
        <f t="shared" si="56"/>
        <v>0.05</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0.01</v>
      </c>
      <c r="F340" s="666"/>
      <c r="G340" s="21">
        <f t="shared" si="55"/>
        <v>0.04</v>
      </c>
      <c r="H340" s="666"/>
      <c r="I340" s="21">
        <f t="shared" si="56"/>
        <v>0.05</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0.01</v>
      </c>
      <c r="F341" s="666"/>
      <c r="G341" s="21">
        <f t="shared" si="55"/>
        <v>0.04</v>
      </c>
      <c r="H341" s="666"/>
      <c r="I341" s="21">
        <f t="shared" si="56"/>
        <v>0.05</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0.01</v>
      </c>
      <c r="F342" s="666"/>
      <c r="G342" s="21">
        <f t="shared" si="55"/>
        <v>0.04</v>
      </c>
      <c r="H342" s="666"/>
      <c r="I342" s="21">
        <f t="shared" si="56"/>
        <v>0.05</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0.01</v>
      </c>
      <c r="F343" s="666"/>
      <c r="G343" s="21">
        <f t="shared" si="55"/>
        <v>0.04</v>
      </c>
      <c r="H343" s="666"/>
      <c r="I343" s="21">
        <f t="shared" si="56"/>
        <v>0.05</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0.01</v>
      </c>
      <c r="F344" s="666"/>
      <c r="G344" s="21">
        <f t="shared" si="55"/>
        <v>0.04</v>
      </c>
      <c r="H344" s="666"/>
      <c r="I344" s="21">
        <f t="shared" si="56"/>
        <v>0.05</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0.01</v>
      </c>
      <c r="F345" s="666"/>
      <c r="G345" s="21">
        <f t="shared" si="55"/>
        <v>0.04</v>
      </c>
      <c r="H345" s="666"/>
      <c r="I345" s="21">
        <f t="shared" si="56"/>
        <v>0.05</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0.01</v>
      </c>
      <c r="F346" s="666"/>
      <c r="G346" s="21">
        <f t="shared" ref="G346:G409" si="66">(SUMIF($7:$7,F346,$8:$8)-SUMIF($7:$7,$F$24,$8:$8)+100)/100</f>
        <v>0.04</v>
      </c>
      <c r="H346" s="666"/>
      <c r="I346" s="21">
        <f t="shared" ref="I346:I409" si="67">(SUMIF($9:$9,H346,$10:$10)-SUMIF($9:$9,$H$24,$10:$10)+100)/100</f>
        <v>0.05</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0.01</v>
      </c>
      <c r="F347" s="666"/>
      <c r="G347" s="21">
        <f t="shared" si="66"/>
        <v>0.04</v>
      </c>
      <c r="H347" s="666"/>
      <c r="I347" s="21">
        <f t="shared" si="67"/>
        <v>0.05</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0.01</v>
      </c>
      <c r="F348" s="666"/>
      <c r="G348" s="21">
        <f t="shared" si="66"/>
        <v>0.04</v>
      </c>
      <c r="H348" s="666"/>
      <c r="I348" s="21">
        <f t="shared" si="67"/>
        <v>0.05</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0.01</v>
      </c>
      <c r="F349" s="666"/>
      <c r="G349" s="21">
        <f t="shared" si="66"/>
        <v>0.04</v>
      </c>
      <c r="H349" s="666"/>
      <c r="I349" s="21">
        <f t="shared" si="67"/>
        <v>0.05</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0.01</v>
      </c>
      <c r="F350" s="666"/>
      <c r="G350" s="21">
        <f t="shared" si="66"/>
        <v>0.04</v>
      </c>
      <c r="H350" s="666"/>
      <c r="I350" s="21">
        <f t="shared" si="67"/>
        <v>0.05</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0.01</v>
      </c>
      <c r="F351" s="666"/>
      <c r="G351" s="21">
        <f t="shared" si="66"/>
        <v>0.04</v>
      </c>
      <c r="H351" s="666"/>
      <c r="I351" s="21">
        <f t="shared" si="67"/>
        <v>0.05</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0.01</v>
      </c>
      <c r="F352" s="666"/>
      <c r="G352" s="21">
        <f t="shared" si="66"/>
        <v>0.04</v>
      </c>
      <c r="H352" s="666"/>
      <c r="I352" s="21">
        <f t="shared" si="67"/>
        <v>0.05</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0.01</v>
      </c>
      <c r="F353" s="666"/>
      <c r="G353" s="21">
        <f t="shared" si="66"/>
        <v>0.04</v>
      </c>
      <c r="H353" s="666"/>
      <c r="I353" s="21">
        <f t="shared" si="67"/>
        <v>0.05</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0.01</v>
      </c>
      <c r="F354" s="666"/>
      <c r="G354" s="21">
        <f t="shared" si="66"/>
        <v>0.04</v>
      </c>
      <c r="H354" s="666"/>
      <c r="I354" s="21">
        <f t="shared" si="67"/>
        <v>0.05</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0.01</v>
      </c>
      <c r="F355" s="666"/>
      <c r="G355" s="21">
        <f t="shared" si="66"/>
        <v>0.04</v>
      </c>
      <c r="H355" s="666"/>
      <c r="I355" s="21">
        <f t="shared" si="67"/>
        <v>0.05</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0.01</v>
      </c>
      <c r="F356" s="666"/>
      <c r="G356" s="21">
        <f t="shared" si="66"/>
        <v>0.04</v>
      </c>
      <c r="H356" s="666"/>
      <c r="I356" s="21">
        <f t="shared" si="67"/>
        <v>0.05</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0.01</v>
      </c>
      <c r="F357" s="666"/>
      <c r="G357" s="21">
        <f t="shared" si="66"/>
        <v>0.04</v>
      </c>
      <c r="H357" s="666"/>
      <c r="I357" s="21">
        <f t="shared" si="67"/>
        <v>0.05</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0.01</v>
      </c>
      <c r="F358" s="666"/>
      <c r="G358" s="21">
        <f t="shared" si="66"/>
        <v>0.04</v>
      </c>
      <c r="H358" s="666"/>
      <c r="I358" s="21">
        <f t="shared" si="67"/>
        <v>0.05</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0.01</v>
      </c>
      <c r="F359" s="666"/>
      <c r="G359" s="21">
        <f t="shared" si="66"/>
        <v>0.04</v>
      </c>
      <c r="H359" s="666"/>
      <c r="I359" s="21">
        <f t="shared" si="67"/>
        <v>0.05</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0.01</v>
      </c>
      <c r="F360" s="666"/>
      <c r="G360" s="21">
        <f t="shared" si="66"/>
        <v>0.04</v>
      </c>
      <c r="H360" s="666"/>
      <c r="I360" s="21">
        <f t="shared" si="67"/>
        <v>0.05</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0.01</v>
      </c>
      <c r="F361" s="666"/>
      <c r="G361" s="21">
        <f t="shared" si="66"/>
        <v>0.04</v>
      </c>
      <c r="H361" s="666"/>
      <c r="I361" s="21">
        <f t="shared" si="67"/>
        <v>0.05</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0.01</v>
      </c>
      <c r="F362" s="666"/>
      <c r="G362" s="21">
        <f t="shared" si="66"/>
        <v>0.04</v>
      </c>
      <c r="H362" s="666"/>
      <c r="I362" s="21">
        <f t="shared" si="67"/>
        <v>0.05</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0.01</v>
      </c>
      <c r="F363" s="666"/>
      <c r="G363" s="21">
        <f t="shared" si="66"/>
        <v>0.04</v>
      </c>
      <c r="H363" s="666"/>
      <c r="I363" s="21">
        <f t="shared" si="67"/>
        <v>0.05</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0.01</v>
      </c>
      <c r="F364" s="666"/>
      <c r="G364" s="21">
        <f t="shared" si="66"/>
        <v>0.04</v>
      </c>
      <c r="H364" s="666"/>
      <c r="I364" s="21">
        <f t="shared" si="67"/>
        <v>0.05</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0.01</v>
      </c>
      <c r="F365" s="666"/>
      <c r="G365" s="21">
        <f t="shared" si="66"/>
        <v>0.04</v>
      </c>
      <c r="H365" s="666"/>
      <c r="I365" s="21">
        <f t="shared" si="67"/>
        <v>0.05</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0.01</v>
      </c>
      <c r="F366" s="666"/>
      <c r="G366" s="21">
        <f t="shared" si="66"/>
        <v>0.04</v>
      </c>
      <c r="H366" s="666"/>
      <c r="I366" s="21">
        <f t="shared" si="67"/>
        <v>0.05</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0.01</v>
      </c>
      <c r="F367" s="666"/>
      <c r="G367" s="21">
        <f t="shared" si="66"/>
        <v>0.04</v>
      </c>
      <c r="H367" s="666"/>
      <c r="I367" s="21">
        <f t="shared" si="67"/>
        <v>0.05</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0.01</v>
      </c>
      <c r="F368" s="666"/>
      <c r="G368" s="21">
        <f t="shared" si="66"/>
        <v>0.04</v>
      </c>
      <c r="H368" s="666"/>
      <c r="I368" s="21">
        <f t="shared" si="67"/>
        <v>0.05</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0.01</v>
      </c>
      <c r="F369" s="666"/>
      <c r="G369" s="21">
        <f t="shared" si="66"/>
        <v>0.04</v>
      </c>
      <c r="H369" s="666"/>
      <c r="I369" s="21">
        <f t="shared" si="67"/>
        <v>0.05</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0.01</v>
      </c>
      <c r="F370" s="666"/>
      <c r="G370" s="21">
        <f t="shared" si="66"/>
        <v>0.04</v>
      </c>
      <c r="H370" s="666"/>
      <c r="I370" s="21">
        <f t="shared" si="67"/>
        <v>0.05</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0.01</v>
      </c>
      <c r="F371" s="666"/>
      <c r="G371" s="21">
        <f t="shared" si="66"/>
        <v>0.04</v>
      </c>
      <c r="H371" s="666"/>
      <c r="I371" s="21">
        <f t="shared" si="67"/>
        <v>0.05</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0.01</v>
      </c>
      <c r="F372" s="666"/>
      <c r="G372" s="21">
        <f t="shared" si="66"/>
        <v>0.04</v>
      </c>
      <c r="H372" s="666"/>
      <c r="I372" s="21">
        <f t="shared" si="67"/>
        <v>0.05</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0.01</v>
      </c>
      <c r="F373" s="666"/>
      <c r="G373" s="21">
        <f t="shared" si="66"/>
        <v>0.04</v>
      </c>
      <c r="H373" s="666"/>
      <c r="I373" s="21">
        <f t="shared" si="67"/>
        <v>0.05</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0.01</v>
      </c>
      <c r="F374" s="666"/>
      <c r="G374" s="21">
        <f t="shared" si="66"/>
        <v>0.04</v>
      </c>
      <c r="H374" s="666"/>
      <c r="I374" s="21">
        <f t="shared" si="67"/>
        <v>0.05</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0.01</v>
      </c>
      <c r="F375" s="666"/>
      <c r="G375" s="21">
        <f t="shared" si="66"/>
        <v>0.04</v>
      </c>
      <c r="H375" s="666"/>
      <c r="I375" s="21">
        <f t="shared" si="67"/>
        <v>0.05</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0.01</v>
      </c>
      <c r="F376" s="666"/>
      <c r="G376" s="21">
        <f t="shared" si="66"/>
        <v>0.04</v>
      </c>
      <c r="H376" s="666"/>
      <c r="I376" s="21">
        <f t="shared" si="67"/>
        <v>0.05</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0.01</v>
      </c>
      <c r="F377" s="666"/>
      <c r="G377" s="21">
        <f t="shared" si="66"/>
        <v>0.04</v>
      </c>
      <c r="H377" s="666"/>
      <c r="I377" s="21">
        <f t="shared" si="67"/>
        <v>0.05</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0.01</v>
      </c>
      <c r="F378" s="666"/>
      <c r="G378" s="21">
        <f t="shared" si="66"/>
        <v>0.04</v>
      </c>
      <c r="H378" s="666"/>
      <c r="I378" s="21">
        <f t="shared" si="67"/>
        <v>0.05</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0.01</v>
      </c>
      <c r="F379" s="666"/>
      <c r="G379" s="21">
        <f t="shared" si="66"/>
        <v>0.04</v>
      </c>
      <c r="H379" s="666"/>
      <c r="I379" s="21">
        <f t="shared" si="67"/>
        <v>0.05</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0.01</v>
      </c>
      <c r="F380" s="666"/>
      <c r="G380" s="21">
        <f t="shared" si="66"/>
        <v>0.04</v>
      </c>
      <c r="H380" s="666"/>
      <c r="I380" s="21">
        <f t="shared" si="67"/>
        <v>0.05</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0.01</v>
      </c>
      <c r="F381" s="666"/>
      <c r="G381" s="21">
        <f t="shared" si="66"/>
        <v>0.04</v>
      </c>
      <c r="H381" s="666"/>
      <c r="I381" s="21">
        <f t="shared" si="67"/>
        <v>0.05</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0.01</v>
      </c>
      <c r="F382" s="666"/>
      <c r="G382" s="21">
        <f t="shared" si="66"/>
        <v>0.04</v>
      </c>
      <c r="H382" s="666"/>
      <c r="I382" s="21">
        <f t="shared" si="67"/>
        <v>0.05</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0.01</v>
      </c>
      <c r="F383" s="666"/>
      <c r="G383" s="21">
        <f t="shared" si="66"/>
        <v>0.04</v>
      </c>
      <c r="H383" s="666"/>
      <c r="I383" s="21">
        <f t="shared" si="67"/>
        <v>0.05</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0.01</v>
      </c>
      <c r="F384" s="666"/>
      <c r="G384" s="21">
        <f t="shared" si="66"/>
        <v>0.04</v>
      </c>
      <c r="H384" s="666"/>
      <c r="I384" s="21">
        <f t="shared" si="67"/>
        <v>0.05</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0.01</v>
      </c>
      <c r="F385" s="666"/>
      <c r="G385" s="21">
        <f t="shared" si="66"/>
        <v>0.04</v>
      </c>
      <c r="H385" s="666"/>
      <c r="I385" s="21">
        <f t="shared" si="67"/>
        <v>0.05</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0.01</v>
      </c>
      <c r="F386" s="666"/>
      <c r="G386" s="21">
        <f t="shared" si="66"/>
        <v>0.04</v>
      </c>
      <c r="H386" s="666"/>
      <c r="I386" s="21">
        <f t="shared" si="67"/>
        <v>0.05</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0.01</v>
      </c>
      <c r="F387" s="666"/>
      <c r="G387" s="21">
        <f t="shared" si="66"/>
        <v>0.04</v>
      </c>
      <c r="H387" s="666"/>
      <c r="I387" s="21">
        <f t="shared" si="67"/>
        <v>0.05</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0.01</v>
      </c>
      <c r="F388" s="666"/>
      <c r="G388" s="21">
        <f t="shared" si="66"/>
        <v>0.04</v>
      </c>
      <c r="H388" s="666"/>
      <c r="I388" s="21">
        <f t="shared" si="67"/>
        <v>0.05</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0.01</v>
      </c>
      <c r="F389" s="666"/>
      <c r="G389" s="21">
        <f t="shared" si="66"/>
        <v>0.04</v>
      </c>
      <c r="H389" s="666"/>
      <c r="I389" s="21">
        <f t="shared" si="67"/>
        <v>0.05</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0.01</v>
      </c>
      <c r="F390" s="666"/>
      <c r="G390" s="21">
        <f t="shared" si="66"/>
        <v>0.04</v>
      </c>
      <c r="H390" s="666"/>
      <c r="I390" s="21">
        <f t="shared" si="67"/>
        <v>0.05</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0.01</v>
      </c>
      <c r="F391" s="666"/>
      <c r="G391" s="21">
        <f t="shared" si="66"/>
        <v>0.04</v>
      </c>
      <c r="H391" s="666"/>
      <c r="I391" s="21">
        <f t="shared" si="67"/>
        <v>0.05</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0.01</v>
      </c>
      <c r="F392" s="666"/>
      <c r="G392" s="21">
        <f t="shared" si="66"/>
        <v>0.04</v>
      </c>
      <c r="H392" s="666"/>
      <c r="I392" s="21">
        <f t="shared" si="67"/>
        <v>0.05</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0.01</v>
      </c>
      <c r="F393" s="666"/>
      <c r="G393" s="21">
        <f t="shared" si="66"/>
        <v>0.04</v>
      </c>
      <c r="H393" s="666"/>
      <c r="I393" s="21">
        <f t="shared" si="67"/>
        <v>0.05</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0.01</v>
      </c>
      <c r="F394" s="666"/>
      <c r="G394" s="21">
        <f t="shared" si="66"/>
        <v>0.04</v>
      </c>
      <c r="H394" s="666"/>
      <c r="I394" s="21">
        <f t="shared" si="67"/>
        <v>0.05</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0.01</v>
      </c>
      <c r="F395" s="666"/>
      <c r="G395" s="21">
        <f t="shared" si="66"/>
        <v>0.04</v>
      </c>
      <c r="H395" s="666"/>
      <c r="I395" s="21">
        <f t="shared" si="67"/>
        <v>0.05</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0.01</v>
      </c>
      <c r="F396" s="666"/>
      <c r="G396" s="21">
        <f t="shared" si="66"/>
        <v>0.04</v>
      </c>
      <c r="H396" s="666"/>
      <c r="I396" s="21">
        <f t="shared" si="67"/>
        <v>0.05</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0.01</v>
      </c>
      <c r="F397" s="666"/>
      <c r="G397" s="21">
        <f t="shared" si="66"/>
        <v>0.04</v>
      </c>
      <c r="H397" s="666"/>
      <c r="I397" s="21">
        <f t="shared" si="67"/>
        <v>0.05</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0.01</v>
      </c>
      <c r="F398" s="666"/>
      <c r="G398" s="21">
        <f t="shared" si="66"/>
        <v>0.04</v>
      </c>
      <c r="H398" s="666"/>
      <c r="I398" s="21">
        <f t="shared" si="67"/>
        <v>0.05</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0.01</v>
      </c>
      <c r="F399" s="666"/>
      <c r="G399" s="21">
        <f t="shared" si="66"/>
        <v>0.04</v>
      </c>
      <c r="H399" s="666"/>
      <c r="I399" s="21">
        <f t="shared" si="67"/>
        <v>0.05</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0.01</v>
      </c>
      <c r="F400" s="666"/>
      <c r="G400" s="21">
        <f t="shared" si="66"/>
        <v>0.04</v>
      </c>
      <c r="H400" s="666"/>
      <c r="I400" s="21">
        <f t="shared" si="67"/>
        <v>0.05</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0.01</v>
      </c>
      <c r="F401" s="666"/>
      <c r="G401" s="21">
        <f t="shared" si="66"/>
        <v>0.04</v>
      </c>
      <c r="H401" s="666"/>
      <c r="I401" s="21">
        <f t="shared" si="67"/>
        <v>0.05</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0.01</v>
      </c>
      <c r="F402" s="666"/>
      <c r="G402" s="21">
        <f t="shared" si="66"/>
        <v>0.04</v>
      </c>
      <c r="H402" s="666"/>
      <c r="I402" s="21">
        <f t="shared" si="67"/>
        <v>0.05</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0.01</v>
      </c>
      <c r="F403" s="666"/>
      <c r="G403" s="21">
        <f t="shared" si="66"/>
        <v>0.04</v>
      </c>
      <c r="H403" s="666"/>
      <c r="I403" s="21">
        <f t="shared" si="67"/>
        <v>0.05</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0.01</v>
      </c>
      <c r="F404" s="666"/>
      <c r="G404" s="21">
        <f t="shared" si="66"/>
        <v>0.04</v>
      </c>
      <c r="H404" s="666"/>
      <c r="I404" s="21">
        <f t="shared" si="67"/>
        <v>0.05</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0.01</v>
      </c>
      <c r="F405" s="666"/>
      <c r="G405" s="21">
        <f t="shared" si="66"/>
        <v>0.04</v>
      </c>
      <c r="H405" s="666"/>
      <c r="I405" s="21">
        <f t="shared" si="67"/>
        <v>0.05</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0.01</v>
      </c>
      <c r="F406" s="666"/>
      <c r="G406" s="21">
        <f t="shared" si="66"/>
        <v>0.04</v>
      </c>
      <c r="H406" s="666"/>
      <c r="I406" s="21">
        <f t="shared" si="67"/>
        <v>0.05</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0.01</v>
      </c>
      <c r="F407" s="666"/>
      <c r="G407" s="21">
        <f t="shared" si="66"/>
        <v>0.04</v>
      </c>
      <c r="H407" s="666"/>
      <c r="I407" s="21">
        <f t="shared" si="67"/>
        <v>0.05</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0.01</v>
      </c>
      <c r="F408" s="666"/>
      <c r="G408" s="21">
        <f t="shared" si="66"/>
        <v>0.04</v>
      </c>
      <c r="H408" s="666"/>
      <c r="I408" s="21">
        <f t="shared" si="67"/>
        <v>0.05</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0.01</v>
      </c>
      <c r="F409" s="666"/>
      <c r="G409" s="21">
        <f t="shared" si="66"/>
        <v>0.04</v>
      </c>
      <c r="H409" s="666"/>
      <c r="I409" s="21">
        <f t="shared" si="67"/>
        <v>0.05</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0.01</v>
      </c>
      <c r="F410" s="666"/>
      <c r="G410" s="21">
        <f t="shared" ref="G410:G473" si="76">(SUMIF($7:$7,F410,$8:$8)-SUMIF($7:$7,$F$24,$8:$8)+100)/100</f>
        <v>0.04</v>
      </c>
      <c r="H410" s="666"/>
      <c r="I410" s="21">
        <f t="shared" ref="I410:I473" si="77">(SUMIF($9:$9,H410,$10:$10)-SUMIF($9:$9,$H$24,$10:$10)+100)/100</f>
        <v>0.05</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0.01</v>
      </c>
      <c r="F411" s="666"/>
      <c r="G411" s="21">
        <f t="shared" si="76"/>
        <v>0.04</v>
      </c>
      <c r="H411" s="666"/>
      <c r="I411" s="21">
        <f t="shared" si="77"/>
        <v>0.05</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0.01</v>
      </c>
      <c r="F412" s="666"/>
      <c r="G412" s="21">
        <f t="shared" si="76"/>
        <v>0.04</v>
      </c>
      <c r="H412" s="666"/>
      <c r="I412" s="21">
        <f t="shared" si="77"/>
        <v>0.05</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0.01</v>
      </c>
      <c r="F413" s="666"/>
      <c r="G413" s="21">
        <f t="shared" si="76"/>
        <v>0.04</v>
      </c>
      <c r="H413" s="666"/>
      <c r="I413" s="21">
        <f t="shared" si="77"/>
        <v>0.05</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0.01</v>
      </c>
      <c r="F414" s="666"/>
      <c r="G414" s="21">
        <f t="shared" si="76"/>
        <v>0.04</v>
      </c>
      <c r="H414" s="666"/>
      <c r="I414" s="21">
        <f t="shared" si="77"/>
        <v>0.05</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0.01</v>
      </c>
      <c r="F415" s="666"/>
      <c r="G415" s="21">
        <f t="shared" si="76"/>
        <v>0.04</v>
      </c>
      <c r="H415" s="666"/>
      <c r="I415" s="21">
        <f t="shared" si="77"/>
        <v>0.05</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0.01</v>
      </c>
      <c r="F416" s="666"/>
      <c r="G416" s="21">
        <f t="shared" si="76"/>
        <v>0.04</v>
      </c>
      <c r="H416" s="666"/>
      <c r="I416" s="21">
        <f t="shared" si="77"/>
        <v>0.05</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0.01</v>
      </c>
      <c r="F417" s="666"/>
      <c r="G417" s="21">
        <f t="shared" si="76"/>
        <v>0.04</v>
      </c>
      <c r="H417" s="666"/>
      <c r="I417" s="21">
        <f t="shared" si="77"/>
        <v>0.05</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0.01</v>
      </c>
      <c r="F418" s="666"/>
      <c r="G418" s="21">
        <f t="shared" si="76"/>
        <v>0.04</v>
      </c>
      <c r="H418" s="666"/>
      <c r="I418" s="21">
        <f t="shared" si="77"/>
        <v>0.05</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0.01</v>
      </c>
      <c r="F419" s="666"/>
      <c r="G419" s="21">
        <f t="shared" si="76"/>
        <v>0.04</v>
      </c>
      <c r="H419" s="666"/>
      <c r="I419" s="21">
        <f t="shared" si="77"/>
        <v>0.05</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0.01</v>
      </c>
      <c r="F420" s="666"/>
      <c r="G420" s="21">
        <f t="shared" si="76"/>
        <v>0.04</v>
      </c>
      <c r="H420" s="666"/>
      <c r="I420" s="21">
        <f t="shared" si="77"/>
        <v>0.05</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0.01</v>
      </c>
      <c r="F421" s="666"/>
      <c r="G421" s="21">
        <f t="shared" si="76"/>
        <v>0.04</v>
      </c>
      <c r="H421" s="666"/>
      <c r="I421" s="21">
        <f t="shared" si="77"/>
        <v>0.05</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0.01</v>
      </c>
      <c r="F422" s="666"/>
      <c r="G422" s="21">
        <f t="shared" si="76"/>
        <v>0.04</v>
      </c>
      <c r="H422" s="666"/>
      <c r="I422" s="21">
        <f t="shared" si="77"/>
        <v>0.05</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0.01</v>
      </c>
      <c r="F423" s="666"/>
      <c r="G423" s="21">
        <f t="shared" si="76"/>
        <v>0.04</v>
      </c>
      <c r="H423" s="666"/>
      <c r="I423" s="21">
        <f t="shared" si="77"/>
        <v>0.05</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0.01</v>
      </c>
      <c r="F424" s="666"/>
      <c r="G424" s="21">
        <f t="shared" si="76"/>
        <v>0.04</v>
      </c>
      <c r="H424" s="666"/>
      <c r="I424" s="21">
        <f t="shared" si="77"/>
        <v>0.05</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0.01</v>
      </c>
      <c r="F425" s="666"/>
      <c r="G425" s="21">
        <f t="shared" si="76"/>
        <v>0.04</v>
      </c>
      <c r="H425" s="666"/>
      <c r="I425" s="21">
        <f t="shared" si="77"/>
        <v>0.05</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0.01</v>
      </c>
      <c r="F426" s="666"/>
      <c r="G426" s="21">
        <f t="shared" si="76"/>
        <v>0.04</v>
      </c>
      <c r="H426" s="666"/>
      <c r="I426" s="21">
        <f t="shared" si="77"/>
        <v>0.05</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0.01</v>
      </c>
      <c r="F427" s="666"/>
      <c r="G427" s="21">
        <f t="shared" si="76"/>
        <v>0.04</v>
      </c>
      <c r="H427" s="666"/>
      <c r="I427" s="21">
        <f t="shared" si="77"/>
        <v>0.05</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0.01</v>
      </c>
      <c r="F428" s="666"/>
      <c r="G428" s="21">
        <f t="shared" si="76"/>
        <v>0.04</v>
      </c>
      <c r="H428" s="666"/>
      <c r="I428" s="21">
        <f t="shared" si="77"/>
        <v>0.05</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0.01</v>
      </c>
      <c r="F429" s="666"/>
      <c r="G429" s="21">
        <f t="shared" si="76"/>
        <v>0.04</v>
      </c>
      <c r="H429" s="666"/>
      <c r="I429" s="21">
        <f t="shared" si="77"/>
        <v>0.05</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0.01</v>
      </c>
      <c r="F430" s="666"/>
      <c r="G430" s="21">
        <f t="shared" si="76"/>
        <v>0.04</v>
      </c>
      <c r="H430" s="666"/>
      <c r="I430" s="21">
        <f t="shared" si="77"/>
        <v>0.05</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0.01</v>
      </c>
      <c r="F431" s="666"/>
      <c r="G431" s="21">
        <f t="shared" si="76"/>
        <v>0.04</v>
      </c>
      <c r="H431" s="666"/>
      <c r="I431" s="21">
        <f t="shared" si="77"/>
        <v>0.05</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0.01</v>
      </c>
      <c r="F432" s="666"/>
      <c r="G432" s="21">
        <f t="shared" si="76"/>
        <v>0.04</v>
      </c>
      <c r="H432" s="666"/>
      <c r="I432" s="21">
        <f t="shared" si="77"/>
        <v>0.05</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0.01</v>
      </c>
      <c r="F433" s="666"/>
      <c r="G433" s="21">
        <f t="shared" si="76"/>
        <v>0.04</v>
      </c>
      <c r="H433" s="666"/>
      <c r="I433" s="21">
        <f t="shared" si="77"/>
        <v>0.05</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0.01</v>
      </c>
      <c r="F434" s="666"/>
      <c r="G434" s="21">
        <f t="shared" si="76"/>
        <v>0.04</v>
      </c>
      <c r="H434" s="666"/>
      <c r="I434" s="21">
        <f t="shared" si="77"/>
        <v>0.05</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0.01</v>
      </c>
      <c r="F435" s="666"/>
      <c r="G435" s="21">
        <f t="shared" si="76"/>
        <v>0.04</v>
      </c>
      <c r="H435" s="666"/>
      <c r="I435" s="21">
        <f t="shared" si="77"/>
        <v>0.05</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0.01</v>
      </c>
      <c r="F436" s="666"/>
      <c r="G436" s="21">
        <f t="shared" si="76"/>
        <v>0.04</v>
      </c>
      <c r="H436" s="666"/>
      <c r="I436" s="21">
        <f t="shared" si="77"/>
        <v>0.05</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0.01</v>
      </c>
      <c r="F437" s="666"/>
      <c r="G437" s="21">
        <f t="shared" si="76"/>
        <v>0.04</v>
      </c>
      <c r="H437" s="666"/>
      <c r="I437" s="21">
        <f t="shared" si="77"/>
        <v>0.05</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0.01</v>
      </c>
      <c r="F438" s="666"/>
      <c r="G438" s="21">
        <f t="shared" si="76"/>
        <v>0.04</v>
      </c>
      <c r="H438" s="666"/>
      <c r="I438" s="21">
        <f t="shared" si="77"/>
        <v>0.05</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0.01</v>
      </c>
      <c r="F439" s="666"/>
      <c r="G439" s="21">
        <f t="shared" si="76"/>
        <v>0.04</v>
      </c>
      <c r="H439" s="666"/>
      <c r="I439" s="21">
        <f t="shared" si="77"/>
        <v>0.05</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0.01</v>
      </c>
      <c r="F440" s="666"/>
      <c r="G440" s="21">
        <f t="shared" si="76"/>
        <v>0.04</v>
      </c>
      <c r="H440" s="666"/>
      <c r="I440" s="21">
        <f t="shared" si="77"/>
        <v>0.05</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0.01</v>
      </c>
      <c r="F441" s="666"/>
      <c r="G441" s="21">
        <f t="shared" si="76"/>
        <v>0.04</v>
      </c>
      <c r="H441" s="666"/>
      <c r="I441" s="21">
        <f t="shared" si="77"/>
        <v>0.05</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0.01</v>
      </c>
      <c r="F442" s="666"/>
      <c r="G442" s="21">
        <f t="shared" si="76"/>
        <v>0.04</v>
      </c>
      <c r="H442" s="666"/>
      <c r="I442" s="21">
        <f t="shared" si="77"/>
        <v>0.05</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0.01</v>
      </c>
      <c r="F443" s="666"/>
      <c r="G443" s="21">
        <f t="shared" si="76"/>
        <v>0.04</v>
      </c>
      <c r="H443" s="666"/>
      <c r="I443" s="21">
        <f t="shared" si="77"/>
        <v>0.05</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0.01</v>
      </c>
      <c r="F444" s="666"/>
      <c r="G444" s="21">
        <f t="shared" si="76"/>
        <v>0.04</v>
      </c>
      <c r="H444" s="666"/>
      <c r="I444" s="21">
        <f t="shared" si="77"/>
        <v>0.05</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0.01</v>
      </c>
      <c r="F445" s="666"/>
      <c r="G445" s="21">
        <f t="shared" si="76"/>
        <v>0.04</v>
      </c>
      <c r="H445" s="666"/>
      <c r="I445" s="21">
        <f t="shared" si="77"/>
        <v>0.05</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0.01</v>
      </c>
      <c r="F446" s="666"/>
      <c r="G446" s="21">
        <f t="shared" si="76"/>
        <v>0.04</v>
      </c>
      <c r="H446" s="666"/>
      <c r="I446" s="21">
        <f t="shared" si="77"/>
        <v>0.05</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0.01</v>
      </c>
      <c r="F447" s="666"/>
      <c r="G447" s="21">
        <f t="shared" si="76"/>
        <v>0.04</v>
      </c>
      <c r="H447" s="666"/>
      <c r="I447" s="21">
        <f t="shared" si="77"/>
        <v>0.05</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0.01</v>
      </c>
      <c r="F448" s="666"/>
      <c r="G448" s="21">
        <f t="shared" si="76"/>
        <v>0.04</v>
      </c>
      <c r="H448" s="666"/>
      <c r="I448" s="21">
        <f t="shared" si="77"/>
        <v>0.05</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0.01</v>
      </c>
      <c r="F449" s="666"/>
      <c r="G449" s="21">
        <f t="shared" si="76"/>
        <v>0.04</v>
      </c>
      <c r="H449" s="666"/>
      <c r="I449" s="21">
        <f t="shared" si="77"/>
        <v>0.05</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0.01</v>
      </c>
      <c r="F450" s="666"/>
      <c r="G450" s="21">
        <f t="shared" si="76"/>
        <v>0.04</v>
      </c>
      <c r="H450" s="666"/>
      <c r="I450" s="21">
        <f t="shared" si="77"/>
        <v>0.05</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0.01</v>
      </c>
      <c r="F451" s="666"/>
      <c r="G451" s="21">
        <f t="shared" si="76"/>
        <v>0.04</v>
      </c>
      <c r="H451" s="666"/>
      <c r="I451" s="21">
        <f t="shared" si="77"/>
        <v>0.05</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0.01</v>
      </c>
      <c r="F452" s="666"/>
      <c r="G452" s="21">
        <f t="shared" si="76"/>
        <v>0.04</v>
      </c>
      <c r="H452" s="666"/>
      <c r="I452" s="21">
        <f t="shared" si="77"/>
        <v>0.05</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0.01</v>
      </c>
      <c r="F453" s="666"/>
      <c r="G453" s="21">
        <f t="shared" si="76"/>
        <v>0.04</v>
      </c>
      <c r="H453" s="666"/>
      <c r="I453" s="21">
        <f t="shared" si="77"/>
        <v>0.05</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0.01</v>
      </c>
      <c r="F454" s="666"/>
      <c r="G454" s="21">
        <f t="shared" si="76"/>
        <v>0.04</v>
      </c>
      <c r="H454" s="666"/>
      <c r="I454" s="21">
        <f t="shared" si="77"/>
        <v>0.05</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0.01</v>
      </c>
      <c r="F455" s="666"/>
      <c r="G455" s="21">
        <f t="shared" si="76"/>
        <v>0.04</v>
      </c>
      <c r="H455" s="666"/>
      <c r="I455" s="21">
        <f t="shared" si="77"/>
        <v>0.05</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0.01</v>
      </c>
      <c r="F456" s="666"/>
      <c r="G456" s="21">
        <f t="shared" si="76"/>
        <v>0.04</v>
      </c>
      <c r="H456" s="666"/>
      <c r="I456" s="21">
        <f t="shared" si="77"/>
        <v>0.05</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0.01</v>
      </c>
      <c r="F457" s="666"/>
      <c r="G457" s="21">
        <f t="shared" si="76"/>
        <v>0.04</v>
      </c>
      <c r="H457" s="666"/>
      <c r="I457" s="21">
        <f t="shared" si="77"/>
        <v>0.05</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0.01</v>
      </c>
      <c r="F458" s="666"/>
      <c r="G458" s="21">
        <f t="shared" si="76"/>
        <v>0.04</v>
      </c>
      <c r="H458" s="666"/>
      <c r="I458" s="21">
        <f t="shared" si="77"/>
        <v>0.05</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0.01</v>
      </c>
      <c r="F459" s="666"/>
      <c r="G459" s="21">
        <f t="shared" si="76"/>
        <v>0.04</v>
      </c>
      <c r="H459" s="666"/>
      <c r="I459" s="21">
        <f t="shared" si="77"/>
        <v>0.05</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0.01</v>
      </c>
      <c r="F460" s="666"/>
      <c r="G460" s="21">
        <f t="shared" si="76"/>
        <v>0.04</v>
      </c>
      <c r="H460" s="666"/>
      <c r="I460" s="21">
        <f t="shared" si="77"/>
        <v>0.05</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0.01</v>
      </c>
      <c r="F461" s="666"/>
      <c r="G461" s="21">
        <f t="shared" si="76"/>
        <v>0.04</v>
      </c>
      <c r="H461" s="666"/>
      <c r="I461" s="21">
        <f t="shared" si="77"/>
        <v>0.05</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0.01</v>
      </c>
      <c r="F462" s="666"/>
      <c r="G462" s="21">
        <f t="shared" si="76"/>
        <v>0.04</v>
      </c>
      <c r="H462" s="666"/>
      <c r="I462" s="21">
        <f t="shared" si="77"/>
        <v>0.05</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0.01</v>
      </c>
      <c r="F463" s="666"/>
      <c r="G463" s="21">
        <f t="shared" si="76"/>
        <v>0.04</v>
      </c>
      <c r="H463" s="666"/>
      <c r="I463" s="21">
        <f t="shared" si="77"/>
        <v>0.05</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0.01</v>
      </c>
      <c r="F464" s="666"/>
      <c r="G464" s="21">
        <f t="shared" si="76"/>
        <v>0.04</v>
      </c>
      <c r="H464" s="666"/>
      <c r="I464" s="21">
        <f t="shared" si="77"/>
        <v>0.05</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0.01</v>
      </c>
      <c r="F465" s="666"/>
      <c r="G465" s="21">
        <f t="shared" si="76"/>
        <v>0.04</v>
      </c>
      <c r="H465" s="666"/>
      <c r="I465" s="21">
        <f t="shared" si="77"/>
        <v>0.05</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0.01</v>
      </c>
      <c r="F466" s="666"/>
      <c r="G466" s="21">
        <f t="shared" si="76"/>
        <v>0.04</v>
      </c>
      <c r="H466" s="666"/>
      <c r="I466" s="21">
        <f t="shared" si="77"/>
        <v>0.05</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0.01</v>
      </c>
      <c r="F467" s="666"/>
      <c r="G467" s="21">
        <f t="shared" si="76"/>
        <v>0.04</v>
      </c>
      <c r="H467" s="666"/>
      <c r="I467" s="21">
        <f t="shared" si="77"/>
        <v>0.05</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0.01</v>
      </c>
      <c r="F468" s="666"/>
      <c r="G468" s="21">
        <f t="shared" si="76"/>
        <v>0.04</v>
      </c>
      <c r="H468" s="666"/>
      <c r="I468" s="21">
        <f t="shared" si="77"/>
        <v>0.05</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0.01</v>
      </c>
      <c r="F469" s="666"/>
      <c r="G469" s="21">
        <f t="shared" si="76"/>
        <v>0.04</v>
      </c>
      <c r="H469" s="666"/>
      <c r="I469" s="21">
        <f t="shared" si="77"/>
        <v>0.05</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0.01</v>
      </c>
      <c r="F470" s="666"/>
      <c r="G470" s="21">
        <f t="shared" si="76"/>
        <v>0.04</v>
      </c>
      <c r="H470" s="666"/>
      <c r="I470" s="21">
        <f t="shared" si="77"/>
        <v>0.05</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0.01</v>
      </c>
      <c r="F471" s="666"/>
      <c r="G471" s="21">
        <f t="shared" si="76"/>
        <v>0.04</v>
      </c>
      <c r="H471" s="666"/>
      <c r="I471" s="21">
        <f t="shared" si="77"/>
        <v>0.05</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0.01</v>
      </c>
      <c r="F472" s="666"/>
      <c r="G472" s="21">
        <f t="shared" si="76"/>
        <v>0.04</v>
      </c>
      <c r="H472" s="666"/>
      <c r="I472" s="21">
        <f t="shared" si="77"/>
        <v>0.05</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0.01</v>
      </c>
      <c r="F473" s="666"/>
      <c r="G473" s="21">
        <f t="shared" si="76"/>
        <v>0.04</v>
      </c>
      <c r="H473" s="666"/>
      <c r="I473" s="21">
        <f t="shared" si="77"/>
        <v>0.05</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0.01</v>
      </c>
      <c r="F474" s="666"/>
      <c r="G474" s="21">
        <f t="shared" ref="G474:G524" si="87">(SUMIF($7:$7,F474,$8:$8)-SUMIF($7:$7,$F$24,$8:$8)+100)/100</f>
        <v>0.04</v>
      </c>
      <c r="H474" s="666"/>
      <c r="I474" s="21">
        <f t="shared" ref="I474:I524" si="88">(SUMIF($9:$9,H474,$10:$10)-SUMIF($9:$9,$H$24,$10:$10)+100)/100</f>
        <v>0.05</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0.01</v>
      </c>
      <c r="F475" s="666"/>
      <c r="G475" s="21">
        <f t="shared" si="87"/>
        <v>0.04</v>
      </c>
      <c r="H475" s="666"/>
      <c r="I475" s="21">
        <f t="shared" si="88"/>
        <v>0.05</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0.01</v>
      </c>
      <c r="F476" s="666"/>
      <c r="G476" s="21">
        <f t="shared" si="87"/>
        <v>0.04</v>
      </c>
      <c r="H476" s="666"/>
      <c r="I476" s="21">
        <f t="shared" si="88"/>
        <v>0.05</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0.01</v>
      </c>
      <c r="F477" s="666"/>
      <c r="G477" s="21">
        <f t="shared" si="87"/>
        <v>0.04</v>
      </c>
      <c r="H477" s="666"/>
      <c r="I477" s="21">
        <f t="shared" si="88"/>
        <v>0.05</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0.01</v>
      </c>
      <c r="F478" s="666"/>
      <c r="G478" s="21">
        <f t="shared" si="87"/>
        <v>0.04</v>
      </c>
      <c r="H478" s="666"/>
      <c r="I478" s="21">
        <f t="shared" si="88"/>
        <v>0.05</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0.01</v>
      </c>
      <c r="F479" s="666"/>
      <c r="G479" s="21">
        <f t="shared" si="87"/>
        <v>0.04</v>
      </c>
      <c r="H479" s="666"/>
      <c r="I479" s="21">
        <f t="shared" si="88"/>
        <v>0.05</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0.01</v>
      </c>
      <c r="F480" s="666"/>
      <c r="G480" s="21">
        <f t="shared" si="87"/>
        <v>0.04</v>
      </c>
      <c r="H480" s="666"/>
      <c r="I480" s="21">
        <f t="shared" si="88"/>
        <v>0.05</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0.01</v>
      </c>
      <c r="F481" s="666"/>
      <c r="G481" s="21">
        <f t="shared" si="87"/>
        <v>0.04</v>
      </c>
      <c r="H481" s="666"/>
      <c r="I481" s="21">
        <f t="shared" si="88"/>
        <v>0.05</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0.01</v>
      </c>
      <c r="F482" s="666"/>
      <c r="G482" s="21">
        <f t="shared" si="87"/>
        <v>0.04</v>
      </c>
      <c r="H482" s="666"/>
      <c r="I482" s="21">
        <f t="shared" si="88"/>
        <v>0.05</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0.01</v>
      </c>
      <c r="F483" s="666"/>
      <c r="G483" s="21">
        <f t="shared" si="87"/>
        <v>0.04</v>
      </c>
      <c r="H483" s="666"/>
      <c r="I483" s="21">
        <f t="shared" si="88"/>
        <v>0.05</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0.01</v>
      </c>
      <c r="F484" s="666"/>
      <c r="G484" s="21">
        <f t="shared" si="87"/>
        <v>0.04</v>
      </c>
      <c r="H484" s="666"/>
      <c r="I484" s="21">
        <f t="shared" si="88"/>
        <v>0.05</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0.01</v>
      </c>
      <c r="F485" s="666"/>
      <c r="G485" s="21">
        <f t="shared" si="87"/>
        <v>0.04</v>
      </c>
      <c r="H485" s="666"/>
      <c r="I485" s="21">
        <f t="shared" si="88"/>
        <v>0.05</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0.01</v>
      </c>
      <c r="F486" s="666"/>
      <c r="G486" s="21">
        <f t="shared" si="87"/>
        <v>0.04</v>
      </c>
      <c r="H486" s="666"/>
      <c r="I486" s="21">
        <f t="shared" si="88"/>
        <v>0.05</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0.01</v>
      </c>
      <c r="F487" s="666"/>
      <c r="G487" s="21">
        <f t="shared" si="87"/>
        <v>0.04</v>
      </c>
      <c r="H487" s="666"/>
      <c r="I487" s="21">
        <f t="shared" si="88"/>
        <v>0.05</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0.01</v>
      </c>
      <c r="F488" s="666"/>
      <c r="G488" s="21">
        <f t="shared" si="87"/>
        <v>0.04</v>
      </c>
      <c r="H488" s="666"/>
      <c r="I488" s="21">
        <f t="shared" si="88"/>
        <v>0.05</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0.01</v>
      </c>
      <c r="F489" s="666"/>
      <c r="G489" s="21">
        <f t="shared" si="87"/>
        <v>0.04</v>
      </c>
      <c r="H489" s="666"/>
      <c r="I489" s="21">
        <f t="shared" si="88"/>
        <v>0.05</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0.01</v>
      </c>
      <c r="F490" s="666"/>
      <c r="G490" s="21">
        <f t="shared" si="87"/>
        <v>0.04</v>
      </c>
      <c r="H490" s="666"/>
      <c r="I490" s="21">
        <f t="shared" si="88"/>
        <v>0.05</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0.01</v>
      </c>
      <c r="F491" s="666"/>
      <c r="G491" s="21">
        <f t="shared" si="87"/>
        <v>0.04</v>
      </c>
      <c r="H491" s="666"/>
      <c r="I491" s="21">
        <f t="shared" si="88"/>
        <v>0.05</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0.01</v>
      </c>
      <c r="F492" s="666"/>
      <c r="G492" s="21">
        <f t="shared" si="87"/>
        <v>0.04</v>
      </c>
      <c r="H492" s="666"/>
      <c r="I492" s="21">
        <f t="shared" si="88"/>
        <v>0.05</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0.01</v>
      </c>
      <c r="F493" s="666"/>
      <c r="G493" s="21">
        <f t="shared" si="87"/>
        <v>0.04</v>
      </c>
      <c r="H493" s="666"/>
      <c r="I493" s="21">
        <f t="shared" si="88"/>
        <v>0.05</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0.01</v>
      </c>
      <c r="F494" s="666"/>
      <c r="G494" s="21">
        <f t="shared" si="87"/>
        <v>0.04</v>
      </c>
      <c r="H494" s="666"/>
      <c r="I494" s="21">
        <f t="shared" si="88"/>
        <v>0.05</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0.01</v>
      </c>
      <c r="F495" s="666"/>
      <c r="G495" s="21">
        <f t="shared" si="87"/>
        <v>0.04</v>
      </c>
      <c r="H495" s="666"/>
      <c r="I495" s="21">
        <f t="shared" si="88"/>
        <v>0.05</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0.01</v>
      </c>
      <c r="F496" s="666"/>
      <c r="G496" s="21">
        <f t="shared" si="87"/>
        <v>0.04</v>
      </c>
      <c r="H496" s="666"/>
      <c r="I496" s="21">
        <f t="shared" si="88"/>
        <v>0.05</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0.01</v>
      </c>
      <c r="F497" s="666"/>
      <c r="G497" s="21">
        <f t="shared" si="87"/>
        <v>0.04</v>
      </c>
      <c r="H497" s="666"/>
      <c r="I497" s="21">
        <f t="shared" si="88"/>
        <v>0.05</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0.01</v>
      </c>
      <c r="F498" s="666"/>
      <c r="G498" s="21">
        <f t="shared" si="87"/>
        <v>0.04</v>
      </c>
      <c r="H498" s="666"/>
      <c r="I498" s="21">
        <f t="shared" si="88"/>
        <v>0.05</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0.01</v>
      </c>
      <c r="F499" s="666"/>
      <c r="G499" s="21">
        <f t="shared" si="87"/>
        <v>0.04</v>
      </c>
      <c r="H499" s="666"/>
      <c r="I499" s="21">
        <f t="shared" si="88"/>
        <v>0.05</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0.01</v>
      </c>
      <c r="F500" s="666"/>
      <c r="G500" s="21">
        <f t="shared" si="87"/>
        <v>0.04</v>
      </c>
      <c r="H500" s="666"/>
      <c r="I500" s="21">
        <f t="shared" si="88"/>
        <v>0.05</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0.01</v>
      </c>
      <c r="F501" s="666"/>
      <c r="G501" s="21">
        <f t="shared" si="87"/>
        <v>0.04</v>
      </c>
      <c r="H501" s="666"/>
      <c r="I501" s="21">
        <f t="shared" si="88"/>
        <v>0.05</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0.01</v>
      </c>
      <c r="F502" s="666"/>
      <c r="G502" s="21">
        <f t="shared" si="87"/>
        <v>0.04</v>
      </c>
      <c r="H502" s="666"/>
      <c r="I502" s="21">
        <f t="shared" si="88"/>
        <v>0.05</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0.01</v>
      </c>
      <c r="F503" s="666"/>
      <c r="G503" s="21">
        <f t="shared" si="87"/>
        <v>0.04</v>
      </c>
      <c r="H503" s="666"/>
      <c r="I503" s="21">
        <f t="shared" si="88"/>
        <v>0.05</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0.01</v>
      </c>
      <c r="F504" s="666"/>
      <c r="G504" s="21">
        <f t="shared" si="87"/>
        <v>0.04</v>
      </c>
      <c r="H504" s="666"/>
      <c r="I504" s="21">
        <f t="shared" si="88"/>
        <v>0.05</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0.01</v>
      </c>
      <c r="F505" s="666"/>
      <c r="G505" s="21">
        <f t="shared" si="87"/>
        <v>0.04</v>
      </c>
      <c r="H505" s="666"/>
      <c r="I505" s="21">
        <f t="shared" si="88"/>
        <v>0.05</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0.01</v>
      </c>
      <c r="F506" s="666"/>
      <c r="G506" s="21">
        <f t="shared" si="87"/>
        <v>0.04</v>
      </c>
      <c r="H506" s="666"/>
      <c r="I506" s="21">
        <f t="shared" si="88"/>
        <v>0.05</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0.01</v>
      </c>
      <c r="F507" s="666"/>
      <c r="G507" s="21">
        <f t="shared" si="87"/>
        <v>0.04</v>
      </c>
      <c r="H507" s="666"/>
      <c r="I507" s="21">
        <f t="shared" si="88"/>
        <v>0.05</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0.01</v>
      </c>
      <c r="F508" s="666"/>
      <c r="G508" s="21">
        <f t="shared" si="87"/>
        <v>0.04</v>
      </c>
      <c r="H508" s="666"/>
      <c r="I508" s="21">
        <f t="shared" si="88"/>
        <v>0.05</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0.01</v>
      </c>
      <c r="F509" s="666"/>
      <c r="G509" s="21">
        <f t="shared" si="87"/>
        <v>0.04</v>
      </c>
      <c r="H509" s="666"/>
      <c r="I509" s="21">
        <f t="shared" si="88"/>
        <v>0.05</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0.01</v>
      </c>
      <c r="F510" s="666"/>
      <c r="G510" s="21">
        <f t="shared" si="87"/>
        <v>0.04</v>
      </c>
      <c r="H510" s="666"/>
      <c r="I510" s="21">
        <f t="shared" si="88"/>
        <v>0.05</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0.01</v>
      </c>
      <c r="F511" s="666"/>
      <c r="G511" s="21">
        <f t="shared" si="87"/>
        <v>0.04</v>
      </c>
      <c r="H511" s="666"/>
      <c r="I511" s="21">
        <f t="shared" si="88"/>
        <v>0.05</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0.01</v>
      </c>
      <c r="F512" s="666"/>
      <c r="G512" s="21">
        <f t="shared" si="87"/>
        <v>0.04</v>
      </c>
      <c r="H512" s="666"/>
      <c r="I512" s="21">
        <f t="shared" si="88"/>
        <v>0.05</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0.01</v>
      </c>
      <c r="F513" s="666"/>
      <c r="G513" s="21">
        <f t="shared" si="87"/>
        <v>0.04</v>
      </c>
      <c r="H513" s="666"/>
      <c r="I513" s="21">
        <f t="shared" si="88"/>
        <v>0.05</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0.01</v>
      </c>
      <c r="F514" s="666"/>
      <c r="G514" s="21">
        <f t="shared" si="87"/>
        <v>0.04</v>
      </c>
      <c r="H514" s="666"/>
      <c r="I514" s="21">
        <f t="shared" si="88"/>
        <v>0.05</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0.01</v>
      </c>
      <c r="F515" s="666"/>
      <c r="G515" s="21">
        <f t="shared" si="87"/>
        <v>0.04</v>
      </c>
      <c r="H515" s="666"/>
      <c r="I515" s="21">
        <f t="shared" si="88"/>
        <v>0.05</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0.01</v>
      </c>
      <c r="F516" s="666"/>
      <c r="G516" s="21">
        <f t="shared" si="87"/>
        <v>0.04</v>
      </c>
      <c r="H516" s="666"/>
      <c r="I516" s="21">
        <f t="shared" si="88"/>
        <v>0.05</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0.01</v>
      </c>
      <c r="F517" s="666"/>
      <c r="G517" s="21">
        <f t="shared" si="87"/>
        <v>0.04</v>
      </c>
      <c r="H517" s="666"/>
      <c r="I517" s="21">
        <f t="shared" si="88"/>
        <v>0.05</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0.01</v>
      </c>
      <c r="F518" s="666"/>
      <c r="G518" s="21">
        <f t="shared" si="87"/>
        <v>0.04</v>
      </c>
      <c r="H518" s="666"/>
      <c r="I518" s="21">
        <f t="shared" si="88"/>
        <v>0.05</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0.01</v>
      </c>
      <c r="F519" s="666"/>
      <c r="G519" s="21">
        <f t="shared" si="87"/>
        <v>0.04</v>
      </c>
      <c r="H519" s="666"/>
      <c r="I519" s="21">
        <f t="shared" si="88"/>
        <v>0.05</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0.01</v>
      </c>
      <c r="F520" s="666"/>
      <c r="G520" s="21">
        <f t="shared" si="87"/>
        <v>0.04</v>
      </c>
      <c r="H520" s="666"/>
      <c r="I520" s="21">
        <f t="shared" si="88"/>
        <v>0.05</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0.01</v>
      </c>
      <c r="F521" s="666"/>
      <c r="G521" s="21">
        <f t="shared" si="87"/>
        <v>0.04</v>
      </c>
      <c r="H521" s="666"/>
      <c r="I521" s="21">
        <f t="shared" si="88"/>
        <v>0.05</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0.01</v>
      </c>
      <c r="F522" s="666"/>
      <c r="G522" s="21">
        <f t="shared" si="87"/>
        <v>0.04</v>
      </c>
      <c r="H522" s="666"/>
      <c r="I522" s="21">
        <f t="shared" si="88"/>
        <v>0.05</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0.01</v>
      </c>
      <c r="F523" s="666"/>
      <c r="G523" s="21">
        <f t="shared" si="87"/>
        <v>0.04</v>
      </c>
      <c r="H523" s="666"/>
      <c r="I523" s="21">
        <f t="shared" si="88"/>
        <v>0.05</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0.01</v>
      </c>
      <c r="F524" s="666"/>
      <c r="G524" s="21">
        <f t="shared" si="87"/>
        <v>0.04</v>
      </c>
      <c r="H524" s="666"/>
      <c r="I524" s="21">
        <f t="shared" si="88"/>
        <v>0.05</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3583</v>
      </c>
      <c r="H1" s="1748" t="str">
        <f>IF(G1="现房","——","估价对象范围")</f>
        <v>——</v>
      </c>
      <c r="I1" s="1749" t="s">
        <v>3584</v>
      </c>
    </row>
    <row r="2" spans="1:12" ht="21.75" customHeight="1" thickBot="1">
      <c r="A2" s="3619" t="str">
        <f>项目基本情况!S2</f>
        <v>北京市丰台区四方景园二区配套商业房地产</v>
      </c>
      <c r="B2" s="3620"/>
      <c r="C2" s="3620"/>
      <c r="D2" s="3620"/>
      <c r="E2" s="3620"/>
      <c r="F2" s="3620"/>
      <c r="G2" s="3620"/>
      <c r="H2" s="3620"/>
      <c r="I2" s="3621"/>
    </row>
    <row r="3" spans="1:12" ht="12.75">
      <c r="A3" s="3623" t="s">
        <v>1263</v>
      </c>
      <c r="B3" s="3624"/>
      <c r="C3" s="3624"/>
      <c r="D3" s="3624"/>
      <c r="E3" s="3624"/>
      <c r="F3" s="3624"/>
      <c r="G3" s="3624"/>
      <c r="H3" s="3624"/>
      <c r="I3" s="3624"/>
    </row>
    <row r="4" spans="1:12" ht="14.25">
      <c r="A4" s="1752" t="s">
        <v>1264</v>
      </c>
      <c r="B4" s="1753" t="s">
        <v>1265</v>
      </c>
      <c r="C4" s="1754" t="s">
        <v>3614</v>
      </c>
      <c r="D4" s="1754" t="s">
        <v>3578</v>
      </c>
      <c r="E4" s="3625" t="s">
        <v>1266</v>
      </c>
      <c r="F4" s="3626"/>
      <c r="G4" s="3626"/>
      <c r="H4" s="3626"/>
      <c r="I4" s="3627"/>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99" t="s">
        <v>1267</v>
      </c>
      <c r="B5" s="3586">
        <v>25</v>
      </c>
      <c r="C5" s="3602"/>
      <c r="D5" s="3622"/>
      <c r="E5" s="131" t="s">
        <v>1268</v>
      </c>
      <c r="F5" s="1755"/>
      <c r="G5" s="1755"/>
      <c r="H5" s="1755"/>
      <c r="I5" s="1371"/>
    </row>
    <row r="6" spans="1:12" ht="12.75">
      <c r="A6" s="3599"/>
      <c r="B6" s="3586"/>
      <c r="C6" s="3603"/>
      <c r="D6" s="3622"/>
      <c r="E6" s="131" t="s">
        <v>1269</v>
      </c>
      <c r="F6" s="1755"/>
      <c r="G6" s="1755"/>
      <c r="H6" s="1755"/>
      <c r="I6" s="1371"/>
    </row>
    <row r="7" spans="1:12" ht="12.75">
      <c r="A7" s="3599"/>
      <c r="B7" s="3586"/>
      <c r="C7" s="3604"/>
      <c r="D7" s="3622"/>
      <c r="E7" s="131" t="s">
        <v>1270</v>
      </c>
      <c r="F7" s="1755"/>
      <c r="G7" s="1755"/>
      <c r="H7" s="1755"/>
      <c r="I7" s="1371"/>
    </row>
    <row r="8" spans="1:12" ht="12.75">
      <c r="A8" s="3599" t="s">
        <v>1271</v>
      </c>
      <c r="B8" s="3586">
        <v>15</v>
      </c>
      <c r="C8" s="3602"/>
      <c r="D8" s="3622"/>
      <c r="E8" s="131" t="s">
        <v>1272</v>
      </c>
      <c r="F8" s="1755"/>
      <c r="G8" s="1755"/>
      <c r="H8" s="1755"/>
      <c r="I8" s="1371"/>
    </row>
    <row r="9" spans="1:12" ht="12.75">
      <c r="A9" s="3599"/>
      <c r="B9" s="3586"/>
      <c r="C9" s="3604"/>
      <c r="D9" s="3622"/>
      <c r="E9" s="131" t="s">
        <v>1273</v>
      </c>
      <c r="F9" s="1755"/>
      <c r="G9" s="1755"/>
      <c r="H9" s="1755"/>
      <c r="I9" s="1371"/>
    </row>
    <row r="10" spans="1:12" ht="12.75">
      <c r="A10" s="3599" t="s">
        <v>1274</v>
      </c>
      <c r="B10" s="3586">
        <v>15</v>
      </c>
      <c r="C10" s="3602"/>
      <c r="D10" s="3622"/>
      <c r="E10" s="131" t="s">
        <v>1275</v>
      </c>
      <c r="F10" s="1755"/>
      <c r="G10" s="1755"/>
      <c r="H10" s="1755"/>
      <c r="I10" s="1371"/>
    </row>
    <row r="11" spans="1:12" ht="12.75">
      <c r="A11" s="3599"/>
      <c r="B11" s="3586"/>
      <c r="C11" s="3604"/>
      <c r="D11" s="3622"/>
      <c r="E11" s="131" t="s">
        <v>1276</v>
      </c>
      <c r="F11" s="1755"/>
      <c r="G11" s="1755"/>
      <c r="H11" s="1755"/>
      <c r="I11" s="1371"/>
    </row>
    <row r="12" spans="1:12" ht="12.75">
      <c r="A12" s="3599" t="s">
        <v>1277</v>
      </c>
      <c r="B12" s="3586">
        <v>15</v>
      </c>
      <c r="C12" s="3602"/>
      <c r="D12" s="3622"/>
      <c r="E12" s="131" t="s">
        <v>1278</v>
      </c>
      <c r="F12" s="1755"/>
      <c r="G12" s="1755"/>
      <c r="H12" s="1755"/>
      <c r="I12" s="1371"/>
    </row>
    <row r="13" spans="1:12" ht="12.75">
      <c r="A13" s="3599"/>
      <c r="B13" s="3586"/>
      <c r="C13" s="3604"/>
      <c r="D13" s="3622"/>
      <c r="E13" s="131" t="s">
        <v>1279</v>
      </c>
      <c r="F13" s="1755"/>
      <c r="G13" s="1755"/>
      <c r="H13" s="1755"/>
      <c r="I13" s="1371"/>
    </row>
    <row r="14" spans="1:12" ht="12.75">
      <c r="A14" s="3599" t="s">
        <v>1280</v>
      </c>
      <c r="B14" s="3586">
        <v>30</v>
      </c>
      <c r="C14" s="3602">
        <v>6</v>
      </c>
      <c r="D14" s="3622">
        <v>4</v>
      </c>
      <c r="E14" s="131" t="s">
        <v>1281</v>
      </c>
      <c r="F14" s="1755"/>
      <c r="G14" s="1755"/>
      <c r="H14" s="1755"/>
      <c r="I14" s="1371"/>
    </row>
    <row r="15" spans="1:12" ht="12.75">
      <c r="A15" s="3599"/>
      <c r="B15" s="3586"/>
      <c r="C15" s="3603"/>
      <c r="D15" s="3622"/>
      <c r="E15" s="131" t="s">
        <v>1282</v>
      </c>
      <c r="F15" s="1755"/>
      <c r="G15" s="1755"/>
      <c r="H15" s="1755"/>
      <c r="I15" s="1371"/>
    </row>
    <row r="16" spans="1:12" ht="12.75">
      <c r="A16" s="3599"/>
      <c r="B16" s="3586"/>
      <c r="C16" s="3604"/>
      <c r="D16" s="3622"/>
      <c r="E16" s="131" t="s">
        <v>1283</v>
      </c>
      <c r="F16" s="1755"/>
      <c r="G16" s="1755"/>
      <c r="H16" s="1755"/>
      <c r="I16" s="1371"/>
    </row>
    <row r="17" spans="1:36" ht="15">
      <c r="A17" s="1756" t="s">
        <v>1284</v>
      </c>
      <c r="B17" s="56"/>
      <c r="C17" s="132">
        <f>SUM(C5:C16)</f>
        <v>6</v>
      </c>
      <c r="D17" s="132">
        <f>SUM(D5:D16)</f>
        <v>4</v>
      </c>
      <c r="E17" s="129"/>
      <c r="F17" s="129"/>
      <c r="G17" s="129"/>
      <c r="H17" s="129"/>
      <c r="I17" s="129"/>
      <c r="K17" s="302"/>
      <c r="L17" s="302" t="s">
        <v>1285</v>
      </c>
      <c r="M17" s="302" t="s">
        <v>1286</v>
      </c>
    </row>
    <row r="18" spans="1:36" ht="31.9" customHeight="1" thickBot="1">
      <c r="A18" s="1757" t="s">
        <v>1287</v>
      </c>
      <c r="B18" s="1758"/>
      <c r="C18" s="133">
        <f>ROUND(C17/SUM(C17:D17),2)</f>
        <v>0.6</v>
      </c>
      <c r="D18" s="133">
        <f>1-C18</f>
        <v>0.4</v>
      </c>
      <c r="E18" s="3609" t="s">
        <v>2126</v>
      </c>
      <c r="F18" s="3610"/>
      <c r="G18" s="3610"/>
      <c r="H18" s="3610"/>
      <c r="I18" s="3610"/>
      <c r="K18" s="302" t="s">
        <v>1288</v>
      </c>
      <c r="L18" s="302">
        <f>IF(C1="",'数据-汇总表'!E3,SUMIF(项目类型,C1,'数据-汇总表'!E17:E26)+SUMIF(项目类型,C1,'数据-汇总表'!I17:I26))</f>
        <v>0</v>
      </c>
      <c r="M18" s="302">
        <f>IF(C1="",'数据-汇总表'!E3,SUMIF(项目类型,C1,'数据-汇总表'!E17:E26))</f>
        <v>0</v>
      </c>
    </row>
    <row r="19" spans="1:36" ht="15">
      <c r="A19" s="1759" t="s">
        <v>1289</v>
      </c>
      <c r="B19" s="1760" t="s">
        <v>1290</v>
      </c>
      <c r="C19" s="134">
        <f ca="1">SUMIF(INDIRECT("'"&amp;C4&amp;"'"&amp;"!A:A"),结果表商业!B19,INDIRECT("'"&amp;C4&amp;"'"&amp;"!B:B"))</f>
        <v>6492.0443999999998</v>
      </c>
      <c r="D19" s="135" t="e">
        <f ca="1">SUMIF(INDIRECT("'"&amp;D4&amp;"'"&amp;"!A:A"),结果表商业!B19,INDIRECT("'"&amp;D4&amp;"'"&amp;"!B:B"))</f>
        <v>#REF!</v>
      </c>
      <c r="E19" s="1759" t="s">
        <v>1291</v>
      </c>
      <c r="F19" s="1760" t="s">
        <v>1290</v>
      </c>
      <c r="G19" s="136" t="e">
        <f ca="1">ROUND(C19*$C$18+D19*$D$18,0)</f>
        <v>#REF!</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SUMIF(INDIRECT("'"&amp;C4&amp;"'"&amp;"!A:A"),结果表商业!B20,INDIRECT("'"&amp;C4&amp;"'"&amp;"!B:B"))</f>
        <v>53360</v>
      </c>
      <c r="D20" s="138" t="e">
        <f ca="1">SUMIF(INDIRECT("'"&amp;D4&amp;"'"&amp;"!A:A"),结果表商业!B20,INDIRECT("'"&amp;D4&amp;"'"&amp;"!B:B"))</f>
        <v>#REF!</v>
      </c>
      <c r="E20" s="1762"/>
      <c r="F20" s="1025" t="s">
        <v>1294</v>
      </c>
      <c r="G20" s="139" t="e">
        <f ca="1">ROUND(C20*$C$18+D20*$D$18,0)</f>
        <v>#REF!</v>
      </c>
      <c r="H20" s="807" t="s">
        <v>1295</v>
      </c>
      <c r="I20" s="129"/>
    </row>
    <row r="21" spans="1:36" ht="15" customHeight="1" thickBot="1">
      <c r="A21" s="827"/>
      <c r="B21" s="1763" t="s">
        <v>1296</v>
      </c>
      <c r="C21" s="718" t="e">
        <f ca="1">ROUND(C19*10000/L19,0)</f>
        <v>#DIV/0!</v>
      </c>
      <c r="D21" s="719" t="e">
        <f ca="1">ROUND(D19*10000/L19,0)</f>
        <v>#REF!</v>
      </c>
      <c r="E21" s="827"/>
      <c r="F21" s="1763" t="s">
        <v>1296</v>
      </c>
      <c r="G21" s="140" t="e">
        <f ca="1">ROUND(G19*10000/L19,0)</f>
        <v>#REF!</v>
      </c>
      <c r="H21" s="1764" t="s">
        <v>1295</v>
      </c>
      <c r="I21" s="129"/>
    </row>
    <row r="22" spans="1:36" ht="15.75" thickBot="1">
      <c r="A22" s="1686" t="s">
        <v>1297</v>
      </c>
      <c r="B22" s="1765"/>
      <c r="C22" s="1766"/>
      <c r="D22" s="720" t="e">
        <f ca="1">IF(C19&lt;D19,D19/C19-1,C19/D19-1)</f>
        <v>#REF!</v>
      </c>
      <c r="E22" s="129"/>
      <c r="F22" s="129"/>
      <c r="G22" s="129"/>
      <c r="H22" s="129"/>
      <c r="I22" s="129"/>
      <c r="K22" s="3464">
        <v>103175</v>
      </c>
    </row>
    <row r="23" spans="1:36" ht="13.5" thickBot="1">
      <c r="A23" s="1745"/>
      <c r="B23" s="1745"/>
      <c r="C23" s="1745"/>
      <c r="D23" s="1745"/>
      <c r="E23" s="129"/>
      <c r="F23" s="129"/>
      <c r="G23" s="129"/>
      <c r="H23" s="129"/>
      <c r="I23" s="129"/>
    </row>
    <row r="24" spans="1:36" ht="14.25">
      <c r="A24" s="3593" t="s">
        <v>1298</v>
      </c>
      <c r="B24" s="1760" t="s">
        <v>1290</v>
      </c>
      <c r="C24" s="136">
        <f>IF(B30=0,0,D30)</f>
        <v>0</v>
      </c>
      <c r="D24" s="1767"/>
      <c r="E24" s="129"/>
      <c r="F24" s="129"/>
      <c r="G24" s="129"/>
      <c r="H24" s="129"/>
      <c r="I24" s="129"/>
    </row>
    <row r="25" spans="1:36" ht="14.25">
      <c r="A25" s="3594"/>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t="e">
        <f ca="1">IF(D32="总价",G19-C24,G20-C25)</f>
        <v>#REF!</v>
      </c>
      <c r="D32" s="1773"/>
      <c r="E32" s="129"/>
      <c r="F32" s="129"/>
      <c r="G32" s="129"/>
      <c r="H32" s="129"/>
      <c r="I32" s="129"/>
    </row>
    <row r="33" spans="1:15" ht="15">
      <c r="A33" s="785" t="s">
        <v>1305</v>
      </c>
      <c r="B33" s="1774"/>
      <c r="C33" s="1775" t="s">
        <v>3598</v>
      </c>
      <c r="D33" s="1776"/>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613" t="s">
        <v>1311</v>
      </c>
      <c r="B36" s="1785" t="s">
        <v>1312</v>
      </c>
      <c r="C36" s="145"/>
      <c r="D36" s="1786"/>
      <c r="E36" s="1787"/>
      <c r="F36" s="1788"/>
      <c r="G36" s="129"/>
      <c r="H36" s="129"/>
      <c r="I36" s="129"/>
    </row>
    <row r="37" spans="1:15" ht="15.75" thickBot="1">
      <c r="A37" s="3614"/>
      <c r="B37" s="1672" t="s">
        <v>1313</v>
      </c>
      <c r="C37" s="147"/>
      <c r="D37" s="1138"/>
      <c r="E37" s="1138"/>
      <c r="F37" s="1788"/>
      <c r="G37" s="129"/>
      <c r="H37" s="129"/>
      <c r="I37" s="129"/>
    </row>
    <row r="38" spans="1:15" ht="15.75" thickBot="1">
      <c r="A38" s="3615"/>
      <c r="B38" s="1789" t="s">
        <v>1314</v>
      </c>
      <c r="C38" s="673"/>
      <c r="D38" s="1790" t="s">
        <v>1315</v>
      </c>
      <c r="E38" s="1138"/>
      <c r="F38" s="1788"/>
      <c r="G38" s="129"/>
      <c r="H38" s="129"/>
      <c r="I38" s="129"/>
    </row>
    <row r="39" spans="1:15" ht="15">
      <c r="A39" s="1762" t="s">
        <v>1316</v>
      </c>
      <c r="B39" s="1791" t="s">
        <v>1317</v>
      </c>
      <c r="C39" s="1792" t="s">
        <v>1301</v>
      </c>
      <c r="D39" s="1792" t="s">
        <v>1319</v>
      </c>
      <c r="E39" s="1793" t="s">
        <v>1302</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90" t="s">
        <v>1325</v>
      </c>
      <c r="B45" s="3591"/>
      <c r="C45" s="3592"/>
      <c r="D45" s="155" t="e">
        <f ca="1">ROUND(H101*F45,0)</f>
        <v>#REF!</v>
      </c>
      <c r="E45" s="156" t="s">
        <v>1326</v>
      </c>
      <c r="F45" s="157">
        <v>1</v>
      </c>
      <c r="G45" s="158" t="s">
        <v>1327</v>
      </c>
      <c r="H45" s="129"/>
      <c r="I45" s="129"/>
      <c r="J45" s="3668" t="s">
        <v>1328</v>
      </c>
      <c r="K45" s="3668"/>
      <c r="L45" s="3668"/>
      <c r="M45" s="3668"/>
      <c r="N45" s="3668"/>
      <c r="O45" s="3668"/>
    </row>
    <row r="46" spans="1:15" ht="14.25" customHeight="1">
      <c r="A46" s="3587" t="s">
        <v>1329</v>
      </c>
      <c r="B46" s="3588"/>
      <c r="C46" s="3588"/>
      <c r="D46" s="3588"/>
      <c r="E46" s="3588"/>
      <c r="F46" s="3588"/>
      <c r="G46" s="3589"/>
      <c r="H46" s="1804"/>
      <c r="I46" s="159"/>
      <c r="J46" s="3452">
        <v>1</v>
      </c>
      <c r="K46" s="3649" t="s">
        <v>1330</v>
      </c>
      <c r="L46" s="3649"/>
      <c r="M46" s="3669"/>
      <c r="N46" s="3669"/>
      <c r="O46" s="3669"/>
    </row>
    <row r="47" spans="1:15" ht="12" customHeight="1">
      <c r="A47" s="160" t="s">
        <v>1331</v>
      </c>
      <c r="B47" s="161"/>
      <c r="C47" s="162"/>
      <c r="D47" s="1086" t="s">
        <v>1332</v>
      </c>
      <c r="E47" s="302" t="s">
        <v>1333</v>
      </c>
      <c r="F47" s="163" t="s">
        <v>1334</v>
      </c>
      <c r="G47" s="2544" t="s">
        <v>1335</v>
      </c>
      <c r="H47" s="2545"/>
      <c r="I47" s="159"/>
      <c r="J47" s="3452">
        <v>2</v>
      </c>
      <c r="K47" s="3649" t="s">
        <v>1336</v>
      </c>
      <c r="L47" s="3649"/>
      <c r="M47" s="3670">
        <f>'数据-取费表'!B2</f>
        <v>45069</v>
      </c>
      <c r="N47" s="3670"/>
      <c r="O47" s="3670"/>
    </row>
    <row r="48" spans="1:15" ht="25.5">
      <c r="A48" s="3618" t="s">
        <v>1337</v>
      </c>
      <c r="B48" s="3601"/>
      <c r="C48" s="3601"/>
      <c r="D48" s="3449" t="b">
        <f>IF(H48="情况1",0,IF(H48="情况2",D52,IF(H48="情况3",D53,IF(H48="情况4",D54))))</f>
        <v>0</v>
      </c>
      <c r="E48" s="3462" t="str">
        <f>IF(H48="情况4","(销售额-原购置价)×税（费）率","销售额×税（费）率")</f>
        <v>销售额×税（费）率</v>
      </c>
      <c r="F48" s="2546">
        <f>IF(H48="情况1","免征",'数据-取费表'!B41)</f>
        <v>5.6000000000000001E-2</v>
      </c>
      <c r="G48" s="2547" t="s">
        <v>1338</v>
      </c>
      <c r="H48" s="2548"/>
      <c r="I48" s="1804"/>
      <c r="J48" s="3452">
        <v>3</v>
      </c>
      <c r="K48" s="3649" t="s">
        <v>1339</v>
      </c>
      <c r="L48" s="3649"/>
      <c r="M48" s="3671" t="e">
        <f ca="1">H101</f>
        <v>#REF!</v>
      </c>
      <c r="N48" s="3671"/>
      <c r="O48" s="3671"/>
    </row>
    <row r="49" spans="1:35" ht="25.5" customHeight="1">
      <c r="A49" s="3461" t="s">
        <v>1340</v>
      </c>
      <c r="B49" s="3585" t="s">
        <v>1341</v>
      </c>
      <c r="C49" s="3585"/>
      <c r="D49" s="1588">
        <v>0</v>
      </c>
      <c r="E49" s="324" t="s">
        <v>1342</v>
      </c>
      <c r="F49" s="3447" t="s">
        <v>28</v>
      </c>
      <c r="G49" s="3655"/>
      <c r="H49" s="2308" t="s">
        <v>2129</v>
      </c>
      <c r="I49" s="2309"/>
      <c r="J49" s="3452">
        <v>4</v>
      </c>
      <c r="K49" s="3649" t="str">
        <f>IF(项目基本情况!E8="房地产抵押价值","房地产抵押价值","抵押担保权已注销时的房地产抵押价值")</f>
        <v>抵押担保权已注销时的房地产抵押价值</v>
      </c>
      <c r="L49" s="3649"/>
      <c r="M49" s="3671" t="str">
        <f>IF(项目基本情况!E8="房地产抵押价值",H107,H109)</f>
        <v>——</v>
      </c>
      <c r="N49" s="3671"/>
      <c r="O49" s="3671"/>
    </row>
    <row r="50" spans="1:35" ht="25.5" customHeight="1">
      <c r="A50" s="2549"/>
      <c r="B50" s="3585" t="s">
        <v>1343</v>
      </c>
      <c r="C50" s="3585"/>
      <c r="D50" s="2550"/>
      <c r="E50" s="332"/>
      <c r="F50" s="3447"/>
      <c r="G50" s="3656"/>
      <c r="H50" s="2310" t="s">
        <v>2130</v>
      </c>
      <c r="I50" s="2309"/>
      <c r="J50" s="3668" t="s">
        <v>1344</v>
      </c>
      <c r="K50" s="3668"/>
      <c r="L50" s="3668"/>
      <c r="M50" s="3668"/>
      <c r="N50" s="3668"/>
      <c r="O50" s="3668"/>
    </row>
    <row r="51" spans="1:35" ht="20.45" customHeight="1">
      <c r="A51" s="2551"/>
      <c r="B51" s="3585" t="s">
        <v>1345</v>
      </c>
      <c r="C51" s="3585"/>
      <c r="D51" s="1086"/>
      <c r="E51" s="327"/>
      <c r="F51" s="3447"/>
      <c r="G51" s="3657"/>
      <c r="H51" s="2310" t="s">
        <v>2131</v>
      </c>
      <c r="I51" s="2309"/>
      <c r="J51" s="3448" t="s">
        <v>1346</v>
      </c>
      <c r="K51" s="3649" t="s">
        <v>1347</v>
      </c>
      <c r="L51" s="3649"/>
      <c r="M51" s="3448" t="s">
        <v>1348</v>
      </c>
      <c r="N51" s="3448" t="s">
        <v>1349</v>
      </c>
      <c r="O51" s="3448" t="s">
        <v>1350</v>
      </c>
    </row>
    <row r="52" spans="1:35" ht="24" customHeight="1">
      <c r="A52" s="3463" t="s">
        <v>1351</v>
      </c>
      <c r="B52" s="3585" t="s">
        <v>1352</v>
      </c>
      <c r="C52" s="3585"/>
      <c r="D52" s="1086" t="e">
        <f ca="1">ROUND(D45*'数据-取费表'!B41/(1+'数据-取费表'!C42),0)</f>
        <v>#REF!</v>
      </c>
      <c r="E52" s="3462" t="s">
        <v>1353</v>
      </c>
      <c r="F52" s="2552">
        <f>'数据-取费表'!B41</f>
        <v>5.6000000000000001E-2</v>
      </c>
      <c r="G52" s="2553"/>
      <c r="H52" s="2542"/>
      <c r="I52" s="1805"/>
      <c r="J52" s="3452">
        <v>1</v>
      </c>
      <c r="K52" s="3650" t="s">
        <v>1354</v>
      </c>
      <c r="L52" s="3650"/>
      <c r="M52" s="2523" t="b">
        <f>D48</f>
        <v>0</v>
      </c>
      <c r="N52" s="3452" t="str">
        <f>E48</f>
        <v>销售额×税（费）率</v>
      </c>
      <c r="O52" s="2524">
        <f>F48</f>
        <v>5.6000000000000001E-2</v>
      </c>
    </row>
    <row r="53" spans="1:35" ht="12" customHeight="1">
      <c r="A53" s="3463" t="s">
        <v>1355</v>
      </c>
      <c r="B53" s="3611" t="s">
        <v>2282</v>
      </c>
      <c r="C53" s="3612"/>
      <c r="D53" s="1086" t="e">
        <f ca="1">ROUND(D45*'数据-取费表'!B41/(1+'数据-取费表'!C42),0)</f>
        <v>#REF!</v>
      </c>
      <c r="E53" s="3462" t="s">
        <v>1353</v>
      </c>
      <c r="F53" s="2552">
        <f>'数据-取费表'!B41</f>
        <v>5.6000000000000001E-2</v>
      </c>
      <c r="G53" s="2553"/>
      <c r="H53" s="2542"/>
      <c r="I53" s="1805"/>
      <c r="J53" s="3452">
        <v>2</v>
      </c>
      <c r="K53" s="3650" t="s">
        <v>1356</v>
      </c>
      <c r="L53" s="3650"/>
      <c r="M53" s="2523" t="e">
        <f t="shared" ref="M53:O54" ca="1" si="0">D55</f>
        <v>#REF!</v>
      </c>
      <c r="N53" s="3452" t="str">
        <f t="shared" si="0"/>
        <v>销售额×税（费）率</v>
      </c>
      <c r="O53" s="2524" t="str">
        <f t="shared" si="0"/>
        <v>免征</v>
      </c>
    </row>
    <row r="54" spans="1:35" ht="12" customHeight="1">
      <c r="A54" s="3463" t="s">
        <v>1357</v>
      </c>
      <c r="B54" s="3611" t="s">
        <v>2283</v>
      </c>
      <c r="C54" s="3612"/>
      <c r="D54" s="1086" t="e">
        <f ca="1">C68</f>
        <v>#REF!</v>
      </c>
      <c r="E54" s="327" t="s">
        <v>1358</v>
      </c>
      <c r="F54" s="2552">
        <f>'数据-取费表'!B41</f>
        <v>5.6000000000000001E-2</v>
      </c>
      <c r="G54" s="2553"/>
      <c r="H54" s="2554"/>
      <c r="I54" s="1805"/>
      <c r="J54" s="3452">
        <v>3</v>
      </c>
      <c r="K54" s="3650" t="s">
        <v>1359</v>
      </c>
      <c r="L54" s="3650"/>
      <c r="M54" s="2523" t="e">
        <f t="shared" ca="1" si="0"/>
        <v>#REF!</v>
      </c>
      <c r="N54" s="3452" t="str">
        <f t="shared" si="0"/>
        <v>增值额×税（费）率</v>
      </c>
      <c r="O54" s="2525" t="str">
        <f t="shared" si="0"/>
        <v>免征</v>
      </c>
    </row>
    <row r="55" spans="1:35" ht="24" customHeight="1">
      <c r="A55" s="3600" t="s">
        <v>1360</v>
      </c>
      <c r="B55" s="3601"/>
      <c r="C55" s="3601"/>
      <c r="D55" s="3449" t="e">
        <f ca="1">IF(H55="个人住宅",0,ROUND(D45*I55,0))</f>
        <v>#REF!</v>
      </c>
      <c r="E55" s="3462" t="s">
        <v>1361</v>
      </c>
      <c r="F55" s="2552" t="str">
        <f>IF(H55="正常",I55,"免征")</f>
        <v>免征</v>
      </c>
      <c r="G55" s="2553"/>
      <c r="H55" s="2548"/>
      <c r="I55" s="165">
        <f>'数据-取费表'!B49</f>
        <v>5.0000000000000001E-4</v>
      </c>
      <c r="J55" s="3452">
        <f>IF(H59="非个人房产","",4)</f>
        <v>4</v>
      </c>
      <c r="K55" s="3650" t="str">
        <f>IF(H59="非个人房产","——","个人所得税")</f>
        <v>个人所得税</v>
      </c>
      <c r="L55" s="3650"/>
      <c r="M55" s="2526" t="e">
        <f ca="1">D59</f>
        <v>#REF!</v>
      </c>
      <c r="N55" s="3453" t="str">
        <f>E59</f>
        <v>差额计税</v>
      </c>
      <c r="O55" s="2527">
        <f>F59</f>
        <v>0.01</v>
      </c>
    </row>
    <row r="56" spans="1:35" ht="24.75">
      <c r="A56" s="3600" t="s">
        <v>1362</v>
      </c>
      <c r="B56" s="3601"/>
      <c r="C56" s="3601"/>
      <c r="D56" s="3449" t="e">
        <f ca="1">IF(H56="个人住宅",D57,D58)</f>
        <v>#REF!</v>
      </c>
      <c r="E56" s="3462" t="s">
        <v>1363</v>
      </c>
      <c r="F56" s="2552" t="str">
        <f>IF(H56="正常",F58,"免征")</f>
        <v>免征</v>
      </c>
      <c r="G56" s="2555" t="s">
        <v>1364</v>
      </c>
      <c r="H56" s="2556"/>
      <c r="I56" s="1806"/>
      <c r="J56" s="3452" t="str">
        <f>IF(项目基本情况!K6="上海银行",IF(J55="",4,J55+1),"")</f>
        <v/>
      </c>
      <c r="K56" s="3673" t="str">
        <f>IF(项目基本情况!K6="上海银行","其他处置费用","")</f>
        <v/>
      </c>
      <c r="L56" s="3674"/>
      <c r="M56" s="2523" t="str">
        <f>IF(项目基本情况!K6="上海银行",M69,"")</f>
        <v/>
      </c>
      <c r="N56" s="3673" t="str">
        <f>IF(项目基本情况!K6="上海银行","包含处置中涉及的律师、诉讼、拍卖、评估等费用","")</f>
        <v/>
      </c>
      <c r="O56" s="3676"/>
    </row>
    <row r="57" spans="1:35" ht="12.75">
      <c r="A57" s="3463" t="s">
        <v>1340</v>
      </c>
      <c r="B57" s="3611" t="s">
        <v>1365</v>
      </c>
      <c r="C57" s="3612"/>
      <c r="D57" s="1588">
        <v>0</v>
      </c>
      <c r="E57" s="324" t="s">
        <v>1342</v>
      </c>
      <c r="F57" s="302"/>
      <c r="G57" s="2553"/>
      <c r="H57" s="2557"/>
      <c r="I57" s="1806"/>
      <c r="J57" s="3650">
        <f>IF(AND(J55="",J56=""),4,IF(项目基本情况!K6="上海银行",结果表商业!J56+1,结果表商业!J55+1))</f>
        <v>5</v>
      </c>
      <c r="K57" s="3650" t="s">
        <v>1366</v>
      </c>
      <c r="L57" s="2528" t="s">
        <v>1367</v>
      </c>
      <c r="M57" s="2529"/>
      <c r="N57" s="2530">
        <f ca="1">SUMIF(M52:M56,"&lt;9e307")</f>
        <v>0</v>
      </c>
      <c r="O57" s="2531"/>
      <c r="P57" s="2687" t="e">
        <f ca="1">N57/M49</f>
        <v>#VALUE!</v>
      </c>
    </row>
    <row r="58" spans="1:35" ht="24.75">
      <c r="A58" s="3463" t="s">
        <v>1351</v>
      </c>
      <c r="B58" s="3611" t="s">
        <v>1368</v>
      </c>
      <c r="C58" s="3585"/>
      <c r="D58" s="3449" t="e">
        <f ca="1">IF(H58="转让取得",C81,C97)</f>
        <v>#REF!</v>
      </c>
      <c r="E58" s="3462" t="s">
        <v>1363</v>
      </c>
      <c r="F58" s="302" t="s">
        <v>28</v>
      </c>
      <c r="G58" s="2553"/>
      <c r="H58" s="2556"/>
      <c r="I58" s="1806"/>
      <c r="J58" s="3650"/>
      <c r="K58" s="3650"/>
      <c r="L58" s="2528" t="s">
        <v>1369</v>
      </c>
      <c r="M58" s="2532"/>
      <c r="N58" s="2533" t="str">
        <f ca="1">NUMBERSTRING(INT(N57*10000),2)&amp;"元整"</f>
        <v>零元整</v>
      </c>
      <c r="O58" s="2534"/>
    </row>
    <row r="59" spans="1:35" ht="24.75" thickBot="1">
      <c r="A59" s="3653" t="s">
        <v>1370</v>
      </c>
      <c r="B59" s="3654"/>
      <c r="C59" s="365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51">
        <f>J57+1</f>
        <v>6</v>
      </c>
      <c r="K59" s="3650" t="s">
        <v>1371</v>
      </c>
      <c r="L59" s="3452" t="s">
        <v>1367</v>
      </c>
      <c r="M59" s="2535"/>
      <c r="N59" s="2536" t="e">
        <f ca="1">M49-N57</f>
        <v>#VALUE!</v>
      </c>
      <c r="O59" s="2537"/>
    </row>
    <row r="60" spans="1:35" ht="12" customHeight="1">
      <c r="A60" s="1807"/>
      <c r="B60" s="1745"/>
      <c r="C60" s="1745"/>
      <c r="D60" s="1745"/>
      <c r="E60" s="1576"/>
      <c r="F60" s="1806"/>
      <c r="G60" s="1806"/>
      <c r="H60" s="1808"/>
      <c r="I60" s="129"/>
      <c r="J60" s="3652"/>
      <c r="K60" s="3650"/>
      <c r="L60" s="2528" t="s">
        <v>1369</v>
      </c>
      <c r="M60" s="2532"/>
      <c r="N60" s="2533" t="e">
        <f ca="1">NUMBERSTRING(INT(N59*10000),2)&amp;"元整"</f>
        <v>#VALUE!</v>
      </c>
      <c r="O60" s="2534"/>
    </row>
    <row r="61" spans="1:35" ht="13.5" thickBot="1">
      <c r="A61" s="3598" t="s">
        <v>1372</v>
      </c>
      <c r="B61" s="3598"/>
      <c r="C61" s="3598"/>
      <c r="D61" s="3598"/>
      <c r="E61" s="3598"/>
      <c r="F61" s="1806"/>
      <c r="G61" s="1806"/>
      <c r="H61" s="1808"/>
      <c r="I61" s="129"/>
      <c r="J61" s="3452">
        <f>J59+1</f>
        <v>7</v>
      </c>
      <c r="K61" s="3650" t="s">
        <v>1373</v>
      </c>
      <c r="L61" s="3650"/>
      <c r="M61" s="2538"/>
      <c r="N61" s="2539" t="e">
        <f ca="1">ROUND(N59*10000/'数据-汇总表'!E3,0)</f>
        <v>#VALUE!</v>
      </c>
      <c r="O61" s="2540"/>
    </row>
    <row r="62" spans="1:35" ht="12.75">
      <c r="A62" s="3616" t="s">
        <v>1374</v>
      </c>
      <c r="B62" s="3617"/>
      <c r="C62" s="3457"/>
      <c r="D62" s="3457" t="s">
        <v>1375</v>
      </c>
      <c r="E62" s="166" t="s">
        <v>1376</v>
      </c>
      <c r="F62" s="1806"/>
      <c r="G62" s="1806"/>
      <c r="H62" s="1808"/>
      <c r="I62" s="129"/>
    </row>
    <row r="63" spans="1:35" ht="12.75">
      <c r="A63" s="173" t="s">
        <v>330</v>
      </c>
      <c r="B63" s="167" t="s">
        <v>1377</v>
      </c>
      <c r="C63" s="2562" t="e">
        <f ca="1">ROUND((C64+C65)/(1+'数据-取费表'!C42),0)</f>
        <v>#REF!</v>
      </c>
      <c r="D63" s="167"/>
      <c r="E63" s="168"/>
      <c r="F63" s="1806"/>
      <c r="G63" s="1806"/>
      <c r="H63" s="1808"/>
      <c r="I63" s="129"/>
      <c r="J63" s="3675" t="s">
        <v>1378</v>
      </c>
      <c r="K63" s="3450" t="s">
        <v>1379</v>
      </c>
      <c r="L63" s="3450"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t="e">
        <f ca="1">D45</f>
        <v>#REF!</v>
      </c>
      <c r="D64" s="170" t="s">
        <v>26</v>
      </c>
      <c r="E64" s="172"/>
      <c r="F64" s="1806"/>
      <c r="G64" s="1806"/>
      <c r="H64" s="1808"/>
      <c r="I64" s="129"/>
      <c r="J64" s="3675"/>
      <c r="K64" s="3450" t="s">
        <v>1381</v>
      </c>
      <c r="L64" s="345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75"/>
      <c r="K65" s="3450" t="s">
        <v>1384</v>
      </c>
      <c r="L65" s="3450"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75"/>
      <c r="K66" s="3450" t="s">
        <v>1386</v>
      </c>
      <c r="L66" s="3450" t="e">
        <f>M49*0.5%</f>
        <v>#VALUE!</v>
      </c>
      <c r="M66" s="302" t="e">
        <f>IF(L66&gt;0.5,0.5,ROUND(L66,0))</f>
        <v>#VALUE!</v>
      </c>
      <c r="N66" s="2542" t="s">
        <v>1387</v>
      </c>
      <c r="Z66" s="1750"/>
      <c r="AI66" s="1751"/>
    </row>
    <row r="67" spans="1:35" ht="14.25" customHeight="1">
      <c r="A67" s="173" t="s">
        <v>328</v>
      </c>
      <c r="B67" s="174" t="s">
        <v>1388</v>
      </c>
      <c r="C67" s="2566" t="e">
        <f ca="1">C63-C66</f>
        <v>#REF!</v>
      </c>
      <c r="D67" s="170" t="s">
        <v>26</v>
      </c>
      <c r="E67" s="172"/>
      <c r="F67" s="1806"/>
      <c r="G67" s="1806"/>
      <c r="H67" s="1808"/>
      <c r="I67" s="129"/>
      <c r="J67" s="3675"/>
      <c r="K67" s="3450" t="s">
        <v>1389</v>
      </c>
      <c r="L67" s="345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t="e">
        <f ca="1">IF(C67&lt;=0,0,ROUND(C67*D68,0))</f>
        <v>#REF!</v>
      </c>
      <c r="D68" s="2568">
        <f>'数据-取费表'!B41</f>
        <v>5.6000000000000001E-2</v>
      </c>
      <c r="E68" s="178"/>
      <c r="F68" s="1806"/>
      <c r="G68" s="1806"/>
      <c r="H68" s="1808"/>
      <c r="I68" s="129"/>
      <c r="J68" s="3675"/>
      <c r="K68" s="3450" t="s">
        <v>1391</v>
      </c>
      <c r="L68" s="345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75"/>
      <c r="K69" s="3450" t="s">
        <v>1392</v>
      </c>
      <c r="L69" s="3450"/>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37" t="s">
        <v>1393</v>
      </c>
      <c r="B70" s="3638"/>
      <c r="C70" s="3638"/>
      <c r="D70" s="3638"/>
      <c r="E70" s="3638"/>
      <c r="F70" s="3638"/>
      <c r="G70" s="3638"/>
      <c r="H70" s="363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6" t="s">
        <v>1374</v>
      </c>
      <c r="B71" s="3617"/>
      <c r="C71" s="3457"/>
      <c r="D71" s="3457"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t="e">
        <f ca="1">ROUND(D45/(1+'数据-取费表'!C42),0)</f>
        <v>#REF!</v>
      </c>
      <c r="D72" s="170" t="s">
        <v>26</v>
      </c>
      <c r="E72" s="3459"/>
      <c r="F72" s="3458"/>
      <c r="G72" s="345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t="e">
        <f ca="1">C74+C78</f>
        <v>#REF!</v>
      </c>
      <c r="D73" s="170" t="s">
        <v>26</v>
      </c>
      <c r="E73" s="3459"/>
      <c r="F73" s="3458"/>
      <c r="G73" s="345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3459"/>
      <c r="F74" s="3458"/>
      <c r="G74" s="345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11" t="s">
        <v>1401</v>
      </c>
      <c r="F76" s="3585"/>
      <c r="G76" s="3585"/>
      <c r="H76" s="363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3449" t="s">
        <v>1403</v>
      </c>
      <c r="F77" s="186"/>
      <c r="G77" s="1820"/>
      <c r="H77" s="346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t="e">
        <f ca="1">ROUND(D45*D78/(1+'数据-取费表'!C42),0)</f>
        <v>#REF!</v>
      </c>
      <c r="D78" s="2575">
        <f>'数据-取费表'!B43</f>
        <v>6.000000000000001E-3</v>
      </c>
      <c r="E78" s="3595" t="s">
        <v>1405</v>
      </c>
      <c r="F78" s="3596"/>
      <c r="G78" s="3596"/>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t="e">
        <f ca="1">C72-C73</f>
        <v>#REF!</v>
      </c>
      <c r="D79" s="170" t="s">
        <v>26</v>
      </c>
      <c r="E79" s="3459"/>
      <c r="F79" s="3458"/>
      <c r="G79" s="345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t="e">
        <f ca="1">IF(C79&lt;=0,0,C79/C73)</f>
        <v>#REF!</v>
      </c>
      <c r="D80" s="170" t="s">
        <v>26</v>
      </c>
      <c r="E80" s="3449" t="e">
        <f ca="1">IF(C80&gt;=200%,"增值额超过扣除项目金额200%",IF(C80&gt;=100%,"增值额超过扣除项目金额100%，未超过200%",IF(C80&gt;=50%,"增值额超过扣除项目金额50%，未超过100%",IF(C80&lt;50%,"增值额未超过扣除项目金额50%"))))</f>
        <v>#REF!</v>
      </c>
      <c r="F80" s="3458"/>
      <c r="G80" s="345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7" t="s">
        <v>1409</v>
      </c>
      <c r="B83" s="3638"/>
      <c r="C83" s="3638"/>
      <c r="D83" s="3638"/>
      <c r="E83" s="3638"/>
      <c r="F83" s="3638"/>
      <c r="G83" s="3638"/>
      <c r="H83" s="363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6" t="s">
        <v>1374</v>
      </c>
      <c r="B84" s="3617"/>
      <c r="C84" s="3457"/>
      <c r="D84" s="345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t="e">
        <f ca="1">ROUND(D45/(1+'数据-取费表'!C42),0)</f>
        <v>#REF!</v>
      </c>
      <c r="D85" s="170" t="s">
        <v>26</v>
      </c>
      <c r="E85" s="3459"/>
      <c r="F85" s="3458"/>
      <c r="G85" s="345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t="e">
        <f ca="1">IF(H88="仅含出让金",C87+C90+C91+C92+C93+C94,C87+C91+C92+C93+C94)</f>
        <v>#REF!</v>
      </c>
      <c r="D86" s="2579"/>
      <c r="E86" s="3459"/>
      <c r="F86" s="3458"/>
      <c r="G86" s="345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3454"/>
      <c r="F87" s="3455"/>
      <c r="G87" s="3455"/>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345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3455"/>
      <c r="G89" s="3455"/>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3455"/>
      <c r="G90" s="3677" t="s">
        <v>2124</v>
      </c>
      <c r="H90" s="3678"/>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595" t="s">
        <v>1418</v>
      </c>
      <c r="F91" s="3596"/>
      <c r="G91" s="359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595" t="s">
        <v>1421</v>
      </c>
      <c r="F92" s="3596"/>
      <c r="G92" s="3596"/>
      <c r="H92" s="3605"/>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t="e">
        <f ca="1">ROUND(D45*D93/(1+'数据-取费表'!C42),0)</f>
        <v>#REF!</v>
      </c>
      <c r="D93" s="2575">
        <f>'数据-取费表'!B43</f>
        <v>6.000000000000001E-3</v>
      </c>
      <c r="E93" s="3595" t="s">
        <v>1405</v>
      </c>
      <c r="F93" s="3596"/>
      <c r="G93" s="3596"/>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06" t="s">
        <v>1425</v>
      </c>
      <c r="F94" s="3607"/>
      <c r="G94" s="3607"/>
      <c r="H94" s="360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t="e">
        <f ca="1">ROUND(C85-C86,0)</f>
        <v>#REF!</v>
      </c>
      <c r="D95" s="170" t="s">
        <v>26</v>
      </c>
      <c r="E95" s="3459"/>
      <c r="F95" s="3458"/>
      <c r="G95" s="345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t="e">
        <f ca="1">IF(C95&lt;=0,0,C95/C86)</f>
        <v>#REF!</v>
      </c>
      <c r="D96" s="170" t="s">
        <v>26</v>
      </c>
      <c r="E96" s="3449" t="e">
        <f ca="1">IF(C96&gt;=200%,"增值额超过扣除项目金额200%",IF(C96&gt;=100%,"增值额超过扣除项目金额100%，未超过200%",IF(C96&gt;=50%,"增值额超过扣除项目金额50%，未超过100%",IF(C96&lt;50%,"增值额未超过扣除项目金额50%"))))</f>
        <v>#REF!</v>
      </c>
      <c r="F96" s="3458"/>
      <c r="G96" s="345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79" t="s">
        <v>1427</v>
      </c>
      <c r="B100" s="3580"/>
      <c r="C100" s="3580"/>
      <c r="D100" s="3597"/>
      <c r="E100" s="3580" t="s">
        <v>1428</v>
      </c>
      <c r="F100" s="3580"/>
      <c r="G100" s="3580"/>
      <c r="H100" s="3597"/>
      <c r="I100" s="129"/>
    </row>
    <row r="101" spans="1:35" ht="18.75" customHeight="1">
      <c r="A101" s="3658" t="s">
        <v>1429</v>
      </c>
      <c r="B101" s="3659"/>
      <c r="C101" s="2583" t="str">
        <f>C4</f>
        <v>比较法-商业</v>
      </c>
      <c r="D101" s="2584" t="str">
        <f>D4</f>
        <v>收益法商业</v>
      </c>
      <c r="E101" s="3672" t="s">
        <v>1430</v>
      </c>
      <c r="F101" s="3629"/>
      <c r="G101" s="1825" t="s">
        <v>1431</v>
      </c>
      <c r="H101" s="2593" t="e">
        <f ca="1">H118</f>
        <v>#REF!</v>
      </c>
      <c r="I101" s="129"/>
    </row>
    <row r="102" spans="1:35" ht="18.75" customHeight="1">
      <c r="A102" s="3631" t="s">
        <v>1432</v>
      </c>
      <c r="B102" s="2582" t="s">
        <v>1431</v>
      </c>
      <c r="C102" s="2583">
        <f ca="1">IF(D32="楼面单价",ROUND(C19,0),C19)</f>
        <v>6492.0443999999998</v>
      </c>
      <c r="D102" s="2584" t="e">
        <f ca="1">IF(D32="楼面单价",ROUND(D19,0),D19)</f>
        <v>#REF!</v>
      </c>
      <c r="E102" s="3672"/>
      <c r="F102" s="3629"/>
      <c r="G102" s="1825" t="s">
        <v>1433</v>
      </c>
      <c r="H102" s="2553" t="e">
        <f ca="1">I118</f>
        <v>#REF!</v>
      </c>
      <c r="I102" s="129"/>
    </row>
    <row r="103" spans="1:35" ht="42.75" customHeight="1">
      <c r="A103" s="3631"/>
      <c r="B103" s="2582" t="s">
        <v>1433</v>
      </c>
      <c r="C103" s="2585">
        <f ca="1">C20</f>
        <v>53360</v>
      </c>
      <c r="D103" s="2586" t="e">
        <f ca="1">D20</f>
        <v>#REF!</v>
      </c>
      <c r="E103" s="3666" t="s">
        <v>1434</v>
      </c>
      <c r="F103" s="3667"/>
      <c r="G103" s="1826" t="s">
        <v>1435</v>
      </c>
      <c r="H103" s="2593">
        <f>IF(D36="正常操作",H104+H105+H106,H105+H106)</f>
        <v>0</v>
      </c>
      <c r="I103" s="129"/>
    </row>
    <row r="104" spans="1:35" ht="18.75" customHeight="1">
      <c r="A104" s="3631" t="s">
        <v>1436</v>
      </c>
      <c r="B104" s="2587" t="s">
        <v>1431</v>
      </c>
      <c r="C104" s="2588" t="e">
        <f ca="1">H118</f>
        <v>#REF!</v>
      </c>
      <c r="D104" s="2589"/>
      <c r="E104" s="1672" t="s">
        <v>1437</v>
      </c>
      <c r="F104" s="1664"/>
      <c r="G104" s="1826" t="s">
        <v>1435</v>
      </c>
      <c r="H104" s="2594">
        <f>IF(D36="同一抵押权人同一抵押物续贷",C36&amp;"（续贷，未扣减，详见特别提示）",C36)</f>
        <v>0</v>
      </c>
      <c r="I104" s="129"/>
    </row>
    <row r="105" spans="1:35" ht="18.75" customHeight="1" thickBot="1">
      <c r="A105" s="3632"/>
      <c r="B105" s="2590" t="s">
        <v>1433</v>
      </c>
      <c r="C105" s="2591" t="e">
        <f ca="1">I118</f>
        <v>#REF!</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28" t="str">
        <f>IF(项目基本情况!E8="已注销","——","3.房地产抵押价值")</f>
        <v>3.房地产抵押价值</v>
      </c>
      <c r="F107" s="3629"/>
      <c r="G107" s="1825" t="s">
        <v>1431</v>
      </c>
      <c r="H107" s="2593" t="e">
        <f ca="1">IF(E107="——","——",H101-H103)</f>
        <v>#REF!</v>
      </c>
      <c r="I107" s="129"/>
    </row>
    <row r="108" spans="1:35" ht="18.75" customHeight="1">
      <c r="A108" s="129"/>
      <c r="B108" s="129"/>
      <c r="C108" s="129"/>
      <c r="D108" s="129"/>
      <c r="E108" s="3628"/>
      <c r="F108" s="3629"/>
      <c r="G108" s="1825" t="s">
        <v>1433</v>
      </c>
      <c r="H108" s="2553">
        <f ca="1">IF(H107=H101,H102,ROUND(H107*10000/'数据-汇总表'!E3,0))</f>
        <v>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5" t="s">
        <v>1431</v>
      </c>
      <c r="H109" s="2596" t="str">
        <f>IF(E109="——","——",H101-H105-H106)</f>
        <v>——</v>
      </c>
      <c r="I109" s="129"/>
    </row>
    <row r="110" spans="1:35" ht="18.75" customHeight="1">
      <c r="A110" s="129"/>
      <c r="B110" s="129"/>
      <c r="C110" s="129"/>
      <c r="D110" s="129"/>
      <c r="E110" s="3628"/>
      <c r="F110" s="3629"/>
      <c r="G110" s="1825" t="s">
        <v>1433</v>
      </c>
      <c r="H110" s="2553"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5" t="s">
        <v>1431</v>
      </c>
      <c r="H111" s="2593" t="str">
        <f>IF(E111="——","——",N59)</f>
        <v>——</v>
      </c>
      <c r="I111" s="129"/>
    </row>
    <row r="112" spans="1:35" ht="18.75" customHeight="1" thickBot="1">
      <c r="A112" s="129"/>
      <c r="B112" s="129"/>
      <c r="C112" s="129"/>
      <c r="D112" s="129"/>
      <c r="E112" s="3661"/>
      <c r="F112" s="3662"/>
      <c r="G112" s="1828" t="s">
        <v>1433</v>
      </c>
      <c r="H112" s="2597" t="str">
        <f>IF(E111="——","——",N61)</f>
        <v>——</v>
      </c>
      <c r="I112" s="129"/>
    </row>
    <row r="113" spans="1:27" ht="18.75" customHeight="1">
      <c r="A113" s="129"/>
      <c r="B113" s="129"/>
      <c r="C113" s="129"/>
      <c r="D113" s="129"/>
      <c r="E113" s="3633" t="s">
        <v>1439</v>
      </c>
      <c r="F113" s="3633"/>
      <c r="G113" s="3633"/>
      <c r="H113" s="3633"/>
      <c r="I113" s="129"/>
    </row>
    <row r="114" spans="1:27" ht="3.75" customHeight="1">
      <c r="A114" s="1745"/>
      <c r="B114" s="1745"/>
      <c r="C114" s="1745"/>
      <c r="D114" s="1745"/>
      <c r="E114" s="1807"/>
      <c r="F114" s="1807"/>
      <c r="G114" s="1807"/>
      <c r="H114" s="1807"/>
      <c r="I114" s="1745"/>
    </row>
    <row r="115" spans="1:27" ht="18.75" customHeight="1">
      <c r="A115" s="3643" t="s">
        <v>1441</v>
      </c>
      <c r="B115" s="3644"/>
      <c r="C115" s="3644"/>
      <c r="D115" s="3644"/>
      <c r="E115" s="3644"/>
      <c r="F115" s="3644"/>
      <c r="G115" s="3644"/>
      <c r="H115" s="3644"/>
      <c r="I115" s="3645"/>
    </row>
    <row r="116" spans="1:27" ht="27" customHeight="1">
      <c r="A116" s="3599" t="s">
        <v>1442</v>
      </c>
      <c r="B116" s="3634" t="s">
        <v>1443</v>
      </c>
      <c r="C116" s="3634" t="s">
        <v>1444</v>
      </c>
      <c r="D116" s="3647" t="s">
        <v>1445</v>
      </c>
      <c r="E116" s="3648"/>
      <c r="F116" s="3642" t="s">
        <v>1446</v>
      </c>
      <c r="G116" s="3642"/>
      <c r="H116" s="3599" t="s">
        <v>1447</v>
      </c>
      <c r="I116" s="3599"/>
    </row>
    <row r="117" spans="1:27" ht="18.75" customHeight="1">
      <c r="A117" s="3599"/>
      <c r="B117" s="3635"/>
      <c r="C117" s="3635"/>
      <c r="D117" s="3451" t="s">
        <v>1448</v>
      </c>
      <c r="E117" s="3451" t="s">
        <v>1449</v>
      </c>
      <c r="F117" s="3451" t="s">
        <v>1448</v>
      </c>
      <c r="G117" s="3451" t="s">
        <v>1450</v>
      </c>
      <c r="H117" s="3451" t="s">
        <v>1448</v>
      </c>
      <c r="I117" s="3451" t="s">
        <v>1450</v>
      </c>
    </row>
    <row r="118" spans="1:27" ht="24.75" customHeight="1">
      <c r="A118" s="2598" t="str">
        <f>项目基本情况!S2</f>
        <v>北京市丰台区四方景园二区配套商业房地产</v>
      </c>
      <c r="B118" s="3451">
        <f>M18</f>
        <v>0</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t="e">
        <f ca="1">ROUND(IF(D32="总价",C32,I118*B118/10000),0)</f>
        <v>#REF!</v>
      </c>
      <c r="I118" s="3451" t="e">
        <f ca="1">ROUND(IF(D32="楼面单价",C32,H118*10000/B118),0)</f>
        <v>#REF!</v>
      </c>
    </row>
    <row r="119" spans="1:27" ht="18.75" customHeight="1">
      <c r="A119" s="3599" t="s">
        <v>1451</v>
      </c>
      <c r="B119" s="3599"/>
      <c r="C119" s="3599"/>
      <c r="D119" s="3639" t="e">
        <f ca="1">NUMBERSTRING(INT(D118*10000),2)&amp;"元整"</f>
        <v>#REF!</v>
      </c>
      <c r="E119" s="3641"/>
      <c r="F119" s="3639" t="e">
        <f ca="1">NUMBERSTRING(INT(F118*10000),2)&amp;"元整"</f>
        <v>#REF!</v>
      </c>
      <c r="G119" s="3641"/>
      <c r="H119" s="3639" t="e">
        <f ca="1">NUMBERSTRING(INT(H118*10000),2)&amp;"元整"</f>
        <v>#REF!</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9" t="s">
        <v>1451</v>
      </c>
      <c r="B121" s="3640"/>
      <c r="C121" s="3641"/>
      <c r="D121" s="3639" t="str">
        <f>IF(D120=0,"零元整",NUMBERSTRING(INT(D120*10000),2)&amp;"元整")</f>
        <v>零元整</v>
      </c>
      <c r="E121" s="3640"/>
      <c r="F121" s="3640"/>
      <c r="G121" s="3640"/>
      <c r="H121" s="3640"/>
      <c r="I121" s="3641"/>
      <c r="AA121" s="724"/>
    </row>
    <row r="122" spans="1:27" ht="18.75" customHeight="1">
      <c r="A122" s="3630" t="str">
        <f>IF(项目基本情况!B9="房地产市场价值","",MID(E107,3,LEN(E107)-2))</f>
        <v>房地产抵押价值</v>
      </c>
      <c r="B122" s="3630"/>
      <c r="C122" s="3630"/>
      <c r="D122" s="3663" t="e">
        <f ca="1">H107</f>
        <v>#REF!</v>
      </c>
      <c r="E122" s="3664"/>
      <c r="F122" s="3664"/>
      <c r="G122" s="3664"/>
      <c r="H122" s="3664"/>
      <c r="I122" s="3665"/>
      <c r="AA122" s="724"/>
    </row>
    <row r="123" spans="1:27" ht="18.75" customHeight="1">
      <c r="A123" s="3599" t="s">
        <v>1451</v>
      </c>
      <c r="B123" s="3599"/>
      <c r="C123" s="3599"/>
      <c r="D123" s="3639" t="e">
        <f ca="1">NUMBERSTRING(INT(D122*10000),2)&amp;"元整"</f>
        <v>#REF!</v>
      </c>
      <c r="E123" s="3640"/>
      <c r="F123" s="3640"/>
      <c r="G123" s="3640"/>
      <c r="H123" s="3640"/>
      <c r="I123" s="3641"/>
      <c r="AA123" s="724"/>
    </row>
    <row r="124" spans="1:27" ht="18.75" customHeight="1">
      <c r="A124" s="3630" t="str">
        <f>IF(项目基本情况!B9="房地产市场价值","",MID(E109,3,LEN(E109)-2))</f>
        <v/>
      </c>
      <c r="B124" s="3630"/>
      <c r="C124" s="3630"/>
      <c r="D124" s="3663" t="str">
        <f>H109</f>
        <v>——</v>
      </c>
      <c r="E124" s="3664"/>
      <c r="F124" s="3664"/>
      <c r="G124" s="3664"/>
      <c r="H124" s="3664"/>
      <c r="I124" s="3665"/>
      <c r="AA124" s="724"/>
    </row>
    <row r="125" spans="1:27" ht="18.75" customHeight="1">
      <c r="A125" s="3599" t="s">
        <v>1451</v>
      </c>
      <c r="B125" s="3599"/>
      <c r="C125" s="3599"/>
      <c r="D125" s="3639" t="e">
        <f>NUMBERSTRING(INT(D124*10000),2)&amp;"元整"</f>
        <v>#VALUE!</v>
      </c>
      <c r="E125" s="3640"/>
      <c r="F125" s="3640"/>
      <c r="G125" s="3640"/>
      <c r="H125" s="3640"/>
      <c r="I125" s="3641"/>
      <c r="AA125" s="724"/>
    </row>
    <row r="126" spans="1:27" ht="18.75" customHeight="1">
      <c r="A126" s="3630" t="str">
        <f>IF(项目基本情况!B9="房地产市场价值","",MID(E111,3,LEN(E111)-2))</f>
        <v/>
      </c>
      <c r="B126" s="3630"/>
      <c r="C126" s="3630"/>
      <c r="D126" s="3663" t="str">
        <f>H111</f>
        <v>——</v>
      </c>
      <c r="E126" s="3664"/>
      <c r="F126" s="3664"/>
      <c r="G126" s="3664"/>
      <c r="H126" s="3664"/>
      <c r="I126" s="3665"/>
      <c r="AA126" s="724"/>
    </row>
    <row r="127" spans="1:27" ht="18.75" customHeight="1">
      <c r="A127" s="3599" t="s">
        <v>1451</v>
      </c>
      <c r="B127" s="3599"/>
      <c r="C127" s="3599"/>
      <c r="D127" s="3639" t="e">
        <f>NUMBERSTRING(INT(D126*10000),2)&amp;"元整"</f>
        <v>#VALUE!</v>
      </c>
      <c r="E127" s="3640"/>
      <c r="F127" s="3640"/>
      <c r="G127" s="3640"/>
      <c r="H127" s="3640"/>
      <c r="I127" s="3641"/>
      <c r="AA127" s="724"/>
    </row>
    <row r="128" spans="1:27" ht="21.75" customHeight="1">
      <c r="A128" s="3646" t="s">
        <v>1452</v>
      </c>
      <c r="B128" s="3646"/>
      <c r="C128" s="3646"/>
      <c r="D128" s="3646"/>
      <c r="E128" s="3646"/>
      <c r="F128" s="3646"/>
      <c r="G128" s="3646"/>
      <c r="H128" s="3646"/>
      <c r="I128" s="3646"/>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K22" sqref="K22"/>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3610</v>
      </c>
      <c r="E1" s="3423" t="s">
        <v>3511</v>
      </c>
      <c r="F1" s="1877" t="s">
        <v>3512</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f>IF(E1="项目模式",IF(C2="——",ROUND(C49*D3/10000,0),ROUND(C49*D3/10000,0)-D2),IF(E1="单套模式",IF(C2="——",ROUND(C49*D3/10000,4),ROUND(C49*D3/10000,4)-D2)))</f>
        <v>6492.0443999999998</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53360</v>
      </c>
      <c r="C3" s="354" t="s">
        <v>1767</v>
      </c>
      <c r="D3" s="353">
        <f>IF(D1="",'数据-汇总表'!E3,SUMIF('数据-汇总表'!$C19:$C33,D1,'数据-汇总表'!$E19:$E33))</f>
        <v>1216.6500000000001</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05" t="s">
        <v>1769</v>
      </c>
      <c r="D4" s="3706"/>
      <c r="E4" s="3707" t="s">
        <v>1770</v>
      </c>
      <c r="F4" s="3708"/>
      <c r="G4" s="3705" t="s">
        <v>1771</v>
      </c>
      <c r="H4" s="3706"/>
      <c r="I4" s="3705" t="s">
        <v>1772</v>
      </c>
      <c r="J4" s="3706"/>
      <c r="K4" s="559" t="s">
        <v>1773</v>
      </c>
      <c r="L4" s="2712"/>
      <c r="M4" s="2713"/>
      <c r="N4" s="2713"/>
      <c r="O4" s="2713"/>
      <c r="P4" s="3748" t="s">
        <v>1774</v>
      </c>
      <c r="Q4" s="3749"/>
      <c r="R4" s="3752" t="s">
        <v>1770</v>
      </c>
      <c r="S4" s="3753"/>
      <c r="T4" s="3752" t="s">
        <v>1771</v>
      </c>
      <c r="U4" s="3753"/>
      <c r="V4" s="3722" t="s">
        <v>1772</v>
      </c>
      <c r="W4" s="3722"/>
      <c r="X4" s="1353"/>
      <c r="Y4" s="3752" t="s">
        <v>1774</v>
      </c>
      <c r="Z4" s="3753"/>
      <c r="AA4" s="3747" t="s">
        <v>1770</v>
      </c>
      <c r="AB4" s="3722" t="s">
        <v>1771</v>
      </c>
      <c r="AC4" s="3747" t="s">
        <v>1772</v>
      </c>
    </row>
    <row r="5" spans="1:29" ht="15" customHeight="1">
      <c r="A5" s="358"/>
      <c r="B5" s="359"/>
      <c r="C5" s="3731" t="s">
        <v>1672</v>
      </c>
      <c r="D5" s="3732"/>
      <c r="E5" s="3725" t="s">
        <v>3622</v>
      </c>
      <c r="F5" s="3726"/>
      <c r="G5" s="3725" t="s">
        <v>3622</v>
      </c>
      <c r="H5" s="3726"/>
      <c r="I5" s="3754" t="s">
        <v>3626</v>
      </c>
      <c r="J5" s="3732"/>
      <c r="K5" s="559"/>
      <c r="L5" s="2712"/>
      <c r="M5" s="2713"/>
      <c r="N5" s="2713"/>
      <c r="O5" s="2713"/>
      <c r="P5" s="3750"/>
      <c r="Q5" s="3712"/>
      <c r="R5" s="3717"/>
      <c r="S5" s="3718"/>
      <c r="T5" s="3717"/>
      <c r="U5" s="3718"/>
      <c r="V5" s="3722"/>
      <c r="W5" s="3722"/>
      <c r="X5" s="1353"/>
      <c r="Y5" s="3717"/>
      <c r="Z5" s="3718"/>
      <c r="AA5" s="3736"/>
      <c r="AB5" s="3722"/>
      <c r="AC5" s="3736"/>
    </row>
    <row r="6" spans="1:29" ht="15.75" thickBot="1">
      <c r="A6" s="360"/>
      <c r="B6" s="361"/>
      <c r="C6" s="3723" t="s">
        <v>1676</v>
      </c>
      <c r="D6" s="3724"/>
      <c r="E6" s="3733" t="s">
        <v>1676</v>
      </c>
      <c r="F6" s="3734"/>
      <c r="G6" s="3723" t="s">
        <v>1676</v>
      </c>
      <c r="H6" s="3724"/>
      <c r="I6" s="3723" t="s">
        <v>1676</v>
      </c>
      <c r="J6" s="3724"/>
      <c r="K6" s="559" t="s">
        <v>1677</v>
      </c>
      <c r="L6" s="2712"/>
      <c r="M6" s="2713"/>
      <c r="N6" s="2713"/>
      <c r="O6" s="2713"/>
      <c r="P6" s="3751"/>
      <c r="Q6" s="3714"/>
      <c r="R6" s="3717"/>
      <c r="S6" s="3718"/>
      <c r="T6" s="3719"/>
      <c r="U6" s="3720"/>
      <c r="V6" s="3722"/>
      <c r="W6" s="3722"/>
      <c r="X6" s="1353"/>
      <c r="Y6" s="3719"/>
      <c r="Z6" s="3720"/>
      <c r="AA6" s="3737"/>
      <c r="AB6" s="3722"/>
      <c r="AC6" s="3737"/>
    </row>
    <row r="7" spans="1:29" s="108" customFormat="1" ht="15.75" thickBot="1">
      <c r="A7" s="362" t="s">
        <v>1678</v>
      </c>
      <c r="B7" s="363"/>
      <c r="C7" s="364">
        <f>'数据-取费表'!B2</f>
        <v>45069</v>
      </c>
      <c r="D7" s="365">
        <v>100</v>
      </c>
      <c r="E7" s="366">
        <v>45047</v>
      </c>
      <c r="F7" s="367">
        <f>SUMIF(58:58,YEAR(E7)&amp;"-"&amp;MONTH(E7),59:59)</f>
        <v>100</v>
      </c>
      <c r="G7" s="366">
        <v>45047</v>
      </c>
      <c r="H7" s="365">
        <f>SUMIF(58:58,YEAR(G7)&amp;"-"&amp;MONTH(G7),59:59)</f>
        <v>100</v>
      </c>
      <c r="I7" s="366">
        <v>45047</v>
      </c>
      <c r="J7" s="365">
        <f>SUMIF(58:58,YEAR(I7)&amp;"-"&amp;MONTH(I7),59:59)</f>
        <v>100</v>
      </c>
      <c r="K7" s="560"/>
      <c r="L7" s="2714"/>
      <c r="M7" s="2715"/>
      <c r="N7" s="2715"/>
      <c r="O7" s="2715"/>
      <c r="P7" s="3729" t="s">
        <v>1679</v>
      </c>
      <c r="Q7" s="3730"/>
      <c r="R7" s="700" t="s">
        <v>14</v>
      </c>
      <c r="S7" s="701">
        <f t="shared" ref="S7:S15" si="0">F7</f>
        <v>100</v>
      </c>
      <c r="T7" s="700" t="s">
        <v>14</v>
      </c>
      <c r="U7" s="701">
        <f t="shared" ref="U7:U15" si="1">H7</f>
        <v>100</v>
      </c>
      <c r="V7" s="700" t="s">
        <v>14</v>
      </c>
      <c r="W7" s="701">
        <f t="shared" ref="W7:W15" si="2">J7</f>
        <v>100</v>
      </c>
      <c r="X7" s="702"/>
      <c r="Y7" s="3729" t="s">
        <v>1679</v>
      </c>
      <c r="Z7" s="3728"/>
      <c r="AA7" s="703">
        <f>D7/F7</f>
        <v>1</v>
      </c>
      <c r="AB7" s="703">
        <f>D7/H7</f>
        <v>1</v>
      </c>
      <c r="AC7" s="703">
        <f>D7/J7</f>
        <v>1</v>
      </c>
    </row>
    <row r="8" spans="1:29" s="108" customFormat="1" ht="15.75" thickBot="1">
      <c r="A8" s="362" t="s">
        <v>1680</v>
      </c>
      <c r="B8" s="363"/>
      <c r="C8" s="368" t="s">
        <v>3508</v>
      </c>
      <c r="D8" s="365">
        <v>100</v>
      </c>
      <c r="E8" s="368" t="s">
        <v>3509</v>
      </c>
      <c r="F8" s="367">
        <f>SUMIF(61:61,E8,62:62)-SUMIF(61:61,C8,62:62)+100</f>
        <v>101</v>
      </c>
      <c r="G8" s="368" t="s">
        <v>3509</v>
      </c>
      <c r="H8" s="365">
        <f>SUMIF(61:61,G8,62:62)-SUMIF(61:61,C8,62:62)+100</f>
        <v>101</v>
      </c>
      <c r="I8" s="368" t="s">
        <v>3509</v>
      </c>
      <c r="J8" s="365">
        <f>SUMIF(61:61,I8,62:62)-SUMIF(61:61,C8,62:62)+100</f>
        <v>101</v>
      </c>
      <c r="K8" s="560"/>
      <c r="L8" s="2714"/>
      <c r="M8" s="2715"/>
      <c r="N8" s="2715"/>
      <c r="O8" s="2715"/>
      <c r="P8" s="3729" t="s">
        <v>1682</v>
      </c>
      <c r="Q8" s="3728"/>
      <c r="R8" s="700" t="s">
        <v>14</v>
      </c>
      <c r="S8" s="701">
        <f t="shared" si="0"/>
        <v>101</v>
      </c>
      <c r="T8" s="700" t="s">
        <v>14</v>
      </c>
      <c r="U8" s="701">
        <f t="shared" si="1"/>
        <v>101</v>
      </c>
      <c r="V8" s="700" t="s">
        <v>14</v>
      </c>
      <c r="W8" s="701">
        <f t="shared" si="2"/>
        <v>101</v>
      </c>
      <c r="X8" s="702"/>
      <c r="Y8" s="3729" t="s">
        <v>1682</v>
      </c>
      <c r="Z8" s="3728"/>
      <c r="AA8" s="703">
        <f t="shared" ref="AA8:AA46" si="3">D8/F8</f>
        <v>0.99009900990099009</v>
      </c>
      <c r="AB8" s="703">
        <f t="shared" ref="AB8:AB46" si="4">D8/H8</f>
        <v>0.99009900990099009</v>
      </c>
      <c r="AC8" s="703">
        <f t="shared" ref="AC8:AC46" si="5">D8/J8</f>
        <v>0.99009900990099009</v>
      </c>
    </row>
    <row r="9" spans="1:29" s="108" customFormat="1">
      <c r="A9" s="369" t="s">
        <v>1683</v>
      </c>
      <c r="B9" s="63" t="s">
        <v>1684</v>
      </c>
      <c r="C9" s="3467" t="s">
        <v>3601</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87" t="s">
        <v>1685</v>
      </c>
      <c r="Q9" s="1341"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7"/>
      <c r="Q10" s="1341"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87"/>
      <c r="Q11" s="1341"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7"/>
      <c r="Q12" s="1341">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7"/>
      <c r="Q13" s="1341">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7"/>
      <c r="Q14" s="1341">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19"/>
      <c r="M15" s="2713"/>
      <c r="N15" s="2713"/>
      <c r="O15" s="2713"/>
      <c r="P15" s="3693" t="s">
        <v>1690</v>
      </c>
      <c r="Q15" s="1350" t="str">
        <f t="shared" si="6"/>
        <v>商业繁华度</v>
      </c>
      <c r="R15" s="704" t="s">
        <v>14</v>
      </c>
      <c r="S15" s="705">
        <f t="shared" si="0"/>
        <v>100</v>
      </c>
      <c r="T15" s="704" t="s">
        <v>14</v>
      </c>
      <c r="U15" s="705">
        <f t="shared" si="1"/>
        <v>100</v>
      </c>
      <c r="V15" s="704" t="s">
        <v>14</v>
      </c>
      <c r="W15" s="705">
        <f t="shared" si="2"/>
        <v>100</v>
      </c>
      <c r="X15" s="1353"/>
      <c r="Y15" s="3695" t="s">
        <v>1690</v>
      </c>
      <c r="Z15" s="1354" t="str">
        <f t="shared" si="7"/>
        <v>商业繁华度</v>
      </c>
      <c r="AA15" s="1351">
        <f t="shared" si="3"/>
        <v>1</v>
      </c>
      <c r="AB15" s="1351">
        <f t="shared" si="4"/>
        <v>1</v>
      </c>
      <c r="AC15" s="1351">
        <f t="shared" si="5"/>
        <v>1</v>
      </c>
    </row>
    <row r="16" spans="1:29" ht="15">
      <c r="A16" s="379"/>
      <c r="B16" s="397"/>
      <c r="C16" s="398" t="s">
        <v>3558</v>
      </c>
      <c r="D16" s="399"/>
      <c r="E16" s="398" t="s">
        <v>3558</v>
      </c>
      <c r="F16" s="400"/>
      <c r="G16" s="398" t="s">
        <v>3558</v>
      </c>
      <c r="H16" s="401"/>
      <c r="I16" s="398" t="s">
        <v>3558</v>
      </c>
      <c r="J16" s="399"/>
      <c r="K16" s="564"/>
      <c r="L16" s="2719"/>
      <c r="M16" s="2713"/>
      <c r="N16" s="2713"/>
      <c r="O16" s="2713"/>
      <c r="P16" s="3694"/>
      <c r="Q16" s="1350"/>
      <c r="R16" s="704"/>
      <c r="S16" s="705"/>
      <c r="T16" s="704"/>
      <c r="U16" s="705"/>
      <c r="V16" s="704"/>
      <c r="W16" s="705"/>
      <c r="X16" s="1353"/>
      <c r="Y16" s="3696"/>
      <c r="Z16" s="1354"/>
      <c r="AA16" s="1351">
        <v>1</v>
      </c>
      <c r="AB16" s="1351">
        <v>1</v>
      </c>
      <c r="AC16" s="1351">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694"/>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351">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694"/>
      <c r="Q18" s="1350"/>
      <c r="R18" s="704"/>
      <c r="S18" s="705"/>
      <c r="T18" s="704"/>
      <c r="U18" s="705"/>
      <c r="V18" s="704"/>
      <c r="W18" s="705"/>
      <c r="X18" s="1353"/>
      <c r="Y18" s="3696"/>
      <c r="Z18" s="1354"/>
      <c r="AA18" s="1351">
        <v>1</v>
      </c>
      <c r="AB18" s="1351">
        <v>1</v>
      </c>
      <c r="AC18" s="1351">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694"/>
      <c r="Q19" s="1350" t="str">
        <f>B19</f>
        <v>公共配套设施</v>
      </c>
      <c r="R19" s="704" t="s">
        <v>14</v>
      </c>
      <c r="S19" s="705">
        <f>F19</f>
        <v>100</v>
      </c>
      <c r="T19" s="704" t="s">
        <v>14</v>
      </c>
      <c r="U19" s="705">
        <f>H19</f>
        <v>100</v>
      </c>
      <c r="V19" s="704" t="s">
        <v>14</v>
      </c>
      <c r="W19" s="705">
        <f>J19</f>
        <v>100</v>
      </c>
      <c r="X19" s="1353"/>
      <c r="Y19" s="3696"/>
      <c r="Z19" s="1354" t="str">
        <f>Q19</f>
        <v>公共配套设施</v>
      </c>
      <c r="AA19" s="1351">
        <f t="shared" si="3"/>
        <v>1</v>
      </c>
      <c r="AB19" s="1351">
        <f t="shared" si="4"/>
        <v>1</v>
      </c>
      <c r="AC19" s="1351">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694"/>
      <c r="Q20" s="1350"/>
      <c r="R20" s="704"/>
      <c r="S20" s="705"/>
      <c r="T20" s="704"/>
      <c r="U20" s="705"/>
      <c r="V20" s="704"/>
      <c r="W20" s="705"/>
      <c r="X20" s="1353"/>
      <c r="Y20" s="3696"/>
      <c r="Z20" s="1354"/>
      <c r="AA20" s="1351">
        <v>1</v>
      </c>
      <c r="AB20" s="1351">
        <v>1</v>
      </c>
      <c r="AC20" s="1351">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694"/>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351">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694"/>
      <c r="Q22" s="1350"/>
      <c r="R22" s="704"/>
      <c r="S22" s="705"/>
      <c r="T22" s="704"/>
      <c r="U22" s="705"/>
      <c r="V22" s="704"/>
      <c r="W22" s="705"/>
      <c r="X22" s="1353"/>
      <c r="Y22" s="3696"/>
      <c r="Z22" s="1354"/>
      <c r="AA22" s="1351">
        <v>1</v>
      </c>
      <c r="AB22" s="1351">
        <v>1</v>
      </c>
      <c r="AC22" s="1351">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694"/>
      <c r="Q23" s="1350" t="str">
        <f>B23</f>
        <v>自然及人文环境</v>
      </c>
      <c r="R23" s="704" t="s">
        <v>14</v>
      </c>
      <c r="S23" s="705">
        <f>F23</f>
        <v>100</v>
      </c>
      <c r="T23" s="704" t="s">
        <v>14</v>
      </c>
      <c r="U23" s="705">
        <f>H23</f>
        <v>100</v>
      </c>
      <c r="V23" s="704" t="s">
        <v>14</v>
      </c>
      <c r="W23" s="705">
        <f>J23</f>
        <v>100</v>
      </c>
      <c r="X23" s="1353"/>
      <c r="Y23" s="3696"/>
      <c r="Z23" s="1354" t="str">
        <f>Q23</f>
        <v>自然及人文环境</v>
      </c>
      <c r="AA23" s="1351">
        <f t="shared" si="3"/>
        <v>1</v>
      </c>
      <c r="AB23" s="1351">
        <f t="shared" si="4"/>
        <v>1</v>
      </c>
      <c r="AC23" s="1351">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694"/>
      <c r="Q24" s="1350"/>
      <c r="R24" s="704"/>
      <c r="S24" s="705"/>
      <c r="T24" s="704"/>
      <c r="U24" s="705"/>
      <c r="V24" s="704"/>
      <c r="W24" s="705"/>
      <c r="X24" s="1353"/>
      <c r="Y24" s="3696"/>
      <c r="Z24" s="1354"/>
      <c r="AA24" s="1351">
        <v>1</v>
      </c>
      <c r="AB24" s="1351">
        <v>1</v>
      </c>
      <c r="AC24" s="1351">
        <v>1</v>
      </c>
    </row>
    <row r="25" spans="1:29" ht="15">
      <c r="A25" s="379"/>
      <c r="B25" s="375" t="s">
        <v>1779</v>
      </c>
      <c r="C25" s="565" t="s">
        <v>3602</v>
      </c>
      <c r="D25" s="386">
        <v>100</v>
      </c>
      <c r="E25" s="565" t="s">
        <v>3602</v>
      </c>
      <c r="F25" s="412">
        <f>SUMIF(86:86,E25,87:87)-SUMIF(86:86,C25,87:87)+100</f>
        <v>100</v>
      </c>
      <c r="G25" s="565" t="s">
        <v>3602</v>
      </c>
      <c r="H25" s="386">
        <f>SUMIF(86:86,G25,87:87)-SUMIF(86:86,C25,87:87)+100</f>
        <v>100</v>
      </c>
      <c r="I25" s="565" t="s">
        <v>3602</v>
      </c>
      <c r="J25" s="386">
        <f>SUMIF(86:86,I25,87:87)-SUMIF(86:86,C25,87:87)+100</f>
        <v>100</v>
      </c>
      <c r="K25" s="561">
        <v>3</v>
      </c>
      <c r="L25" s="2719"/>
      <c r="M25" s="2713"/>
      <c r="N25" s="2713"/>
      <c r="O25" s="2713"/>
      <c r="P25" s="3694"/>
      <c r="Q25" s="1350" t="str">
        <f t="shared" ref="Q25:Q46" si="11">B25</f>
        <v>临街状况</v>
      </c>
      <c r="R25" s="704" t="s">
        <v>14</v>
      </c>
      <c r="S25" s="705">
        <f>F25</f>
        <v>100</v>
      </c>
      <c r="T25" s="704" t="s">
        <v>14</v>
      </c>
      <c r="U25" s="705">
        <f>H25</f>
        <v>100</v>
      </c>
      <c r="V25" s="704" t="s">
        <v>14</v>
      </c>
      <c r="W25" s="705">
        <f>J25</f>
        <v>100</v>
      </c>
      <c r="X25" s="1353"/>
      <c r="Y25" s="3696"/>
      <c r="Z25" s="1354" t="str">
        <f>Q25</f>
        <v>临街状况</v>
      </c>
      <c r="AA25" s="1351">
        <f t="shared" si="3"/>
        <v>1</v>
      </c>
      <c r="AB25" s="1351">
        <f t="shared" si="4"/>
        <v>1</v>
      </c>
      <c r="AC25" s="1351">
        <f t="shared" si="5"/>
        <v>1</v>
      </c>
    </row>
    <row r="26" spans="1:29" ht="15">
      <c r="A26" s="379"/>
      <c r="B26" s="1132" t="s">
        <v>1780</v>
      </c>
      <c r="C26" s="565" t="s">
        <v>3613</v>
      </c>
      <c r="D26" s="386">
        <v>100</v>
      </c>
      <c r="E26" s="565" t="s">
        <v>3631</v>
      </c>
      <c r="F26" s="412">
        <f>SUMIF(88:88,E26,89:89)-SUMIF(88:88,C26,89:89)+100</f>
        <v>100</v>
      </c>
      <c r="G26" s="565" t="s">
        <v>3631</v>
      </c>
      <c r="H26" s="386">
        <f>SUMIF(88:88,G26,89:89)-SUMIF(88:88,C26,89:89)+100</f>
        <v>100</v>
      </c>
      <c r="I26" s="565" t="s">
        <v>3631</v>
      </c>
      <c r="J26" s="386">
        <f>SUMIF(88:88,I26,89:89)-SUMIF(88:88,C26,89:89)+100</f>
        <v>100</v>
      </c>
      <c r="K26" s="562"/>
      <c r="L26" s="2719"/>
      <c r="M26" s="2713"/>
      <c r="N26" s="2713"/>
      <c r="O26" s="2713"/>
      <c r="P26" s="3694"/>
      <c r="Q26" s="1350" t="str">
        <f t="shared" si="11"/>
        <v>平面位置/可视性</v>
      </c>
      <c r="R26" s="704" t="s">
        <v>14</v>
      </c>
      <c r="S26" s="705">
        <f>F26</f>
        <v>100</v>
      </c>
      <c r="T26" s="704" t="s">
        <v>14</v>
      </c>
      <c r="U26" s="705">
        <f>H26</f>
        <v>100</v>
      </c>
      <c r="V26" s="704" t="s">
        <v>14</v>
      </c>
      <c r="W26" s="705">
        <f>J26</f>
        <v>100</v>
      </c>
      <c r="X26" s="1353"/>
      <c r="Y26" s="3696"/>
      <c r="Z26" s="1354" t="str">
        <f>Q26</f>
        <v>平面位置/可视性</v>
      </c>
      <c r="AA26" s="1351">
        <f t="shared" si="3"/>
        <v>1</v>
      </c>
      <c r="AB26" s="1351">
        <f t="shared" si="4"/>
        <v>1</v>
      </c>
      <c r="AC26" s="1351">
        <f t="shared" si="5"/>
        <v>1</v>
      </c>
    </row>
    <row r="27" spans="1:29" s="108" customFormat="1" ht="15">
      <c r="A27" s="382"/>
      <c r="B27" s="402" t="s">
        <v>1781</v>
      </c>
      <c r="C27" s="565" t="s">
        <v>3558</v>
      </c>
      <c r="D27" s="413">
        <v>100</v>
      </c>
      <c r="E27" s="565" t="s">
        <v>3558</v>
      </c>
      <c r="F27" s="415">
        <f>SUMIF(90:90,E27,91:91)-SUMIF(90:90,C27,91:91)+100</f>
        <v>100</v>
      </c>
      <c r="G27" s="565" t="s">
        <v>3558</v>
      </c>
      <c r="H27" s="413">
        <f>SUMIF(90:90,G27,91:91)-SUMIF(90:90,C27,91:91)+100</f>
        <v>100</v>
      </c>
      <c r="I27" s="565" t="s">
        <v>3558</v>
      </c>
      <c r="J27" s="413">
        <f>SUMIF(90:90,I27,91:91)-SUMIF(90:90,C27,91:91)+100</f>
        <v>100</v>
      </c>
      <c r="K27" s="561">
        <v>3</v>
      </c>
      <c r="L27" s="2714"/>
      <c r="M27" s="2715"/>
      <c r="N27" s="2715"/>
      <c r="O27" s="2715"/>
      <c r="P27" s="3694"/>
      <c r="Q27" s="1341" t="str">
        <f t="shared" si="11"/>
        <v>人流量</v>
      </c>
      <c r="R27" s="700" t="s">
        <v>14</v>
      </c>
      <c r="S27" s="701">
        <f>F27</f>
        <v>100</v>
      </c>
      <c r="T27" s="700" t="s">
        <v>14</v>
      </c>
      <c r="U27" s="701">
        <f>H27</f>
        <v>100</v>
      </c>
      <c r="V27" s="700" t="s">
        <v>14</v>
      </c>
      <c r="W27" s="701">
        <f>J27</f>
        <v>100</v>
      </c>
      <c r="X27" s="702"/>
      <c r="Y27" s="3696"/>
      <c r="Z27" s="52" t="str">
        <f>Q27</f>
        <v>人流量</v>
      </c>
      <c r="AA27" s="1351">
        <f>D27/F27</f>
        <v>1</v>
      </c>
      <c r="AB27" s="1351">
        <f>D27/H27</f>
        <v>1</v>
      </c>
      <c r="AC27" s="1351">
        <f>D27/J27</f>
        <v>1</v>
      </c>
    </row>
    <row r="28" spans="1:29" ht="15">
      <c r="A28" s="379"/>
      <c r="B28" s="375" t="s">
        <v>1782</v>
      </c>
      <c r="C28" s="565" t="s">
        <v>3629</v>
      </c>
      <c r="D28" s="386">
        <v>100</v>
      </c>
      <c r="E28" s="565">
        <v>1</v>
      </c>
      <c r="F28" s="412">
        <f>SUMIF(92:92,E28,93:93)-SUMIF(92:92,C28,93:93)+100</f>
        <v>115</v>
      </c>
      <c r="G28" s="565">
        <v>1</v>
      </c>
      <c r="H28" s="386">
        <f>SUMIF(92:92,G28,93:93)-SUMIF(92:92,C28,93:93)+100</f>
        <v>115</v>
      </c>
      <c r="I28" s="565">
        <v>1</v>
      </c>
      <c r="J28" s="386">
        <f>SUMIF(92:92,I28,93:93)-SUMIF(92:92,C28,93:93)+100</f>
        <v>115</v>
      </c>
      <c r="K28" s="562"/>
      <c r="L28" s="2719"/>
      <c r="M28" s="2713"/>
      <c r="N28" s="2713"/>
      <c r="O28" s="2713"/>
      <c r="P28" s="3694"/>
      <c r="Q28" s="1350" t="str">
        <f t="shared" si="11"/>
        <v>楼层</v>
      </c>
      <c r="R28" s="704" t="s">
        <v>14</v>
      </c>
      <c r="S28" s="705">
        <f t="shared" ref="S28:S46" si="12">F28</f>
        <v>115</v>
      </c>
      <c r="T28" s="704" t="s">
        <v>14</v>
      </c>
      <c r="U28" s="705">
        <f t="shared" ref="U28:U46" si="13">H28</f>
        <v>115</v>
      </c>
      <c r="V28" s="704" t="s">
        <v>14</v>
      </c>
      <c r="W28" s="705">
        <f t="shared" ref="W28:W46" si="14">J28</f>
        <v>115</v>
      </c>
      <c r="X28" s="1353"/>
      <c r="Y28" s="3696"/>
      <c r="Z28" s="1354" t="str">
        <f t="shared" ref="Z28:Z46" si="15">Q28</f>
        <v>楼层</v>
      </c>
      <c r="AA28" s="1351">
        <f t="shared" si="3"/>
        <v>0.86956521739130432</v>
      </c>
      <c r="AB28" s="1351">
        <f t="shared" si="4"/>
        <v>0.86956521739130432</v>
      </c>
      <c r="AC28" s="1351">
        <f t="shared" si="5"/>
        <v>0.86956521739130432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4"/>
      <c r="Q29" s="1350">
        <f t="shared" si="11"/>
        <v>111</v>
      </c>
      <c r="R29" s="704" t="s">
        <v>14</v>
      </c>
      <c r="S29" s="705">
        <f t="shared" si="12"/>
        <v>100</v>
      </c>
      <c r="T29" s="704" t="s">
        <v>14</v>
      </c>
      <c r="U29" s="705">
        <f t="shared" si="13"/>
        <v>100</v>
      </c>
      <c r="V29" s="704" t="s">
        <v>14</v>
      </c>
      <c r="W29" s="705">
        <f t="shared" si="14"/>
        <v>100</v>
      </c>
      <c r="X29" s="1353"/>
      <c r="Y29" s="3696"/>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4"/>
      <c r="Q30" s="1350">
        <f t="shared" si="11"/>
        <v>111</v>
      </c>
      <c r="R30" s="704" t="s">
        <v>14</v>
      </c>
      <c r="S30" s="705">
        <f t="shared" si="12"/>
        <v>100</v>
      </c>
      <c r="T30" s="704" t="s">
        <v>14</v>
      </c>
      <c r="U30" s="705">
        <f t="shared" si="13"/>
        <v>100</v>
      </c>
      <c r="V30" s="704" t="s">
        <v>14</v>
      </c>
      <c r="W30" s="705">
        <f t="shared" si="14"/>
        <v>100</v>
      </c>
      <c r="X30" s="1353"/>
      <c r="Y30" s="3696"/>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4"/>
      <c r="Q31" s="1350">
        <f t="shared" si="11"/>
        <v>111</v>
      </c>
      <c r="R31" s="704" t="s">
        <v>14</v>
      </c>
      <c r="S31" s="705">
        <f t="shared" si="12"/>
        <v>100</v>
      </c>
      <c r="T31" s="704" t="s">
        <v>14</v>
      </c>
      <c r="U31" s="705">
        <f t="shared" si="13"/>
        <v>100</v>
      </c>
      <c r="V31" s="704" t="s">
        <v>14</v>
      </c>
      <c r="W31" s="705">
        <f t="shared" si="14"/>
        <v>100</v>
      </c>
      <c r="X31" s="1353"/>
      <c r="Y31" s="3696"/>
      <c r="Z31" s="1354">
        <f t="shared" si="15"/>
        <v>111</v>
      </c>
      <c r="AA31" s="1351">
        <f t="shared" si="3"/>
        <v>1</v>
      </c>
      <c r="AB31" s="1351">
        <f t="shared" si="4"/>
        <v>1</v>
      </c>
      <c r="AC31" s="1351">
        <f t="shared" si="5"/>
        <v>1</v>
      </c>
    </row>
    <row r="32" spans="1:29" ht="15">
      <c r="A32" s="391" t="s">
        <v>1693</v>
      </c>
      <c r="B32" s="63" t="s">
        <v>1783</v>
      </c>
      <c r="C32" s="1908" t="s">
        <v>3610</v>
      </c>
      <c r="D32" s="418">
        <v>100</v>
      </c>
      <c r="E32" s="1908" t="s">
        <v>3610</v>
      </c>
      <c r="F32" s="412">
        <f>SUMIF(100:100,E32,101:101)-SUMIF(100:100,C32,101:101)+100</f>
        <v>100</v>
      </c>
      <c r="G32" s="1908" t="s">
        <v>3610</v>
      </c>
      <c r="H32" s="386">
        <f>SUMIF(100:100,G32,101:101)-SUMIF(100:100,C32,101:101)+100</f>
        <v>100</v>
      </c>
      <c r="I32" s="1908" t="s">
        <v>3610</v>
      </c>
      <c r="J32" s="418">
        <f>SUMIF(100:100,I32,101:101)-SUMIF(100:100,C32,101:101)+100</f>
        <v>100</v>
      </c>
      <c r="K32" s="561">
        <v>3</v>
      </c>
      <c r="L32" s="2719"/>
      <c r="M32" s="2713"/>
      <c r="N32" s="2713"/>
      <c r="O32" s="2713"/>
      <c r="P32" s="3697" t="s">
        <v>1695</v>
      </c>
      <c r="Q32" s="1350" t="str">
        <f t="shared" si="11"/>
        <v>商业类型</v>
      </c>
      <c r="R32" s="704" t="s">
        <v>14</v>
      </c>
      <c r="S32" s="705">
        <f t="shared" si="12"/>
        <v>100</v>
      </c>
      <c r="T32" s="704" t="s">
        <v>14</v>
      </c>
      <c r="U32" s="705">
        <f t="shared" si="13"/>
        <v>100</v>
      </c>
      <c r="V32" s="704" t="s">
        <v>14</v>
      </c>
      <c r="W32" s="705">
        <f t="shared" si="14"/>
        <v>100</v>
      </c>
      <c r="X32" s="1353"/>
      <c r="Y32" s="3700" t="s">
        <v>1695</v>
      </c>
      <c r="Z32" s="1354" t="str">
        <f t="shared" si="15"/>
        <v>商业类型</v>
      </c>
      <c r="AA32" s="1351">
        <f t="shared" si="3"/>
        <v>1</v>
      </c>
      <c r="AB32" s="1351">
        <f t="shared" si="4"/>
        <v>1</v>
      </c>
      <c r="AC32" s="1351">
        <f t="shared" si="5"/>
        <v>1</v>
      </c>
    </row>
    <row r="33" spans="1:29" s="422" customFormat="1" ht="15">
      <c r="A33" s="419"/>
      <c r="B33" s="375" t="s">
        <v>1696</v>
      </c>
      <c r="C33" s="420">
        <f>'数据-基础表'!I13</f>
        <v>1216.6500000000001</v>
      </c>
      <c r="D33" s="127">
        <v>100</v>
      </c>
      <c r="E33" s="420">
        <v>110.12</v>
      </c>
      <c r="F33" s="376">
        <f>LOOKUP(E33,103:103,104:104)-LOOKUP(C33,103:103,104:104)+100</f>
        <v>104</v>
      </c>
      <c r="G33" s="420">
        <v>184.95</v>
      </c>
      <c r="H33" s="127">
        <f>LOOKUP(G33,103:103,104:104)-LOOKUP(C33,103:103,104:104)+100</f>
        <v>104</v>
      </c>
      <c r="I33" s="420">
        <v>107.39</v>
      </c>
      <c r="J33" s="127">
        <f>LOOKUP(I33,103:103,104:104)-LOOKUP(C33,103:103,104:104)+100</f>
        <v>104</v>
      </c>
      <c r="K33" s="562"/>
      <c r="L33" s="2718"/>
      <c r="M33" s="2720"/>
      <c r="N33" s="2720"/>
      <c r="O33" s="2720"/>
      <c r="P33" s="3698"/>
      <c r="Q33" s="706" t="str">
        <f t="shared" si="11"/>
        <v>项目建筑规模</v>
      </c>
      <c r="R33" s="707" t="s">
        <v>14</v>
      </c>
      <c r="S33" s="708">
        <f t="shared" si="12"/>
        <v>104</v>
      </c>
      <c r="T33" s="707" t="s">
        <v>14</v>
      </c>
      <c r="U33" s="708">
        <f t="shared" si="13"/>
        <v>104</v>
      </c>
      <c r="V33" s="707" t="s">
        <v>14</v>
      </c>
      <c r="W33" s="708">
        <f t="shared" si="14"/>
        <v>104</v>
      </c>
      <c r="X33" s="709"/>
      <c r="Y33" s="3700"/>
      <c r="Z33" s="710" t="str">
        <f t="shared" si="15"/>
        <v>项目建筑规模</v>
      </c>
      <c r="AA33" s="1351">
        <f t="shared" si="3"/>
        <v>0.96153846153846156</v>
      </c>
      <c r="AB33" s="1351">
        <f t="shared" si="4"/>
        <v>0.96153846153846156</v>
      </c>
      <c r="AC33" s="1351">
        <f t="shared" si="5"/>
        <v>0.96153846153846156</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698"/>
      <c r="Q34" s="1350" t="str">
        <f t="shared" si="11"/>
        <v>建筑结构</v>
      </c>
      <c r="R34" s="704" t="s">
        <v>14</v>
      </c>
      <c r="S34" s="705">
        <f t="shared" si="12"/>
        <v>100</v>
      </c>
      <c r="T34" s="704" t="s">
        <v>14</v>
      </c>
      <c r="U34" s="705">
        <f t="shared" si="13"/>
        <v>100</v>
      </c>
      <c r="V34" s="704" t="s">
        <v>14</v>
      </c>
      <c r="W34" s="705">
        <f t="shared" si="14"/>
        <v>100</v>
      </c>
      <c r="X34" s="1353"/>
      <c r="Y34" s="3700"/>
      <c r="Z34" s="1354" t="str">
        <f t="shared" si="15"/>
        <v>建筑结构</v>
      </c>
      <c r="AA34" s="1351">
        <f t="shared" si="3"/>
        <v>1</v>
      </c>
      <c r="AB34" s="1351">
        <f t="shared" si="4"/>
        <v>1</v>
      </c>
      <c r="AC34" s="1351">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698"/>
      <c r="Q35" s="1350" t="str">
        <f t="shared" si="11"/>
        <v>公共部分装修</v>
      </c>
      <c r="R35" s="704" t="s">
        <v>14</v>
      </c>
      <c r="S35" s="705">
        <f t="shared" si="12"/>
        <v>100</v>
      </c>
      <c r="T35" s="704" t="s">
        <v>14</v>
      </c>
      <c r="U35" s="705">
        <f t="shared" si="13"/>
        <v>100</v>
      </c>
      <c r="V35" s="704" t="s">
        <v>14</v>
      </c>
      <c r="W35" s="705">
        <f t="shared" si="14"/>
        <v>100</v>
      </c>
      <c r="X35" s="1353"/>
      <c r="Y35" s="3700"/>
      <c r="Z35" s="1354" t="str">
        <f t="shared" si="15"/>
        <v>公共部分装修</v>
      </c>
      <c r="AA35" s="1351">
        <f t="shared" si="3"/>
        <v>1</v>
      </c>
      <c r="AB35" s="1351">
        <f t="shared" si="4"/>
        <v>1</v>
      </c>
      <c r="AC35" s="1351">
        <f t="shared" si="5"/>
        <v>1</v>
      </c>
    </row>
    <row r="36" spans="1:29" ht="15">
      <c r="A36" s="423"/>
      <c r="B36" s="375" t="s">
        <v>1785</v>
      </c>
      <c r="C36" s="425">
        <f>'比较法-办公'!C37</f>
        <v>0.75</v>
      </c>
      <c r="D36" s="386">
        <v>100</v>
      </c>
      <c r="E36" s="425">
        <f>C36</f>
        <v>0.75</v>
      </c>
      <c r="F36" s="412">
        <f>LOOKUP(E36,110:110,111:111)-LOOKUP(C36,110:110,111:111)+100</f>
        <v>100</v>
      </c>
      <c r="G36" s="425">
        <f>E36</f>
        <v>0.75</v>
      </c>
      <c r="H36" s="412">
        <f>LOOKUP(G36,110:110,111:111)-LOOKUP(C36,110:110,111:111)+100</f>
        <v>100</v>
      </c>
      <c r="I36" s="425">
        <f>G36</f>
        <v>0.75</v>
      </c>
      <c r="J36" s="386">
        <f>LOOKUP(I36,110:110,111:111)-LOOKUP(C36,110:110,111:111)+100</f>
        <v>100</v>
      </c>
      <c r="K36" s="561">
        <v>1</v>
      </c>
      <c r="L36" s="2719"/>
      <c r="M36" s="2713"/>
      <c r="N36" s="2713"/>
      <c r="O36" s="2713"/>
      <c r="P36" s="3698"/>
      <c r="Q36" s="1350" t="str">
        <f t="shared" si="11"/>
        <v>成新度</v>
      </c>
      <c r="R36" s="704" t="s">
        <v>14</v>
      </c>
      <c r="S36" s="705">
        <f t="shared" si="12"/>
        <v>100</v>
      </c>
      <c r="T36" s="704" t="s">
        <v>14</v>
      </c>
      <c r="U36" s="705">
        <f t="shared" si="13"/>
        <v>100</v>
      </c>
      <c r="V36" s="704" t="s">
        <v>14</v>
      </c>
      <c r="W36" s="705">
        <f t="shared" si="14"/>
        <v>100</v>
      </c>
      <c r="X36" s="1353"/>
      <c r="Y36" s="3700"/>
      <c r="Z36" s="1354" t="str">
        <f t="shared" si="15"/>
        <v>成新度</v>
      </c>
      <c r="AA36" s="1351">
        <f t="shared" si="3"/>
        <v>1</v>
      </c>
      <c r="AB36" s="1351">
        <f t="shared" si="4"/>
        <v>1</v>
      </c>
      <c r="AC36" s="1351">
        <f t="shared" si="5"/>
        <v>1</v>
      </c>
    </row>
    <row r="37" spans="1:29" s="108" customFormat="1" ht="15">
      <c r="A37" s="424"/>
      <c r="B37" s="375" t="s">
        <v>1786</v>
      </c>
      <c r="C37" s="411" t="s">
        <v>3611</v>
      </c>
      <c r="D37" s="127">
        <v>100</v>
      </c>
      <c r="E37" s="411" t="s">
        <v>3611</v>
      </c>
      <c r="F37" s="412">
        <f>SUMIF(112:112,E37,113:113)-SUMIF(112:112,C37,113:113)+100</f>
        <v>100</v>
      </c>
      <c r="G37" s="411" t="s">
        <v>3611</v>
      </c>
      <c r="H37" s="386">
        <f>SUMIF(112:112,G37,113:113)-SUMIF(112:112,C37,113:113)+100</f>
        <v>100</v>
      </c>
      <c r="I37" s="411" t="s">
        <v>3611</v>
      </c>
      <c r="J37" s="386">
        <f>SUMIF(112:112,I37,113:113)-SUMIF(112:112,C37,113:113)+100</f>
        <v>100</v>
      </c>
      <c r="K37" s="561">
        <v>1</v>
      </c>
      <c r="L37" s="2714"/>
      <c r="M37" s="2715"/>
      <c r="N37" s="2715"/>
      <c r="O37" s="2715"/>
      <c r="P37" s="3698"/>
      <c r="Q37" s="1341" t="str">
        <f t="shared" si="11"/>
        <v>市政基础设施</v>
      </c>
      <c r="R37" s="700" t="s">
        <v>14</v>
      </c>
      <c r="S37" s="701">
        <f t="shared" si="12"/>
        <v>100</v>
      </c>
      <c r="T37" s="700" t="s">
        <v>14</v>
      </c>
      <c r="U37" s="701">
        <f t="shared" si="13"/>
        <v>100</v>
      </c>
      <c r="V37" s="700" t="s">
        <v>14</v>
      </c>
      <c r="W37" s="701">
        <f t="shared" si="14"/>
        <v>100</v>
      </c>
      <c r="X37" s="702"/>
      <c r="Y37" s="3700"/>
      <c r="Z37" s="52"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97</v>
      </c>
      <c r="G38" s="1904" t="s">
        <v>3548</v>
      </c>
      <c r="H38" s="386">
        <f>SUMIF(114:114,G38,115:115)-SUMIF(114:114,C38,115:115)+100</f>
        <v>97</v>
      </c>
      <c r="I38" s="1904" t="s">
        <v>3548</v>
      </c>
      <c r="J38" s="386">
        <f>SUMIF(114:114,I38,115:115)-SUMIF(114:114,C38,115:115)+100</f>
        <v>97</v>
      </c>
      <c r="K38" s="561">
        <v>3</v>
      </c>
      <c r="L38" s="2719"/>
      <c r="M38" s="2713"/>
      <c r="N38" s="2713"/>
      <c r="O38" s="2713"/>
      <c r="P38" s="3698" t="s">
        <v>1695</v>
      </c>
      <c r="Q38" s="1350" t="str">
        <f t="shared" si="11"/>
        <v>业态</v>
      </c>
      <c r="R38" s="704" t="s">
        <v>14</v>
      </c>
      <c r="S38" s="705">
        <f t="shared" si="12"/>
        <v>97</v>
      </c>
      <c r="T38" s="704" t="s">
        <v>14</v>
      </c>
      <c r="U38" s="705">
        <f t="shared" si="13"/>
        <v>97</v>
      </c>
      <c r="V38" s="704" t="s">
        <v>14</v>
      </c>
      <c r="W38" s="705">
        <f t="shared" si="14"/>
        <v>97</v>
      </c>
      <c r="X38" s="1353"/>
      <c r="Y38" s="3700" t="s">
        <v>1695</v>
      </c>
      <c r="Z38" s="1354" t="str">
        <f t="shared" si="15"/>
        <v>业态</v>
      </c>
      <c r="AA38" s="1351">
        <f t="shared" si="3"/>
        <v>1.0309278350515463</v>
      </c>
      <c r="AB38" s="1351">
        <f t="shared" si="4"/>
        <v>1.0309278350515463</v>
      </c>
      <c r="AC38" s="1351">
        <f t="shared" si="5"/>
        <v>1.0309278350515463</v>
      </c>
    </row>
    <row r="39" spans="1:29" ht="15">
      <c r="A39" s="423"/>
      <c r="B39" s="375" t="s">
        <v>1788</v>
      </c>
      <c r="C39" s="3481" t="s">
        <v>3612</v>
      </c>
      <c r="D39" s="386">
        <v>100</v>
      </c>
      <c r="E39" s="3481" t="s">
        <v>3612</v>
      </c>
      <c r="F39" s="412">
        <f>SUMIF(116:116,E39,117:117)-SUMIF(116:116,C39,117:117)+100</f>
        <v>100</v>
      </c>
      <c r="G39" s="3481" t="s">
        <v>3612</v>
      </c>
      <c r="H39" s="386">
        <f>SUMIF(116:116,G39,117:117)-SUMIF(116:116,C39,117:117)+100</f>
        <v>100</v>
      </c>
      <c r="I39" s="3481" t="s">
        <v>3612</v>
      </c>
      <c r="J39" s="386">
        <f>SUMIF(116:116,I39,117:117)-SUMIF(116:116,C39,117:117)+100</f>
        <v>100</v>
      </c>
      <c r="K39" s="561">
        <v>3</v>
      </c>
      <c r="L39" s="2719"/>
      <c r="M39" s="2713"/>
      <c r="N39" s="2713"/>
      <c r="O39" s="2713"/>
      <c r="P39" s="3698"/>
      <c r="Q39" s="1350" t="str">
        <f t="shared" si="11"/>
        <v>层高</v>
      </c>
      <c r="R39" s="704" t="s">
        <v>14</v>
      </c>
      <c r="S39" s="705">
        <f t="shared" si="12"/>
        <v>100</v>
      </c>
      <c r="T39" s="704" t="s">
        <v>14</v>
      </c>
      <c r="U39" s="705">
        <f t="shared" si="13"/>
        <v>100</v>
      </c>
      <c r="V39" s="704" t="s">
        <v>14</v>
      </c>
      <c r="W39" s="705">
        <f t="shared" si="14"/>
        <v>100</v>
      </c>
      <c r="X39" s="1353"/>
      <c r="Y39" s="3700"/>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698"/>
      <c r="Q40" s="1350" t="str">
        <f t="shared" si="11"/>
        <v>单套建筑面积</v>
      </c>
      <c r="R40" s="704" t="s">
        <v>14</v>
      </c>
      <c r="S40" s="705">
        <f t="shared" si="12"/>
        <v>100</v>
      </c>
      <c r="T40" s="704" t="s">
        <v>14</v>
      </c>
      <c r="U40" s="705">
        <f t="shared" si="13"/>
        <v>100</v>
      </c>
      <c r="V40" s="704" t="s">
        <v>14</v>
      </c>
      <c r="W40" s="705">
        <f t="shared" si="14"/>
        <v>100</v>
      </c>
      <c r="X40" s="1353"/>
      <c r="Y40" s="3700"/>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8"/>
      <c r="Q41" s="706" t="str">
        <f t="shared" si="11"/>
        <v>进深比</v>
      </c>
      <c r="R41" s="707" t="s">
        <v>14</v>
      </c>
      <c r="S41" s="708">
        <f t="shared" si="12"/>
        <v>100</v>
      </c>
      <c r="T41" s="707" t="s">
        <v>14</v>
      </c>
      <c r="U41" s="708">
        <f t="shared" si="13"/>
        <v>100</v>
      </c>
      <c r="V41" s="707" t="s">
        <v>14</v>
      </c>
      <c r="W41" s="708">
        <f t="shared" si="14"/>
        <v>100</v>
      </c>
      <c r="X41" s="709"/>
      <c r="Y41" s="3700"/>
      <c r="Z41" s="710" t="str">
        <f t="shared" si="15"/>
        <v>进深比</v>
      </c>
      <c r="AA41" s="1351">
        <f t="shared" si="3"/>
        <v>1</v>
      </c>
      <c r="AB41" s="1351">
        <f t="shared" si="4"/>
        <v>1</v>
      </c>
      <c r="AC41" s="1351">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698"/>
      <c r="Q42" s="1350" t="str">
        <f t="shared" si="11"/>
        <v>内部装修</v>
      </c>
      <c r="R42" s="704" t="s">
        <v>14</v>
      </c>
      <c r="S42" s="705">
        <f t="shared" si="12"/>
        <v>100</v>
      </c>
      <c r="T42" s="704" t="s">
        <v>14</v>
      </c>
      <c r="U42" s="705">
        <f t="shared" si="13"/>
        <v>100</v>
      </c>
      <c r="V42" s="704" t="s">
        <v>14</v>
      </c>
      <c r="W42" s="705">
        <f t="shared" si="14"/>
        <v>100</v>
      </c>
      <c r="X42" s="1353"/>
      <c r="Y42" s="3700"/>
      <c r="Z42" s="1354" t="str">
        <f t="shared" si="15"/>
        <v>内部装修</v>
      </c>
      <c r="AA42" s="1351">
        <f t="shared" si="3"/>
        <v>1</v>
      </c>
      <c r="AB42" s="1351">
        <f t="shared" si="4"/>
        <v>1</v>
      </c>
      <c r="AC42" s="1351">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698"/>
      <c r="Q43" s="1350" t="str">
        <f t="shared" si="11"/>
        <v>内部装修维护情况</v>
      </c>
      <c r="R43" s="704" t="s">
        <v>14</v>
      </c>
      <c r="S43" s="705">
        <f t="shared" si="12"/>
        <v>100</v>
      </c>
      <c r="T43" s="704" t="s">
        <v>14</v>
      </c>
      <c r="U43" s="705">
        <f t="shared" si="13"/>
        <v>100</v>
      </c>
      <c r="V43" s="704" t="s">
        <v>14</v>
      </c>
      <c r="W43" s="705">
        <f t="shared" si="14"/>
        <v>100</v>
      </c>
      <c r="X43" s="1353"/>
      <c r="Y43" s="3700"/>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8"/>
      <c r="Q44" s="1341">
        <f t="shared" si="11"/>
        <v>111</v>
      </c>
      <c r="R44" s="700" t="s">
        <v>14</v>
      </c>
      <c r="S44" s="701">
        <f t="shared" si="12"/>
        <v>100</v>
      </c>
      <c r="T44" s="700" t="s">
        <v>14</v>
      </c>
      <c r="U44" s="701">
        <f t="shared" si="13"/>
        <v>100</v>
      </c>
      <c r="V44" s="700" t="s">
        <v>14</v>
      </c>
      <c r="W44" s="701">
        <f t="shared" si="14"/>
        <v>100</v>
      </c>
      <c r="X44" s="702"/>
      <c r="Y44" s="370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8"/>
      <c r="Q45" s="1350">
        <f t="shared" si="11"/>
        <v>111</v>
      </c>
      <c r="R45" s="704" t="s">
        <v>14</v>
      </c>
      <c r="S45" s="705">
        <f t="shared" si="12"/>
        <v>100</v>
      </c>
      <c r="T45" s="704" t="s">
        <v>14</v>
      </c>
      <c r="U45" s="705">
        <f t="shared" si="13"/>
        <v>100</v>
      </c>
      <c r="V45" s="704" t="s">
        <v>14</v>
      </c>
      <c r="W45" s="705">
        <f t="shared" si="14"/>
        <v>100</v>
      </c>
      <c r="X45" s="1353"/>
      <c r="Y45" s="370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9"/>
      <c r="Q46" s="1350">
        <f t="shared" si="11"/>
        <v>111</v>
      </c>
      <c r="R46" s="704" t="s">
        <v>14</v>
      </c>
      <c r="S46" s="705">
        <f t="shared" si="12"/>
        <v>100</v>
      </c>
      <c r="T46" s="704" t="s">
        <v>14</v>
      </c>
      <c r="U46" s="705">
        <f t="shared" si="13"/>
        <v>100</v>
      </c>
      <c r="V46" s="704" t="s">
        <v>14</v>
      </c>
      <c r="W46" s="705">
        <f t="shared" si="14"/>
        <v>100</v>
      </c>
      <c r="X46" s="1353"/>
      <c r="Y46" s="3701"/>
      <c r="Z46" s="1354">
        <f t="shared" si="15"/>
        <v>111</v>
      </c>
      <c r="AA46" s="1351">
        <f t="shared" si="3"/>
        <v>1</v>
      </c>
      <c r="AB46" s="1351">
        <f t="shared" si="4"/>
        <v>1</v>
      </c>
      <c r="AC46" s="1351">
        <f t="shared" si="5"/>
        <v>1</v>
      </c>
    </row>
    <row r="47" spans="1:29" ht="15">
      <c r="A47" s="430" t="s">
        <v>1707</v>
      </c>
      <c r="B47" s="431"/>
      <c r="C47" s="1153" t="s">
        <v>0</v>
      </c>
      <c r="D47" s="1154"/>
      <c r="E47" s="1155">
        <v>60208</v>
      </c>
      <c r="F47" s="1156"/>
      <c r="G47" s="1157">
        <v>62179</v>
      </c>
      <c r="H47" s="1158"/>
      <c r="I47" s="1155">
        <v>65183</v>
      </c>
      <c r="J47" s="1158"/>
      <c r="K47" s="713"/>
      <c r="L47" s="2721"/>
      <c r="M47" s="2722"/>
      <c r="N47" s="2713"/>
      <c r="O47" s="2722"/>
      <c r="P47" s="3688" t="str">
        <f>A47</f>
        <v>成交单价（元/平方米）</v>
      </c>
      <c r="Q47" s="3688"/>
      <c r="R47" s="3722">
        <f>E47</f>
        <v>60208</v>
      </c>
      <c r="S47" s="3722"/>
      <c r="T47" s="3722">
        <f>G47</f>
        <v>62179</v>
      </c>
      <c r="U47" s="3722"/>
      <c r="V47" s="3722">
        <f>I47</f>
        <v>65183</v>
      </c>
      <c r="W47" s="3722"/>
      <c r="X47" s="689"/>
      <c r="Y47" s="711"/>
      <c r="Z47" s="689"/>
      <c r="AA47" s="689"/>
      <c r="AB47" s="689"/>
      <c r="AC47" s="689"/>
    </row>
    <row r="48" spans="1:29" ht="15.75" thickBot="1">
      <c r="A48" s="437" t="s">
        <v>1792</v>
      </c>
      <c r="B48" s="438"/>
      <c r="C48" s="1159">
        <f>R49</f>
        <v>53360</v>
      </c>
      <c r="D48" s="2315" t="s">
        <v>2133</v>
      </c>
      <c r="E48" s="1160">
        <f>R48</f>
        <v>51384</v>
      </c>
      <c r="F48" s="2316"/>
      <c r="G48" s="1159">
        <f>T48</f>
        <v>53066</v>
      </c>
      <c r="H48" s="2316"/>
      <c r="I48" s="1160">
        <f>V48</f>
        <v>55630</v>
      </c>
      <c r="J48" s="2316"/>
      <c r="K48" s="2318">
        <f>F48+H48+J48</f>
        <v>0</v>
      </c>
      <c r="L48" s="2721"/>
      <c r="M48" s="2722"/>
      <c r="N48" s="2713"/>
      <c r="O48" s="2722"/>
      <c r="P48" s="3688" t="str">
        <f>A48</f>
        <v>比较价值（元/平方米）</v>
      </c>
      <c r="Q48" s="3688"/>
      <c r="R48" s="3689">
        <f>IF(F1="售价",ROUND(PRODUCT(R47,AA7:AA46),0),ROUND(PRODUCT(R47,AA7:AA46),1))</f>
        <v>51384</v>
      </c>
      <c r="S48" s="3689"/>
      <c r="T48" s="3689">
        <f>IF(F1="售价",ROUND(PRODUCT(T47,AB7:AB46),0),ROUND(PRODUCT(T47,AB7:AB46),1))</f>
        <v>53066</v>
      </c>
      <c r="U48" s="3689"/>
      <c r="V48" s="3689">
        <f>IF(F1="售价",ROUND(PRODUCT(V47,AC7:AC46),0),ROUND(PRODUCT(V47,AC7:AC46),1))</f>
        <v>55630</v>
      </c>
      <c r="W48" s="3689"/>
      <c r="X48" s="689"/>
      <c r="Y48" s="689"/>
      <c r="Z48" s="689"/>
      <c r="AA48" s="689"/>
      <c r="AB48" s="689"/>
      <c r="AC48" s="689"/>
    </row>
    <row r="49" spans="1:29" ht="15.75" thickBot="1">
      <c r="A49" s="441" t="s">
        <v>1793</v>
      </c>
      <c r="B49" s="442"/>
      <c r="C49" s="1162">
        <f>R49</f>
        <v>53360</v>
      </c>
      <c r="D49" s="1162"/>
      <c r="E49" s="1162"/>
      <c r="F49" s="1162"/>
      <c r="G49" s="1162"/>
      <c r="H49" s="1162"/>
      <c r="I49" s="1162"/>
      <c r="J49" s="1162"/>
      <c r="K49" s="714"/>
      <c r="L49" s="2721"/>
      <c r="M49" s="2722"/>
      <c r="N49" s="2713"/>
      <c r="O49" s="2722"/>
      <c r="P49" s="3744" t="str">
        <f>A49</f>
        <v>估价对象XX用房的比较价值（楼面单价，元/平方米）</v>
      </c>
      <c r="Q49" s="3745"/>
      <c r="R49" s="3746">
        <f>IF(F1="售价",ROUND(IF(D48="简单平均",AVERAGE(R48:V48),R48*F48+T48*H48+V48*J48),0),ROUND(IF(D48="简单平均",AVERAGE(R48:V48),R48*F48+T48*H48+V48*J48),1))</f>
        <v>53360</v>
      </c>
      <c r="S49" s="3746"/>
      <c r="T49" s="3746"/>
      <c r="U49" s="3746"/>
      <c r="V49" s="3746"/>
      <c r="W49" s="374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0.17172660750428159</v>
      </c>
      <c r="F52" s="449" t="str">
        <f>IF(OR(E52&gt;=0.3,E52&lt;=-0.3),"超过30%","")</f>
        <v/>
      </c>
      <c r="G52" s="448">
        <f>IF(G47&lt;G48,G48/G47-1,G47/G48-1)</f>
        <v>0.1717295443410094</v>
      </c>
      <c r="H52" s="449" t="str">
        <f>IF(OR(G52&gt;=0.3,G52&lt;=-0.3),"超过30%","")</f>
        <v/>
      </c>
      <c r="I52" s="448">
        <f>IF(I47&lt;I48,I48/I47-1,I47/I48-1)</f>
        <v>0.17172388998741694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3.273392495718519E-2</v>
      </c>
      <c r="F53" s="449" t="str">
        <f>IF(OR(E53&gt;=0.2,E53&lt;=-0.2),"超过20%","")</f>
        <v/>
      </c>
      <c r="G53" s="448">
        <f>IF(G48&lt;I48,I48/G48-1,G48/I48-1)</f>
        <v>4.8317189914446113E-2</v>
      </c>
      <c r="H53" s="449" t="str">
        <f>IF(OR(G53&gt;=0.2,G53&lt;=-0.2),"超过20%","")</f>
        <v/>
      </c>
      <c r="I53" s="448">
        <f>IF(I48&lt;E48,E48/I48-1,I48/E48-1)</f>
        <v>8.2632726140432711E-2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3.2736513420143609E-2</v>
      </c>
      <c r="F54" s="449" t="str">
        <f>IF(OR(E54&gt;=0.3,E54&lt;=-0.3),"超过30%","")</f>
        <v/>
      </c>
      <c r="G54" s="448">
        <f>IF(G47&lt;I47,I47/G47-1,G47/I47-1)</f>
        <v>4.8312131105357148E-2</v>
      </c>
      <c r="H54" s="449" t="str">
        <f>IF(OR(G54&gt;=0.3,G54&lt;=-0.3),"超过30%","")</f>
        <v/>
      </c>
      <c r="I54" s="448">
        <f>IF(I47&lt;E47,E47/I47-1,I47/E47-1)</f>
        <v>8.2630215253786776E-2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101</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3630</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3621</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3" t="s">
        <v>2309</v>
      </c>
      <c r="B2" s="2840" t="e">
        <f>IF(D2="——",C40,C40+E2)</f>
        <v>#DIV/0!</v>
      </c>
      <c r="C2" s="2841" t="s">
        <v>2310</v>
      </c>
      <c r="D2" s="3440" t="s">
        <v>3355</v>
      </c>
      <c r="E2" s="3441"/>
      <c r="F2" s="2843"/>
      <c r="G2" s="2844"/>
      <c r="H2" s="2845"/>
      <c r="I2" s="2846"/>
      <c r="J2" s="3761" t="s">
        <v>2311</v>
      </c>
      <c r="K2" s="3762"/>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63" t="s">
        <v>2321</v>
      </c>
      <c r="K3" s="3764"/>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63" t="s">
        <v>2323</v>
      </c>
      <c r="K4" s="3764"/>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69" t="s">
        <v>2327</v>
      </c>
      <c r="B6" s="3770"/>
      <c r="C6" s="3771"/>
      <c r="D6" s="2867"/>
      <c r="E6" s="2868"/>
      <c r="F6" s="2869"/>
      <c r="G6" s="2870"/>
      <c r="H6" s="2845"/>
      <c r="I6" s="2846"/>
      <c r="J6" s="3755">
        <v>1</v>
      </c>
      <c r="K6" s="3756"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55"/>
      <c r="K7" s="3757"/>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72" t="s">
        <v>2341</v>
      </c>
      <c r="C8" s="3773"/>
      <c r="D8" s="2886" t="s">
        <v>2342</v>
      </c>
      <c r="E8" s="2887" t="s">
        <v>2343</v>
      </c>
      <c r="F8" s="2888" t="s">
        <v>2344</v>
      </c>
      <c r="G8" s="2889"/>
      <c r="H8" s="2845"/>
      <c r="I8" s="2846"/>
      <c r="J8" s="3755"/>
      <c r="K8" s="3757"/>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72" t="s">
        <v>2347</v>
      </c>
      <c r="C9" s="3773"/>
      <c r="D9" s="2886">
        <f>ROUND(D6*E9,0)</f>
        <v>0</v>
      </c>
      <c r="E9" s="2890"/>
      <c r="F9" s="2891" t="s">
        <v>2348</v>
      </c>
      <c r="G9" s="2870"/>
      <c r="H9" s="2845"/>
      <c r="I9" s="2846"/>
      <c r="J9" s="3755"/>
      <c r="K9" s="3757"/>
      <c r="L9" s="2880" t="s">
        <v>2349</v>
      </c>
      <c r="M9" s="2881"/>
      <c r="N9" s="2857"/>
      <c r="O9" s="2882"/>
      <c r="P9" s="2882"/>
      <c r="Q9" s="2883">
        <v>365</v>
      </c>
      <c r="R9" s="2884">
        <f t="shared" si="0"/>
        <v>0</v>
      </c>
      <c r="S9" s="2838"/>
      <c r="T9" s="2838"/>
      <c r="U9" s="2838"/>
      <c r="V9" s="2846"/>
    </row>
    <row r="10" spans="1:22" s="2850" customFormat="1" ht="13.15" customHeight="1">
      <c r="A10" s="2885">
        <v>2</v>
      </c>
      <c r="B10" s="3772" t="s">
        <v>2350</v>
      </c>
      <c r="C10" s="3773"/>
      <c r="D10" s="2886">
        <f>ROUND(D6*E10,0)</f>
        <v>0</v>
      </c>
      <c r="E10" s="2890"/>
      <c r="F10" s="2891" t="s">
        <v>2351</v>
      </c>
      <c r="G10" s="2870"/>
      <c r="H10" s="2845"/>
      <c r="I10" s="2846"/>
      <c r="J10" s="3755"/>
      <c r="K10" s="3757"/>
      <c r="L10" s="2880" t="s">
        <v>2352</v>
      </c>
      <c r="M10" s="2881"/>
      <c r="N10" s="2857"/>
      <c r="O10" s="2882"/>
      <c r="P10" s="2882"/>
      <c r="Q10" s="2883">
        <v>365</v>
      </c>
      <c r="R10" s="2884">
        <f t="shared" si="0"/>
        <v>0</v>
      </c>
      <c r="S10" s="2838"/>
      <c r="T10" s="2838"/>
      <c r="U10" s="2838"/>
      <c r="V10" s="2846"/>
    </row>
    <row r="11" spans="1:22" s="2850" customFormat="1" ht="13.15" customHeight="1">
      <c r="A11" s="2885">
        <v>3</v>
      </c>
      <c r="B11" s="3772" t="s">
        <v>2353</v>
      </c>
      <c r="C11" s="3773"/>
      <c r="D11" s="2886">
        <f>D12+D14+D15+D16</f>
        <v>0</v>
      </c>
      <c r="E11" s="2892" t="e">
        <f>D11/D6</f>
        <v>#DIV/0!</v>
      </c>
      <c r="F11" s="2888"/>
      <c r="G11" s="2889"/>
      <c r="H11" s="2845"/>
      <c r="I11" s="2846"/>
      <c r="J11" s="3755"/>
      <c r="K11" s="3757"/>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65" t="s">
        <v>2356</v>
      </c>
      <c r="C12" s="3766"/>
      <c r="D12" s="2894">
        <f>ROUND(D13*1.2%*(1-30%),0)</f>
        <v>0</v>
      </c>
      <c r="E12" s="2895">
        <v>1.2E-2</v>
      </c>
      <c r="F12" s="2888" t="s">
        <v>2357</v>
      </c>
      <c r="G12" s="2889"/>
      <c r="H12" s="2845"/>
      <c r="I12" s="2846"/>
      <c r="J12" s="3755"/>
      <c r="K12" s="3757"/>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55"/>
      <c r="K13" s="3757"/>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65" t="s">
        <v>2362</v>
      </c>
      <c r="C14" s="3766"/>
      <c r="D14" s="2894">
        <f>ROUND(E14*B5/10000,0)</f>
        <v>0</v>
      </c>
      <c r="E14" s="2883"/>
      <c r="F14" s="2888" t="s">
        <v>2363</v>
      </c>
      <c r="G14" s="2889"/>
      <c r="H14" s="2845"/>
      <c r="I14" s="2846"/>
      <c r="J14" s="3755"/>
      <c r="K14" s="3758"/>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65" t="s">
        <v>2366</v>
      </c>
      <c r="C15" s="3766"/>
      <c r="D15" s="2894">
        <f>ROUND(D6*E15,0)</f>
        <v>0</v>
      </c>
      <c r="E15" s="2895">
        <v>5.5E-2</v>
      </c>
      <c r="F15" s="2888" t="s">
        <v>2367</v>
      </c>
      <c r="G15" s="2870"/>
      <c r="H15" s="2845"/>
      <c r="I15" s="2846"/>
      <c r="J15" s="3755">
        <v>2</v>
      </c>
      <c r="K15" s="3756"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65" t="s">
        <v>2375</v>
      </c>
      <c r="C16" s="3766"/>
      <c r="D16" s="2905">
        <f>D6*E16</f>
        <v>0</v>
      </c>
      <c r="E16" s="2906"/>
      <c r="F16" s="2891" t="s">
        <v>2376</v>
      </c>
      <c r="G16" s="2870"/>
      <c r="H16" s="2845"/>
      <c r="I16" s="2846"/>
      <c r="J16" s="3755"/>
      <c r="K16" s="3757"/>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67" t="s">
        <v>2378</v>
      </c>
      <c r="C17" s="3768"/>
      <c r="D17" s="2908">
        <f>ROUND(D6*E17,0)</f>
        <v>0</v>
      </c>
      <c r="E17" s="2909"/>
      <c r="F17" s="2910" t="s">
        <v>2379</v>
      </c>
      <c r="G17" s="2870"/>
      <c r="H17" s="2845"/>
      <c r="I17" s="2846"/>
      <c r="J17" s="3755"/>
      <c r="K17" s="3757"/>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55"/>
      <c r="K18" s="3757"/>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55"/>
      <c r="K19" s="3758"/>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5">
        <v>3</v>
      </c>
      <c r="K20" s="3756"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55"/>
      <c r="K21" s="3757"/>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55"/>
      <c r="K22" s="3757"/>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55"/>
      <c r="K23" s="3757"/>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55"/>
      <c r="K24" s="3758"/>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59">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6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61" t="s">
        <v>2311</v>
      </c>
      <c r="K32" s="3762"/>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63" t="s">
        <v>2321</v>
      </c>
      <c r="K33" s="3764"/>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63" t="s">
        <v>2323</v>
      </c>
      <c r="K34" s="376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55">
        <v>1</v>
      </c>
      <c r="K36" s="3756"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55"/>
      <c r="K37" s="3757"/>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5"/>
      <c r="K38" s="3757"/>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55"/>
      <c r="K39" s="3757"/>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55"/>
      <c r="K40" s="3758"/>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9">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6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4"/>
      <c r="G1" s="1487"/>
      <c r="H1" s="1487"/>
      <c r="I1" s="1487"/>
      <c r="J1" s="1487"/>
      <c r="K1" s="1487"/>
      <c r="L1" s="1487"/>
      <c r="M1" s="1487"/>
      <c r="N1" s="1487"/>
      <c r="O1" s="1487"/>
      <c r="P1" s="1487"/>
      <c r="Q1" s="1487"/>
      <c r="R1" s="1487"/>
      <c r="S1" s="1487"/>
    </row>
    <row r="2" spans="1:22" ht="15.75">
      <c r="A2" s="1868" t="s">
        <v>1461</v>
      </c>
      <c r="B2" s="1869">
        <f ca="1">SUMIF(B6:B13,"&lt;&gt;#ref!",B6:B13)</f>
        <v>4271.0780999999997</v>
      </c>
      <c r="C2" s="1870" t="s">
        <v>1650</v>
      </c>
      <c r="D2" s="1871" t="s">
        <v>1651</v>
      </c>
      <c r="E2" s="2605">
        <f>SUM(E6:E13)</f>
        <v>1216.6500000000001</v>
      </c>
      <c r="F2" s="2704"/>
      <c r="G2" s="1487"/>
      <c r="H2" s="1487"/>
      <c r="I2" s="1487"/>
      <c r="J2" s="1487"/>
      <c r="K2" s="1487"/>
      <c r="L2" s="1487"/>
      <c r="M2" s="1487"/>
      <c r="N2" s="1487"/>
      <c r="O2" s="1487"/>
      <c r="P2" s="1487"/>
      <c r="Q2" s="1487"/>
      <c r="R2" s="1487"/>
      <c r="S2" s="1487"/>
    </row>
    <row r="3" spans="1:22" ht="15.75">
      <c r="A3" s="1868" t="s">
        <v>686</v>
      </c>
      <c r="B3" s="2599">
        <f ca="1">ROUND(B2*10000/E2,0)</f>
        <v>35105</v>
      </c>
      <c r="C3" s="1870" t="s">
        <v>1658</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1652</v>
      </c>
      <c r="B5" s="3774" t="s">
        <v>1653</v>
      </c>
      <c r="C5" s="3775"/>
      <c r="D5" s="2705"/>
      <c r="E5" s="1872" t="s">
        <v>1654</v>
      </c>
      <c r="F5" s="1873" t="s">
        <v>1655</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4271.0780999999997</v>
      </c>
      <c r="C6" s="1870" t="s">
        <v>1650</v>
      </c>
      <c r="D6" s="2706"/>
      <c r="E6" s="2604">
        <f>IF(OR(A6=0,F6="否"),0,'数据-取费表'!K6+'数据-取费表'!S6)</f>
        <v>1216.6500000000001</v>
      </c>
      <c r="F6" s="1874" t="s">
        <v>1656</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1650</v>
      </c>
      <c r="D7" s="2706"/>
      <c r="E7" s="2604">
        <f>IF(OR(A7=0,F7="否"),0,'数据-取费表'!K7+'数据-取费表'!S7)</f>
        <v>0</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6"/>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6"/>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6"/>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6"/>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6"/>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7"/>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受贵公司委托，我公司对北京市丰台区四方景园二区配套商业房地产抵押价值进行了预评估。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估价对象为北京市丰台区四方景园二区配套商业房地产，为所有。根据《国有土地使用证》[]，估价对象（分摊）出让国有建设用地使用权面积为0平方米，建筑面积为1216.65平方米。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方景园二区配套商业房地产,属开发建设的，该项目尚在开发建设中。根据《国有土地使用证》[]，估价对象（分摊）出让国有建设用地使用权面积为0平方米，规划建筑面积为1216.65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丰台区四方景园二区配套商业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1660</v>
      </c>
      <c r="C1" s="1237" t="s">
        <v>1661</v>
      </c>
      <c r="D1" s="1224"/>
      <c r="E1" s="3423"/>
      <c r="F1" s="1877"/>
      <c r="G1" s="1234" t="s">
        <v>1662</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1216.6500000000001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1665</v>
      </c>
      <c r="B4" s="356"/>
      <c r="C4" s="3705" t="s">
        <v>1666</v>
      </c>
      <c r="D4" s="3706"/>
      <c r="E4" s="3707" t="s">
        <v>1667</v>
      </c>
      <c r="F4" s="3708"/>
      <c r="G4" s="3705" t="s">
        <v>1668</v>
      </c>
      <c r="H4" s="3706"/>
      <c r="I4" s="3705" t="s">
        <v>1669</v>
      </c>
      <c r="J4" s="3706"/>
      <c r="K4" s="1887" t="s">
        <v>1670</v>
      </c>
      <c r="L4" s="2712"/>
      <c r="M4" s="2713"/>
      <c r="N4" s="2713"/>
      <c r="O4" s="2713"/>
      <c r="P4" s="3748" t="s">
        <v>1671</v>
      </c>
      <c r="Q4" s="3749"/>
      <c r="R4" s="3752" t="s">
        <v>1667</v>
      </c>
      <c r="S4" s="3753"/>
      <c r="T4" s="3752" t="s">
        <v>1668</v>
      </c>
      <c r="U4" s="3753"/>
      <c r="V4" s="3722" t="s">
        <v>1669</v>
      </c>
      <c r="W4" s="3722"/>
      <c r="X4" s="1353"/>
      <c r="Y4" s="3752" t="s">
        <v>1671</v>
      </c>
      <c r="Z4" s="3753"/>
      <c r="AA4" s="3747" t="s">
        <v>1667</v>
      </c>
      <c r="AB4" s="3747" t="s">
        <v>1668</v>
      </c>
      <c r="AC4" s="3747" t="s">
        <v>1669</v>
      </c>
    </row>
    <row r="5" spans="1:29" ht="15">
      <c r="A5" s="358"/>
      <c r="B5" s="359"/>
      <c r="C5" s="3731" t="s">
        <v>1672</v>
      </c>
      <c r="D5" s="3732"/>
      <c r="E5" s="3776" t="s">
        <v>1673</v>
      </c>
      <c r="F5" s="3726"/>
      <c r="G5" s="3731" t="s">
        <v>1674</v>
      </c>
      <c r="H5" s="3732"/>
      <c r="I5" s="3731" t="s">
        <v>1675</v>
      </c>
      <c r="J5" s="3732"/>
      <c r="K5" s="1888"/>
      <c r="L5" s="2712"/>
      <c r="M5" s="2713"/>
      <c r="N5" s="2713"/>
      <c r="O5" s="2713"/>
      <c r="P5" s="3750"/>
      <c r="Q5" s="3712"/>
      <c r="R5" s="3717"/>
      <c r="S5" s="3718"/>
      <c r="T5" s="3717"/>
      <c r="U5" s="3718"/>
      <c r="V5" s="3722"/>
      <c r="W5" s="3722"/>
      <c r="X5" s="1353"/>
      <c r="Y5" s="3717"/>
      <c r="Z5" s="3718"/>
      <c r="AA5" s="3736"/>
      <c r="AB5" s="3736"/>
      <c r="AC5" s="3736"/>
    </row>
    <row r="6" spans="1:29" ht="15.75" thickBot="1">
      <c r="A6" s="360"/>
      <c r="B6" s="361"/>
      <c r="C6" s="3723" t="s">
        <v>1676</v>
      </c>
      <c r="D6" s="3724"/>
      <c r="E6" s="3733" t="s">
        <v>1676</v>
      </c>
      <c r="F6" s="3734"/>
      <c r="G6" s="3723" t="s">
        <v>1676</v>
      </c>
      <c r="H6" s="3724"/>
      <c r="I6" s="3723" t="s">
        <v>1676</v>
      </c>
      <c r="J6" s="3724"/>
      <c r="K6" s="1888" t="s">
        <v>1677</v>
      </c>
      <c r="L6" s="2712"/>
      <c r="M6" s="2713"/>
      <c r="N6" s="2713"/>
      <c r="O6" s="2713"/>
      <c r="P6" s="3751"/>
      <c r="Q6" s="3714"/>
      <c r="R6" s="3717"/>
      <c r="S6" s="3718"/>
      <c r="T6" s="3719"/>
      <c r="U6" s="3720"/>
      <c r="V6" s="3722"/>
      <c r="W6" s="3722"/>
      <c r="X6" s="1353"/>
      <c r="Y6" s="3719"/>
      <c r="Z6" s="3720"/>
      <c r="AA6" s="3737"/>
      <c r="AB6" s="3737"/>
      <c r="AC6" s="3737"/>
    </row>
    <row r="7" spans="1:29" s="108" customFormat="1" ht="15.75" thickBot="1">
      <c r="A7" s="362" t="s">
        <v>1678</v>
      </c>
      <c r="B7" s="363"/>
      <c r="C7" s="364">
        <f>'数据-取费表'!B2</f>
        <v>45069</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29" t="s">
        <v>1679</v>
      </c>
      <c r="Q7" s="3730"/>
      <c r="R7" s="700" t="s">
        <v>20</v>
      </c>
      <c r="S7" s="701">
        <f t="shared" ref="S7:S15" si="0">F7</f>
        <v>0</v>
      </c>
      <c r="T7" s="700" t="s">
        <v>20</v>
      </c>
      <c r="U7" s="701">
        <f t="shared" ref="U7:U15" si="1">H7</f>
        <v>0</v>
      </c>
      <c r="V7" s="700" t="s">
        <v>20</v>
      </c>
      <c r="W7" s="701">
        <f t="shared" ref="W7:W15" si="2">J7</f>
        <v>0</v>
      </c>
      <c r="X7" s="702"/>
      <c r="Y7" s="3729" t="s">
        <v>1679</v>
      </c>
      <c r="Z7" s="3728"/>
      <c r="AA7" s="703" t="e">
        <f>D7/F7</f>
        <v>#DIV/0!</v>
      </c>
      <c r="AB7" s="703" t="e">
        <f>D7/H7</f>
        <v>#DIV/0!</v>
      </c>
      <c r="AC7" s="703"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29" t="s">
        <v>1682</v>
      </c>
      <c r="Q8" s="3728"/>
      <c r="R8" s="700" t="s">
        <v>20</v>
      </c>
      <c r="S8" s="701">
        <f t="shared" si="0"/>
        <v>100</v>
      </c>
      <c r="T8" s="700" t="s">
        <v>20</v>
      </c>
      <c r="U8" s="701">
        <f t="shared" si="1"/>
        <v>100</v>
      </c>
      <c r="V8" s="700" t="s">
        <v>20</v>
      </c>
      <c r="W8" s="701">
        <f t="shared" si="2"/>
        <v>100</v>
      </c>
      <c r="X8" s="702"/>
      <c r="Y8" s="3729" t="s">
        <v>1682</v>
      </c>
      <c r="Z8" s="3728"/>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7" t="s">
        <v>1685</v>
      </c>
      <c r="Q9" s="1341"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87"/>
      <c r="Q10" s="1341"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7"/>
      <c r="Q11" s="1341" t="str">
        <f t="shared" si="6"/>
        <v>容积率</v>
      </c>
      <c r="R11" s="700" t="s">
        <v>18</v>
      </c>
      <c r="S11" s="701" t="e">
        <f t="shared" si="0"/>
        <v>#N/A</v>
      </c>
      <c r="T11" s="700" t="s">
        <v>18</v>
      </c>
      <c r="U11" s="701" t="e">
        <f t="shared" si="1"/>
        <v>#N/A</v>
      </c>
      <c r="V11" s="700" t="s">
        <v>18</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7"/>
      <c r="Q12" s="1341">
        <f t="shared" si="6"/>
        <v>111</v>
      </c>
      <c r="R12" s="700" t="s">
        <v>18</v>
      </c>
      <c r="S12" s="701">
        <f t="shared" si="0"/>
        <v>100</v>
      </c>
      <c r="T12" s="700" t="s">
        <v>18</v>
      </c>
      <c r="U12" s="701">
        <f t="shared" si="1"/>
        <v>100</v>
      </c>
      <c r="V12" s="700" t="s">
        <v>18</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7"/>
      <c r="Q13" s="1341">
        <f t="shared" si="6"/>
        <v>111</v>
      </c>
      <c r="R13" s="700" t="s">
        <v>18</v>
      </c>
      <c r="S13" s="701">
        <f t="shared" si="0"/>
        <v>100</v>
      </c>
      <c r="T13" s="700" t="s">
        <v>18</v>
      </c>
      <c r="U13" s="701">
        <f t="shared" si="1"/>
        <v>100</v>
      </c>
      <c r="V13" s="700" t="s">
        <v>18</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7"/>
      <c r="Q14" s="1341">
        <f t="shared" si="6"/>
        <v>111</v>
      </c>
      <c r="R14" s="700" t="s">
        <v>18</v>
      </c>
      <c r="S14" s="701">
        <f t="shared" si="0"/>
        <v>100</v>
      </c>
      <c r="T14" s="700" t="s">
        <v>18</v>
      </c>
      <c r="U14" s="701">
        <f t="shared" si="1"/>
        <v>100</v>
      </c>
      <c r="V14" s="700" t="s">
        <v>18</v>
      </c>
      <c r="W14" s="701">
        <f t="shared" si="2"/>
        <v>100</v>
      </c>
      <c r="X14" s="702"/>
      <c r="Y14" s="3586"/>
      <c r="Z14" s="52">
        <f t="shared" si="7"/>
        <v>111</v>
      </c>
      <c r="AA14" s="703">
        <f t="shared" si="3"/>
        <v>1</v>
      </c>
      <c r="AB14" s="703">
        <f t="shared" si="4"/>
        <v>1</v>
      </c>
      <c r="AC14" s="703">
        <f t="shared" si="5"/>
        <v>1</v>
      </c>
    </row>
    <row r="15" spans="1:29" ht="15">
      <c r="A15" s="391" t="s">
        <v>1689</v>
      </c>
      <c r="B15" s="61" t="s">
        <v>1256</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3" t="s">
        <v>1690</v>
      </c>
      <c r="Q15" s="1350" t="str">
        <f t="shared" si="6"/>
        <v>居住社区成熟度</v>
      </c>
      <c r="R15" s="704" t="s">
        <v>18</v>
      </c>
      <c r="S15" s="705">
        <f t="shared" si="0"/>
        <v>100</v>
      </c>
      <c r="T15" s="704" t="s">
        <v>18</v>
      </c>
      <c r="U15" s="705">
        <f t="shared" si="1"/>
        <v>100</v>
      </c>
      <c r="V15" s="704" t="s">
        <v>18</v>
      </c>
      <c r="W15" s="705">
        <f t="shared" si="2"/>
        <v>100</v>
      </c>
      <c r="X15" s="1353"/>
      <c r="Y15" s="3695"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94"/>
      <c r="Q16" s="1350"/>
      <c r="R16" s="704"/>
      <c r="S16" s="705"/>
      <c r="T16" s="704"/>
      <c r="U16" s="705"/>
      <c r="V16" s="704"/>
      <c r="W16" s="705"/>
      <c r="X16" s="1353"/>
      <c r="Y16" s="3696"/>
      <c r="Z16" s="1354"/>
      <c r="AA16" s="1351">
        <v>1</v>
      </c>
      <c r="AB16" s="1351">
        <v>1</v>
      </c>
      <c r="AC16" s="1351">
        <v>1</v>
      </c>
    </row>
    <row r="17" spans="1:29" ht="128.2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4"/>
      <c r="Q17" s="1350" t="str">
        <f>B17</f>
        <v>交通便捷度</v>
      </c>
      <c r="R17" s="704" t="s">
        <v>18</v>
      </c>
      <c r="S17" s="705">
        <f>F17</f>
        <v>100</v>
      </c>
      <c r="T17" s="704" t="s">
        <v>18</v>
      </c>
      <c r="U17" s="705">
        <f>H17</f>
        <v>100</v>
      </c>
      <c r="V17" s="704" t="s">
        <v>18</v>
      </c>
      <c r="W17" s="705">
        <f>J17</f>
        <v>100</v>
      </c>
      <c r="X17" s="1353"/>
      <c r="Y17" s="369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94"/>
      <c r="Q18" s="1350"/>
      <c r="R18" s="704"/>
      <c r="S18" s="705"/>
      <c r="T18" s="704"/>
      <c r="U18" s="705"/>
      <c r="V18" s="704"/>
      <c r="W18" s="705"/>
      <c r="X18" s="1353"/>
      <c r="Y18" s="3696"/>
      <c r="Z18" s="1354"/>
      <c r="AA18" s="1351">
        <v>1</v>
      </c>
      <c r="AB18" s="1351">
        <v>1</v>
      </c>
      <c r="AC18" s="1351">
        <v>1</v>
      </c>
    </row>
    <row r="19" spans="1:29" ht="42.75">
      <c r="A19" s="379"/>
      <c r="B19" s="402" t="s">
        <v>1257</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4"/>
      <c r="Q19" s="1350" t="str">
        <f>B19</f>
        <v>公共配套设施</v>
      </c>
      <c r="R19" s="704" t="s">
        <v>18</v>
      </c>
      <c r="S19" s="705">
        <f>F19</f>
        <v>100</v>
      </c>
      <c r="T19" s="704" t="s">
        <v>18</v>
      </c>
      <c r="U19" s="705">
        <f>H19</f>
        <v>100</v>
      </c>
      <c r="V19" s="704" t="s">
        <v>18</v>
      </c>
      <c r="W19" s="705">
        <f>J19</f>
        <v>100</v>
      </c>
      <c r="X19" s="1353"/>
      <c r="Y19" s="369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94"/>
      <c r="Q20" s="1350"/>
      <c r="R20" s="704"/>
      <c r="S20" s="705"/>
      <c r="T20" s="704"/>
      <c r="U20" s="705"/>
      <c r="V20" s="704"/>
      <c r="W20" s="705"/>
      <c r="X20" s="1353"/>
      <c r="Y20" s="3696"/>
      <c r="Z20" s="1354"/>
      <c r="AA20" s="1351">
        <v>1</v>
      </c>
      <c r="AB20" s="1351">
        <v>1</v>
      </c>
      <c r="AC20" s="1351">
        <v>1</v>
      </c>
    </row>
    <row r="21" spans="1:29" ht="28.5">
      <c r="A21" s="379"/>
      <c r="B21" s="1130" t="s">
        <v>1259</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4"/>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694"/>
      <c r="Q22" s="1350"/>
      <c r="R22" s="704"/>
      <c r="S22" s="705"/>
      <c r="T22" s="704"/>
      <c r="U22" s="705"/>
      <c r="V22" s="704"/>
      <c r="W22" s="705"/>
      <c r="X22" s="1353"/>
      <c r="Y22" s="3696"/>
      <c r="Z22" s="1354"/>
      <c r="AA22" s="1351">
        <v>1</v>
      </c>
      <c r="AB22" s="1351">
        <v>1</v>
      </c>
      <c r="AC22" s="1351">
        <v>1</v>
      </c>
    </row>
    <row r="23" spans="1:29" ht="85.5">
      <c r="A23" s="379"/>
      <c r="B23" s="402" t="s">
        <v>1260</v>
      </c>
      <c r="C23" s="1898" t="str">
        <f>估价对象房地状况!C9</f>
        <v>区域自然环境：北京动物园、官园公园；人文环境：北京天文馆、北京建筑大学；综合评价环境状况邮编</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4"/>
      <c r="Q23" s="1350" t="str">
        <f>B23</f>
        <v>自然及人文环境</v>
      </c>
      <c r="R23" s="704" t="s">
        <v>18</v>
      </c>
      <c r="S23" s="705">
        <f>F23</f>
        <v>100</v>
      </c>
      <c r="T23" s="704" t="s">
        <v>18</v>
      </c>
      <c r="U23" s="705">
        <f>H23</f>
        <v>100</v>
      </c>
      <c r="V23" s="704" t="s">
        <v>18</v>
      </c>
      <c r="W23" s="705">
        <f>J23</f>
        <v>100</v>
      </c>
      <c r="X23" s="1353"/>
      <c r="Y23" s="369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94"/>
      <c r="Q24" s="1350"/>
      <c r="R24" s="704"/>
      <c r="S24" s="705"/>
      <c r="T24" s="704"/>
      <c r="U24" s="705"/>
      <c r="V24" s="704"/>
      <c r="W24" s="705"/>
      <c r="X24" s="1353"/>
      <c r="Y24" s="3696"/>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9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6"/>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94"/>
      <c r="Q26" s="1350" t="str">
        <f t="shared" si="11"/>
        <v>朝向</v>
      </c>
      <c r="R26" s="704" t="s">
        <v>18</v>
      </c>
      <c r="S26" s="705">
        <f t="shared" si="12"/>
        <v>100</v>
      </c>
      <c r="T26" s="704" t="s">
        <v>18</v>
      </c>
      <c r="U26" s="705">
        <f t="shared" si="13"/>
        <v>100</v>
      </c>
      <c r="V26" s="704" t="s">
        <v>18</v>
      </c>
      <c r="W26" s="705">
        <f t="shared" si="14"/>
        <v>100</v>
      </c>
      <c r="X26" s="1353"/>
      <c r="Y26" s="3696"/>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94"/>
      <c r="Q27" s="1341">
        <f t="shared" si="11"/>
        <v>111</v>
      </c>
      <c r="R27" s="700" t="s">
        <v>18</v>
      </c>
      <c r="S27" s="701">
        <f t="shared" si="12"/>
        <v>100</v>
      </c>
      <c r="T27" s="700" t="s">
        <v>18</v>
      </c>
      <c r="U27" s="701">
        <f t="shared" si="13"/>
        <v>100</v>
      </c>
      <c r="V27" s="700" t="s">
        <v>18</v>
      </c>
      <c r="W27" s="701">
        <f t="shared" si="14"/>
        <v>100</v>
      </c>
      <c r="X27" s="702"/>
      <c r="Y27" s="3696"/>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94"/>
      <c r="Q28" s="1350">
        <f t="shared" si="11"/>
        <v>111</v>
      </c>
      <c r="R28" s="704" t="s">
        <v>18</v>
      </c>
      <c r="S28" s="705">
        <f t="shared" si="12"/>
        <v>100</v>
      </c>
      <c r="T28" s="704" t="s">
        <v>18</v>
      </c>
      <c r="U28" s="705">
        <f t="shared" si="13"/>
        <v>100</v>
      </c>
      <c r="V28" s="704" t="s">
        <v>18</v>
      </c>
      <c r="W28" s="705">
        <f t="shared" si="14"/>
        <v>100</v>
      </c>
      <c r="X28" s="1353"/>
      <c r="Y28" s="3696"/>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94"/>
      <c r="Q29" s="1350">
        <f t="shared" si="11"/>
        <v>111</v>
      </c>
      <c r="R29" s="704" t="s">
        <v>18</v>
      </c>
      <c r="S29" s="705">
        <f t="shared" si="12"/>
        <v>100</v>
      </c>
      <c r="T29" s="704" t="s">
        <v>18</v>
      </c>
      <c r="U29" s="705">
        <f t="shared" si="13"/>
        <v>100</v>
      </c>
      <c r="V29" s="704" t="s">
        <v>18</v>
      </c>
      <c r="W29" s="705">
        <f t="shared" si="14"/>
        <v>100</v>
      </c>
      <c r="X29" s="1353"/>
      <c r="Y29" s="3696"/>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94"/>
      <c r="Q30" s="1350">
        <f t="shared" si="11"/>
        <v>111</v>
      </c>
      <c r="R30" s="704" t="s">
        <v>18</v>
      </c>
      <c r="S30" s="705">
        <f t="shared" si="12"/>
        <v>100</v>
      </c>
      <c r="T30" s="704" t="s">
        <v>18</v>
      </c>
      <c r="U30" s="705">
        <f t="shared" si="13"/>
        <v>100</v>
      </c>
      <c r="V30" s="704" t="s">
        <v>18</v>
      </c>
      <c r="W30" s="705">
        <f t="shared" si="14"/>
        <v>100</v>
      </c>
      <c r="X30" s="1353"/>
      <c r="Y30" s="3696"/>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94"/>
      <c r="Q31" s="1350">
        <f t="shared" si="11"/>
        <v>111</v>
      </c>
      <c r="R31" s="704" t="s">
        <v>18</v>
      </c>
      <c r="S31" s="705">
        <f t="shared" si="12"/>
        <v>100</v>
      </c>
      <c r="T31" s="704" t="s">
        <v>18</v>
      </c>
      <c r="U31" s="705">
        <f t="shared" si="13"/>
        <v>100</v>
      </c>
      <c r="V31" s="704" t="s">
        <v>18</v>
      </c>
      <c r="W31" s="705">
        <f t="shared" si="14"/>
        <v>100</v>
      </c>
      <c r="X31" s="1353"/>
      <c r="Y31" s="3696"/>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97" t="s">
        <v>1695</v>
      </c>
      <c r="Q32" s="1350" t="str">
        <f t="shared" si="11"/>
        <v>建筑类型</v>
      </c>
      <c r="R32" s="704" t="s">
        <v>18</v>
      </c>
      <c r="S32" s="705">
        <f t="shared" si="12"/>
        <v>100</v>
      </c>
      <c r="T32" s="704" t="s">
        <v>18</v>
      </c>
      <c r="U32" s="705">
        <f t="shared" si="13"/>
        <v>100</v>
      </c>
      <c r="V32" s="704" t="s">
        <v>18</v>
      </c>
      <c r="W32" s="705">
        <f t="shared" si="14"/>
        <v>100</v>
      </c>
      <c r="X32" s="1353"/>
      <c r="Y32" s="3700"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98"/>
      <c r="Q33" s="706" t="str">
        <f t="shared" si="11"/>
        <v>项目建筑规模</v>
      </c>
      <c r="R33" s="707" t="s">
        <v>18</v>
      </c>
      <c r="S33" s="708" t="e">
        <f t="shared" si="12"/>
        <v>#N/A</v>
      </c>
      <c r="T33" s="707" t="s">
        <v>18</v>
      </c>
      <c r="U33" s="708" t="e">
        <f t="shared" si="13"/>
        <v>#N/A</v>
      </c>
      <c r="V33" s="707" t="s">
        <v>18</v>
      </c>
      <c r="W33" s="708" t="e">
        <f t="shared" si="14"/>
        <v>#N/A</v>
      </c>
      <c r="X33" s="709"/>
      <c r="Y33" s="3700"/>
      <c r="Z33" s="710"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98"/>
      <c r="Q34" s="1350" t="str">
        <f t="shared" si="11"/>
        <v>建筑结构</v>
      </c>
      <c r="R34" s="704" t="s">
        <v>18</v>
      </c>
      <c r="S34" s="705">
        <f t="shared" si="12"/>
        <v>100</v>
      </c>
      <c r="T34" s="704" t="s">
        <v>18</v>
      </c>
      <c r="U34" s="705">
        <f t="shared" si="13"/>
        <v>100</v>
      </c>
      <c r="V34" s="704" t="s">
        <v>18</v>
      </c>
      <c r="W34" s="705">
        <f t="shared" si="14"/>
        <v>100</v>
      </c>
      <c r="X34" s="1353"/>
      <c r="Y34" s="3700"/>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98"/>
      <c r="Q35" s="1350" t="str">
        <f t="shared" si="11"/>
        <v>建筑品质</v>
      </c>
      <c r="R35" s="704" t="s">
        <v>18</v>
      </c>
      <c r="S35" s="705">
        <f t="shared" si="12"/>
        <v>100</v>
      </c>
      <c r="T35" s="704" t="s">
        <v>18</v>
      </c>
      <c r="U35" s="705">
        <f t="shared" si="13"/>
        <v>100</v>
      </c>
      <c r="V35" s="704" t="s">
        <v>18</v>
      </c>
      <c r="W35" s="705">
        <f t="shared" si="14"/>
        <v>100</v>
      </c>
      <c r="X35" s="1353"/>
      <c r="Y35" s="3700"/>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98"/>
      <c r="Q36" s="1350" t="str">
        <f t="shared" si="11"/>
        <v>公共部分装修</v>
      </c>
      <c r="R36" s="704" t="s">
        <v>18</v>
      </c>
      <c r="S36" s="705">
        <f t="shared" si="12"/>
        <v>100</v>
      </c>
      <c r="T36" s="704" t="s">
        <v>18</v>
      </c>
      <c r="U36" s="705">
        <f t="shared" si="13"/>
        <v>100</v>
      </c>
      <c r="V36" s="704" t="s">
        <v>18</v>
      </c>
      <c r="W36" s="705">
        <f t="shared" si="14"/>
        <v>100</v>
      </c>
      <c r="X36" s="1353"/>
      <c r="Y36" s="3700"/>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8"/>
      <c r="Q37" s="1341" t="str">
        <f t="shared" si="11"/>
        <v>成新度</v>
      </c>
      <c r="R37" s="700" t="s">
        <v>18</v>
      </c>
      <c r="S37" s="701" t="e">
        <f t="shared" si="12"/>
        <v>#N/A</v>
      </c>
      <c r="T37" s="700" t="s">
        <v>18</v>
      </c>
      <c r="U37" s="701" t="e">
        <f t="shared" si="13"/>
        <v>#N/A</v>
      </c>
      <c r="V37" s="700" t="s">
        <v>18</v>
      </c>
      <c r="W37" s="701" t="e">
        <f t="shared" si="14"/>
        <v>#N/A</v>
      </c>
      <c r="X37" s="702"/>
      <c r="Y37" s="3700"/>
      <c r="Z37" s="52" t="str">
        <f t="shared" si="18"/>
        <v>成新度</v>
      </c>
      <c r="AA37" s="703" t="e">
        <f t="shared" si="15"/>
        <v>#N/A</v>
      </c>
      <c r="AB37" s="703" t="e">
        <f t="shared" si="16"/>
        <v>#N/A</v>
      </c>
      <c r="AC37" s="703"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98" t="s">
        <v>1695</v>
      </c>
      <c r="Q38" s="1350" t="str">
        <f t="shared" si="11"/>
        <v>物业管理</v>
      </c>
      <c r="R38" s="704" t="s">
        <v>18</v>
      </c>
      <c r="S38" s="705">
        <f t="shared" si="12"/>
        <v>100</v>
      </c>
      <c r="T38" s="704" t="s">
        <v>18</v>
      </c>
      <c r="U38" s="705">
        <f t="shared" si="13"/>
        <v>100</v>
      </c>
      <c r="V38" s="704" t="s">
        <v>18</v>
      </c>
      <c r="W38" s="705">
        <f t="shared" si="14"/>
        <v>100</v>
      </c>
      <c r="X38" s="1353"/>
      <c r="Y38" s="3700"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98"/>
      <c r="Q39" s="1350" t="str">
        <f t="shared" si="11"/>
        <v>市政基础设施</v>
      </c>
      <c r="R39" s="704" t="s">
        <v>18</v>
      </c>
      <c r="S39" s="705">
        <f t="shared" si="12"/>
        <v>100</v>
      </c>
      <c r="T39" s="704" t="s">
        <v>18</v>
      </c>
      <c r="U39" s="705">
        <f t="shared" si="13"/>
        <v>100</v>
      </c>
      <c r="V39" s="704" t="s">
        <v>18</v>
      </c>
      <c r="W39" s="705">
        <f t="shared" si="14"/>
        <v>100</v>
      </c>
      <c r="X39" s="1353"/>
      <c r="Y39" s="3700"/>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98"/>
      <c r="Q40" s="1350" t="str">
        <f t="shared" si="11"/>
        <v>房型</v>
      </c>
      <c r="R40" s="704" t="s">
        <v>18</v>
      </c>
      <c r="S40" s="705">
        <f t="shared" si="12"/>
        <v>100</v>
      </c>
      <c r="T40" s="704" t="s">
        <v>18</v>
      </c>
      <c r="U40" s="705">
        <f t="shared" si="13"/>
        <v>100</v>
      </c>
      <c r="V40" s="704" t="s">
        <v>18</v>
      </c>
      <c r="W40" s="705">
        <f t="shared" si="14"/>
        <v>100</v>
      </c>
      <c r="X40" s="1353"/>
      <c r="Y40" s="3700"/>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98"/>
      <c r="Q41" s="706" t="str">
        <f t="shared" si="11"/>
        <v>单套/主力户型建筑面积</v>
      </c>
      <c r="R41" s="707" t="s">
        <v>18</v>
      </c>
      <c r="S41" s="708">
        <f t="shared" si="12"/>
        <v>100</v>
      </c>
      <c r="T41" s="707" t="s">
        <v>18</v>
      </c>
      <c r="U41" s="708">
        <f t="shared" si="13"/>
        <v>100</v>
      </c>
      <c r="V41" s="707" t="s">
        <v>18</v>
      </c>
      <c r="W41" s="708">
        <f t="shared" si="14"/>
        <v>100</v>
      </c>
      <c r="X41" s="709"/>
      <c r="Y41" s="3700"/>
      <c r="Z41" s="710"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98"/>
      <c r="Q42" s="1350" t="str">
        <f t="shared" si="11"/>
        <v>内部装修</v>
      </c>
      <c r="R42" s="704" t="s">
        <v>18</v>
      </c>
      <c r="S42" s="705">
        <f t="shared" si="12"/>
        <v>100</v>
      </c>
      <c r="T42" s="704" t="s">
        <v>18</v>
      </c>
      <c r="U42" s="705">
        <f t="shared" si="13"/>
        <v>100</v>
      </c>
      <c r="V42" s="704" t="s">
        <v>18</v>
      </c>
      <c r="W42" s="705">
        <f t="shared" si="14"/>
        <v>100</v>
      </c>
      <c r="X42" s="1353"/>
      <c r="Y42" s="3700"/>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98"/>
      <c r="Q43" s="1350" t="str">
        <f t="shared" si="11"/>
        <v>内部装修维护情况</v>
      </c>
      <c r="R43" s="704" t="s">
        <v>18</v>
      </c>
      <c r="S43" s="705">
        <f t="shared" si="12"/>
        <v>100</v>
      </c>
      <c r="T43" s="704" t="s">
        <v>18</v>
      </c>
      <c r="U43" s="705">
        <f t="shared" si="13"/>
        <v>100</v>
      </c>
      <c r="V43" s="704" t="s">
        <v>18</v>
      </c>
      <c r="W43" s="705">
        <f t="shared" si="14"/>
        <v>100</v>
      </c>
      <c r="X43" s="1353"/>
      <c r="Y43" s="3700"/>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98"/>
      <c r="Q44" s="1341">
        <f t="shared" si="11"/>
        <v>111</v>
      </c>
      <c r="R44" s="700" t="s">
        <v>18</v>
      </c>
      <c r="S44" s="701">
        <f t="shared" si="12"/>
        <v>100</v>
      </c>
      <c r="T44" s="700" t="s">
        <v>18</v>
      </c>
      <c r="U44" s="701">
        <f t="shared" si="13"/>
        <v>100</v>
      </c>
      <c r="V44" s="700" t="s">
        <v>18</v>
      </c>
      <c r="W44" s="701">
        <f t="shared" si="14"/>
        <v>100</v>
      </c>
      <c r="X44" s="702"/>
      <c r="Y44" s="370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98"/>
      <c r="Q45" s="1350">
        <f t="shared" si="11"/>
        <v>111</v>
      </c>
      <c r="R45" s="704" t="s">
        <v>18</v>
      </c>
      <c r="S45" s="705">
        <f t="shared" si="12"/>
        <v>100</v>
      </c>
      <c r="T45" s="704" t="s">
        <v>18</v>
      </c>
      <c r="U45" s="705">
        <f t="shared" si="13"/>
        <v>100</v>
      </c>
      <c r="V45" s="704" t="s">
        <v>18</v>
      </c>
      <c r="W45" s="705">
        <f t="shared" si="14"/>
        <v>100</v>
      </c>
      <c r="X45" s="1353"/>
      <c r="Y45" s="370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99"/>
      <c r="Q46" s="1350">
        <f t="shared" si="11"/>
        <v>111</v>
      </c>
      <c r="R46" s="704" t="s">
        <v>17</v>
      </c>
      <c r="S46" s="705">
        <f t="shared" si="12"/>
        <v>100</v>
      </c>
      <c r="T46" s="704" t="s">
        <v>17</v>
      </c>
      <c r="U46" s="705">
        <f t="shared" si="13"/>
        <v>100</v>
      </c>
      <c r="V46" s="704" t="s">
        <v>17</v>
      </c>
      <c r="W46" s="705">
        <f t="shared" si="14"/>
        <v>100</v>
      </c>
      <c r="X46" s="1353"/>
      <c r="Y46" s="3701"/>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21"/>
      <c r="M47" s="2722"/>
      <c r="N47" s="2713"/>
      <c r="O47" s="2722"/>
      <c r="P47" s="3688" t="str">
        <f>A47</f>
        <v>成交单价（元/平方米）</v>
      </c>
      <c r="Q47" s="3688"/>
      <c r="R47" s="3689">
        <f>E47</f>
        <v>0</v>
      </c>
      <c r="S47" s="3689"/>
      <c r="T47" s="3689">
        <f>G47</f>
        <v>0</v>
      </c>
      <c r="U47" s="3689"/>
      <c r="V47" s="3689">
        <f>I47</f>
        <v>0</v>
      </c>
      <c r="W47" s="3689"/>
      <c r="X47" s="689"/>
      <c r="Y47" s="711"/>
      <c r="Z47" s="689"/>
      <c r="AA47" s="689"/>
      <c r="AB47" s="689"/>
      <c r="AC47" s="689"/>
    </row>
    <row r="48" spans="1:29" ht="15.75" thickBot="1">
      <c r="A48" s="437" t="s">
        <v>1708</v>
      </c>
      <c r="B48" s="438"/>
      <c r="C48" s="1159" t="e">
        <f>R49</f>
        <v>#DIV/0!</v>
      </c>
      <c r="D48" s="2315" t="s">
        <v>2133</v>
      </c>
      <c r="E48" s="1160" t="e">
        <f>R48</f>
        <v>#DIV/0!</v>
      </c>
      <c r="F48" s="2316"/>
      <c r="G48" s="1159" t="e">
        <f>T48</f>
        <v>#DIV/0!</v>
      </c>
      <c r="H48" s="2316"/>
      <c r="I48" s="1160" t="e">
        <f>V48</f>
        <v>#DIV/0!</v>
      </c>
      <c r="J48" s="2316"/>
      <c r="K48" s="2317">
        <f>F48+H48+J48</f>
        <v>0</v>
      </c>
      <c r="L48" s="2721"/>
      <c r="M48" s="2722"/>
      <c r="N48" s="2722"/>
      <c r="O48" s="2722"/>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3"/>
      <c r="L49" s="2721"/>
      <c r="M49" s="2722"/>
      <c r="N49" s="2722"/>
      <c r="O49" s="272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1713</v>
      </c>
      <c r="B57" s="689"/>
      <c r="C57" s="694"/>
      <c r="D57" s="694"/>
      <c r="E57" s="694"/>
      <c r="F57" s="695"/>
      <c r="G57" s="695"/>
      <c r="H57" s="694"/>
      <c r="I57" s="694"/>
      <c r="J57" s="694"/>
      <c r="K57" s="940"/>
      <c r="L57" s="941"/>
      <c r="M57" s="939"/>
      <c r="N57" s="939"/>
      <c r="O57" s="939"/>
      <c r="P57" s="1916"/>
      <c r="Q57" s="453"/>
    </row>
    <row r="58" spans="1:29" s="457" customFormat="1" ht="15">
      <c r="A58" s="454" t="s">
        <v>1714</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9" stopIfTrue="1" operator="containsText" text="超过">
      <formula>NOT(ISERROR(SEARCH("超过",F52)))</formula>
    </cfRule>
  </conditionalFormatting>
  <conditionalFormatting sqref="J54">
    <cfRule type="containsText" dxfId="119" priority="18" stopIfTrue="1" operator="containsText" text="超过">
      <formula>NOT(ISERROR(SEARCH("超过",J54)))</formula>
    </cfRule>
  </conditionalFormatting>
  <conditionalFormatting sqref="H54">
    <cfRule type="containsText" dxfId="118" priority="17" stopIfTrue="1" operator="containsText" text="超过">
      <formula>NOT(ISERROR(SEARCH("超过",H54)))</formula>
    </cfRule>
  </conditionalFormatting>
  <conditionalFormatting sqref="F54">
    <cfRule type="containsText" dxfId="117" priority="16" stopIfTrue="1" operator="containsText" text="超过">
      <formula>NOT(ISERROR(SEARCH("超过",F54)))</formula>
    </cfRule>
  </conditionalFormatting>
  <conditionalFormatting sqref="F53 H53 J53">
    <cfRule type="containsText" dxfId="116" priority="15" stopIfTrue="1" operator="containsText" text="超过">
      <formula>NOT(ISERROR(SEARCH("超过",F53)))</formula>
    </cfRule>
  </conditionalFormatting>
  <conditionalFormatting sqref="E52">
    <cfRule type="expression" dxfId="115" priority="14" stopIfTrue="1">
      <formula>$F$52="超过30%"</formula>
    </cfRule>
  </conditionalFormatting>
  <conditionalFormatting sqref="G54">
    <cfRule type="expression" dxfId="114" priority="12" stopIfTrue="1">
      <formula>$H$54="超过30%"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F7:F46 H7:H46 J7:J46">
    <cfRule type="cellIs" dxfId="10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1216.6500000000001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05" t="s">
        <v>1769</v>
      </c>
      <c r="D4" s="3706"/>
      <c r="E4" s="3707" t="s">
        <v>1770</v>
      </c>
      <c r="F4" s="3708"/>
      <c r="G4" s="3705" t="s">
        <v>1771</v>
      </c>
      <c r="H4" s="3706"/>
      <c r="I4" s="3705" t="s">
        <v>1772</v>
      </c>
      <c r="J4" s="3706"/>
      <c r="K4" s="559" t="s">
        <v>1773</v>
      </c>
      <c r="L4" s="912"/>
      <c r="M4" s="913"/>
      <c r="N4" s="913"/>
      <c r="O4" s="913"/>
      <c r="P4" s="3748" t="s">
        <v>1774</v>
      </c>
      <c r="Q4" s="3749"/>
      <c r="R4" s="3752" t="s">
        <v>1770</v>
      </c>
      <c r="S4" s="3753"/>
      <c r="T4" s="3752" t="s">
        <v>1771</v>
      </c>
      <c r="U4" s="3753"/>
      <c r="V4" s="3722" t="s">
        <v>1772</v>
      </c>
      <c r="W4" s="3722"/>
      <c r="X4" s="1353"/>
      <c r="Y4" s="3752" t="s">
        <v>1774</v>
      </c>
      <c r="Z4" s="3753"/>
      <c r="AA4" s="3747" t="s">
        <v>1770</v>
      </c>
      <c r="AB4" s="3736" t="s">
        <v>1771</v>
      </c>
      <c r="AC4" s="3747" t="s">
        <v>1772</v>
      </c>
    </row>
    <row r="5" spans="1:29" ht="15">
      <c r="A5" s="358"/>
      <c r="B5" s="359"/>
      <c r="C5" s="3731" t="s">
        <v>1672</v>
      </c>
      <c r="D5" s="3732"/>
      <c r="E5" s="3776" t="s">
        <v>1673</v>
      </c>
      <c r="F5" s="3726"/>
      <c r="G5" s="3731" t="s">
        <v>1674</v>
      </c>
      <c r="H5" s="3732"/>
      <c r="I5" s="3731" t="s">
        <v>1675</v>
      </c>
      <c r="J5" s="3732"/>
      <c r="K5" s="559"/>
      <c r="L5" s="912"/>
      <c r="M5" s="913"/>
      <c r="N5" s="913"/>
      <c r="O5" s="913"/>
      <c r="P5" s="3750"/>
      <c r="Q5" s="3712"/>
      <c r="R5" s="3717"/>
      <c r="S5" s="3718"/>
      <c r="T5" s="3717"/>
      <c r="U5" s="3718"/>
      <c r="V5" s="3722"/>
      <c r="W5" s="3722"/>
      <c r="X5" s="1353"/>
      <c r="Y5" s="3717"/>
      <c r="Z5" s="3718"/>
      <c r="AA5" s="3736"/>
      <c r="AB5" s="3736"/>
      <c r="AC5" s="3736"/>
    </row>
    <row r="6" spans="1:29" ht="15.75" thickBot="1">
      <c r="A6" s="360"/>
      <c r="B6" s="361"/>
      <c r="C6" s="3723" t="s">
        <v>1676</v>
      </c>
      <c r="D6" s="3724"/>
      <c r="E6" s="3733" t="s">
        <v>1676</v>
      </c>
      <c r="F6" s="3734"/>
      <c r="G6" s="3723" t="s">
        <v>1676</v>
      </c>
      <c r="H6" s="3724"/>
      <c r="I6" s="3723" t="s">
        <v>1676</v>
      </c>
      <c r="J6" s="3724"/>
      <c r="K6" s="559" t="s">
        <v>1677</v>
      </c>
      <c r="L6" s="912"/>
      <c r="M6" s="913"/>
      <c r="N6" s="913"/>
      <c r="O6" s="913"/>
      <c r="P6" s="3751"/>
      <c r="Q6" s="3714"/>
      <c r="R6" s="3717"/>
      <c r="S6" s="3718"/>
      <c r="T6" s="3719"/>
      <c r="U6" s="3720"/>
      <c r="V6" s="3722"/>
      <c r="W6" s="3722"/>
      <c r="X6" s="1353"/>
      <c r="Y6" s="3719"/>
      <c r="Z6" s="3720"/>
      <c r="AA6" s="3737"/>
      <c r="AB6" s="3737"/>
      <c r="AC6" s="3737"/>
    </row>
    <row r="7" spans="1:29" s="108" customFormat="1" ht="15.75" thickBot="1">
      <c r="A7" s="362" t="s">
        <v>1678</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4"/>
      <c r="M7" s="915"/>
      <c r="N7" s="915"/>
      <c r="O7" s="915"/>
      <c r="P7" s="3729" t="s">
        <v>1679</v>
      </c>
      <c r="Q7" s="3730"/>
      <c r="R7" s="700" t="s">
        <v>14</v>
      </c>
      <c r="S7" s="701">
        <f t="shared" ref="S7:S15" si="0">F7</f>
        <v>0</v>
      </c>
      <c r="T7" s="700" t="s">
        <v>14</v>
      </c>
      <c r="U7" s="701">
        <f t="shared" ref="U7:U15" si="1">H7</f>
        <v>0</v>
      </c>
      <c r="V7" s="700" t="s">
        <v>14</v>
      </c>
      <c r="W7" s="701">
        <f t="shared" ref="W7:W15" si="2">J7</f>
        <v>0</v>
      </c>
      <c r="X7" s="702"/>
      <c r="Y7" s="3729" t="s">
        <v>1679</v>
      </c>
      <c r="Z7" s="3728"/>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9" t="s">
        <v>1682</v>
      </c>
      <c r="Q8" s="3728"/>
      <c r="R8" s="700" t="s">
        <v>14</v>
      </c>
      <c r="S8" s="701">
        <f t="shared" si="0"/>
        <v>100</v>
      </c>
      <c r="T8" s="700" t="s">
        <v>14</v>
      </c>
      <c r="U8" s="701">
        <f t="shared" si="1"/>
        <v>100</v>
      </c>
      <c r="V8" s="700" t="s">
        <v>14</v>
      </c>
      <c r="W8" s="701">
        <f t="shared" si="2"/>
        <v>100</v>
      </c>
      <c r="X8" s="702"/>
      <c r="Y8" s="3729" t="s">
        <v>1682</v>
      </c>
      <c r="Z8" s="3728"/>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8" t="s">
        <v>1685</v>
      </c>
      <c r="Q9" s="1341"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88"/>
      <c r="Q10" s="1341"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8"/>
      <c r="Q11" s="1341"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88"/>
      <c r="Q12" s="1341">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88"/>
      <c r="Q13" s="1341">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88"/>
      <c r="Q14" s="1341">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5" t="s">
        <v>1690</v>
      </c>
      <c r="Q15" s="1350" t="str">
        <f t="shared" si="6"/>
        <v>产业集聚程度</v>
      </c>
      <c r="R15" s="704" t="s">
        <v>14</v>
      </c>
      <c r="S15" s="705">
        <f t="shared" si="0"/>
        <v>100</v>
      </c>
      <c r="T15" s="704" t="s">
        <v>14</v>
      </c>
      <c r="U15" s="705">
        <f t="shared" si="1"/>
        <v>100</v>
      </c>
      <c r="V15" s="704" t="s">
        <v>14</v>
      </c>
      <c r="W15" s="705">
        <f t="shared" si="2"/>
        <v>100</v>
      </c>
      <c r="X15" s="1353"/>
      <c r="Y15" s="3695"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6"/>
      <c r="Q16" s="1350"/>
      <c r="R16" s="704"/>
      <c r="S16" s="705"/>
      <c r="T16" s="704"/>
      <c r="U16" s="705"/>
      <c r="V16" s="704"/>
      <c r="W16" s="705"/>
      <c r="X16" s="1353"/>
      <c r="Y16" s="3696"/>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6"/>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96"/>
      <c r="Q18" s="1350"/>
      <c r="R18" s="704"/>
      <c r="S18" s="705"/>
      <c r="T18" s="704"/>
      <c r="U18" s="705"/>
      <c r="V18" s="704"/>
      <c r="W18" s="705"/>
      <c r="X18" s="1353"/>
      <c r="Y18" s="3696"/>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6"/>
      <c r="Q19" s="1350" t="str">
        <f>B19</f>
        <v>公共配套设施</v>
      </c>
      <c r="R19" s="704" t="s">
        <v>14</v>
      </c>
      <c r="S19" s="705">
        <f>F19</f>
        <v>100</v>
      </c>
      <c r="T19" s="704" t="s">
        <v>14</v>
      </c>
      <c r="U19" s="705">
        <f>H19</f>
        <v>100</v>
      </c>
      <c r="V19" s="704" t="s">
        <v>14</v>
      </c>
      <c r="W19" s="705">
        <f>J19</f>
        <v>100</v>
      </c>
      <c r="X19" s="1353"/>
      <c r="Y19" s="369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96"/>
      <c r="Q20" s="1350"/>
      <c r="R20" s="704"/>
      <c r="S20" s="705"/>
      <c r="T20" s="704"/>
      <c r="U20" s="705"/>
      <c r="V20" s="704"/>
      <c r="W20" s="705"/>
      <c r="X20" s="1353"/>
      <c r="Y20" s="3696"/>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6"/>
      <c r="Q21" s="1350" t="str">
        <f>B21</f>
        <v>基础设施水平</v>
      </c>
      <c r="R21" s="704" t="s">
        <v>14</v>
      </c>
      <c r="S21" s="705">
        <f>F21</f>
        <v>100</v>
      </c>
      <c r="T21" s="704" t="s">
        <v>14</v>
      </c>
      <c r="U21" s="705">
        <f>H21</f>
        <v>100</v>
      </c>
      <c r="V21" s="704" t="s">
        <v>14</v>
      </c>
      <c r="W21" s="705">
        <f>J21</f>
        <v>100</v>
      </c>
      <c r="X21" s="1353"/>
      <c r="Y21" s="369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96"/>
      <c r="Q22" s="1350"/>
      <c r="R22" s="704"/>
      <c r="S22" s="705"/>
      <c r="T22" s="704"/>
      <c r="U22" s="705"/>
      <c r="V22" s="704"/>
      <c r="W22" s="705"/>
      <c r="X22" s="1353"/>
      <c r="Y22" s="3696"/>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6"/>
      <c r="Q23" s="1350" t="str">
        <f>B23</f>
        <v>环境质量</v>
      </c>
      <c r="R23" s="704" t="s">
        <v>14</v>
      </c>
      <c r="S23" s="705">
        <f>F23</f>
        <v>100</v>
      </c>
      <c r="T23" s="704" t="s">
        <v>14</v>
      </c>
      <c r="U23" s="705">
        <f>H23</f>
        <v>100</v>
      </c>
      <c r="V23" s="704" t="s">
        <v>14</v>
      </c>
      <c r="W23" s="705">
        <f>J23</f>
        <v>100</v>
      </c>
      <c r="X23" s="1353"/>
      <c r="Y23" s="3696"/>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96"/>
      <c r="Q24" s="1350"/>
      <c r="R24" s="704"/>
      <c r="S24" s="705"/>
      <c r="T24" s="704"/>
      <c r="U24" s="705"/>
      <c r="V24" s="704"/>
      <c r="W24" s="705"/>
      <c r="X24" s="1353"/>
      <c r="Y24" s="3696"/>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6"/>
      <c r="Q25" s="1350">
        <f>B25</f>
        <v>111</v>
      </c>
      <c r="R25" s="704" t="s">
        <v>14</v>
      </c>
      <c r="S25" s="705">
        <f>F25</f>
        <v>100</v>
      </c>
      <c r="T25" s="704" t="s">
        <v>14</v>
      </c>
      <c r="U25" s="705">
        <f>H25</f>
        <v>100</v>
      </c>
      <c r="V25" s="704" t="s">
        <v>14</v>
      </c>
      <c r="W25" s="705">
        <f>J25</f>
        <v>100</v>
      </c>
      <c r="X25" s="1353"/>
      <c r="Y25" s="3696"/>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6"/>
      <c r="Q26" s="1350">
        <f t="shared" ref="Q26:Q40" si="11">B26</f>
        <v>111</v>
      </c>
      <c r="R26" s="704" t="s">
        <v>14</v>
      </c>
      <c r="S26" s="705">
        <f>F26</f>
        <v>100</v>
      </c>
      <c r="T26" s="704" t="s">
        <v>14</v>
      </c>
      <c r="U26" s="705">
        <f>H26</f>
        <v>100</v>
      </c>
      <c r="V26" s="704" t="s">
        <v>14</v>
      </c>
      <c r="W26" s="705">
        <f>J26</f>
        <v>100</v>
      </c>
      <c r="X26" s="1353"/>
      <c r="Y26" s="3696"/>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6"/>
      <c r="Q27" s="1341">
        <f t="shared" si="11"/>
        <v>111</v>
      </c>
      <c r="R27" s="700" t="s">
        <v>14</v>
      </c>
      <c r="S27" s="701">
        <f>F27</f>
        <v>100</v>
      </c>
      <c r="T27" s="700" t="s">
        <v>14</v>
      </c>
      <c r="U27" s="701">
        <f>H27</f>
        <v>100</v>
      </c>
      <c r="V27" s="700" t="s">
        <v>14</v>
      </c>
      <c r="W27" s="701">
        <f>J27</f>
        <v>100</v>
      </c>
      <c r="X27" s="702"/>
      <c r="Y27" s="3696"/>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6"/>
      <c r="Q28" s="1350">
        <f t="shared" si="11"/>
        <v>111</v>
      </c>
      <c r="R28" s="704" t="s">
        <v>14</v>
      </c>
      <c r="S28" s="705">
        <f t="shared" ref="S28:S40" si="12">F28</f>
        <v>100</v>
      </c>
      <c r="T28" s="704" t="s">
        <v>14</v>
      </c>
      <c r="U28" s="705">
        <f t="shared" ref="U28:U40" si="13">H28</f>
        <v>100</v>
      </c>
      <c r="V28" s="704" t="s">
        <v>14</v>
      </c>
      <c r="W28" s="705">
        <f t="shared" ref="W28:W40" si="14">J28</f>
        <v>100</v>
      </c>
      <c r="X28" s="1353"/>
      <c r="Y28" s="3696"/>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77" t="s">
        <v>1695</v>
      </c>
      <c r="Q29" s="1350" t="str">
        <f t="shared" si="11"/>
        <v>建筑类型</v>
      </c>
      <c r="R29" s="704" t="s">
        <v>14</v>
      </c>
      <c r="S29" s="705">
        <f t="shared" si="12"/>
        <v>100</v>
      </c>
      <c r="T29" s="704" t="s">
        <v>14</v>
      </c>
      <c r="U29" s="705">
        <f t="shared" si="13"/>
        <v>100</v>
      </c>
      <c r="V29" s="704" t="s">
        <v>14</v>
      </c>
      <c r="W29" s="705">
        <f t="shared" si="14"/>
        <v>100</v>
      </c>
      <c r="X29" s="1353"/>
      <c r="Y29" s="3700"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0"/>
      <c r="Q30" s="706" t="str">
        <f t="shared" si="11"/>
        <v>项目建筑规模</v>
      </c>
      <c r="R30" s="707" t="s">
        <v>14</v>
      </c>
      <c r="S30" s="708" t="e">
        <f t="shared" si="12"/>
        <v>#N/A</v>
      </c>
      <c r="T30" s="707" t="s">
        <v>14</v>
      </c>
      <c r="U30" s="708" t="e">
        <f t="shared" si="13"/>
        <v>#N/A</v>
      </c>
      <c r="V30" s="707" t="s">
        <v>14</v>
      </c>
      <c r="W30" s="708" t="e">
        <f t="shared" si="14"/>
        <v>#N/A</v>
      </c>
      <c r="X30" s="709"/>
      <c r="Y30" s="3700"/>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0"/>
      <c r="Q31" s="1350" t="str">
        <f t="shared" si="11"/>
        <v>建筑结构</v>
      </c>
      <c r="R31" s="704" t="s">
        <v>14</v>
      </c>
      <c r="S31" s="705">
        <f t="shared" si="12"/>
        <v>100</v>
      </c>
      <c r="T31" s="704" t="s">
        <v>14</v>
      </c>
      <c r="U31" s="705">
        <f t="shared" si="13"/>
        <v>100</v>
      </c>
      <c r="V31" s="704" t="s">
        <v>14</v>
      </c>
      <c r="W31" s="705">
        <f t="shared" si="14"/>
        <v>100</v>
      </c>
      <c r="X31" s="1353"/>
      <c r="Y31" s="3700"/>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0"/>
      <c r="Q32" s="1350" t="str">
        <f t="shared" si="11"/>
        <v>公共部分装修</v>
      </c>
      <c r="R32" s="704" t="s">
        <v>14</v>
      </c>
      <c r="S32" s="705">
        <f t="shared" si="12"/>
        <v>100</v>
      </c>
      <c r="T32" s="704" t="s">
        <v>14</v>
      </c>
      <c r="U32" s="705">
        <f t="shared" si="13"/>
        <v>100</v>
      </c>
      <c r="V32" s="704" t="s">
        <v>14</v>
      </c>
      <c r="W32" s="705">
        <f t="shared" si="14"/>
        <v>100</v>
      </c>
      <c r="X32" s="1353"/>
      <c r="Y32" s="3700"/>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0"/>
      <c r="Q33" s="1350" t="str">
        <f t="shared" si="11"/>
        <v>成新度</v>
      </c>
      <c r="R33" s="704" t="s">
        <v>14</v>
      </c>
      <c r="S33" s="705" t="e">
        <f t="shared" si="12"/>
        <v>#N/A</v>
      </c>
      <c r="T33" s="704" t="s">
        <v>14</v>
      </c>
      <c r="U33" s="705" t="e">
        <f t="shared" si="13"/>
        <v>#N/A</v>
      </c>
      <c r="V33" s="704" t="s">
        <v>14</v>
      </c>
      <c r="W33" s="705" t="e">
        <f t="shared" si="14"/>
        <v>#N/A</v>
      </c>
      <c r="X33" s="1353"/>
      <c r="Y33" s="3700"/>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0"/>
      <c r="Q34" s="1341" t="str">
        <f t="shared" si="11"/>
        <v>物业管理</v>
      </c>
      <c r="R34" s="700" t="s">
        <v>14</v>
      </c>
      <c r="S34" s="701">
        <f t="shared" si="12"/>
        <v>100</v>
      </c>
      <c r="T34" s="700" t="s">
        <v>14</v>
      </c>
      <c r="U34" s="701">
        <f t="shared" si="13"/>
        <v>100</v>
      </c>
      <c r="V34" s="700" t="s">
        <v>14</v>
      </c>
      <c r="W34" s="701">
        <f t="shared" si="14"/>
        <v>100</v>
      </c>
      <c r="X34" s="702"/>
      <c r="Y34" s="3700"/>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0" t="s">
        <v>1695</v>
      </c>
      <c r="Q35" s="1350" t="str">
        <f t="shared" si="11"/>
        <v>市政基础设施</v>
      </c>
      <c r="R35" s="704" t="s">
        <v>14</v>
      </c>
      <c r="S35" s="705">
        <f t="shared" si="12"/>
        <v>100</v>
      </c>
      <c r="T35" s="704" t="s">
        <v>14</v>
      </c>
      <c r="U35" s="705">
        <f t="shared" si="13"/>
        <v>100</v>
      </c>
      <c r="V35" s="704" t="s">
        <v>14</v>
      </c>
      <c r="W35" s="705">
        <f t="shared" si="14"/>
        <v>100</v>
      </c>
      <c r="X35" s="1353"/>
      <c r="Y35" s="3700"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0"/>
      <c r="Q36" s="1350" t="str">
        <f t="shared" si="11"/>
        <v>内部装修</v>
      </c>
      <c r="R36" s="704" t="s">
        <v>14</v>
      </c>
      <c r="S36" s="705">
        <f t="shared" si="12"/>
        <v>100</v>
      </c>
      <c r="T36" s="704" t="s">
        <v>14</v>
      </c>
      <c r="U36" s="705">
        <f t="shared" si="13"/>
        <v>100</v>
      </c>
      <c r="V36" s="704" t="s">
        <v>14</v>
      </c>
      <c r="W36" s="705">
        <f t="shared" si="14"/>
        <v>100</v>
      </c>
      <c r="X36" s="1353"/>
      <c r="Y36" s="3700"/>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0"/>
      <c r="Q37" s="1350" t="str">
        <f t="shared" si="11"/>
        <v>内部装修状况</v>
      </c>
      <c r="R37" s="704" t="s">
        <v>14</v>
      </c>
      <c r="S37" s="705">
        <f t="shared" si="12"/>
        <v>100</v>
      </c>
      <c r="T37" s="704" t="s">
        <v>14</v>
      </c>
      <c r="U37" s="705">
        <f t="shared" si="13"/>
        <v>100</v>
      </c>
      <c r="V37" s="704" t="s">
        <v>14</v>
      </c>
      <c r="W37" s="705">
        <f t="shared" si="14"/>
        <v>100</v>
      </c>
      <c r="X37" s="1353"/>
      <c r="Y37" s="3700"/>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0"/>
      <c r="Q38" s="706">
        <f t="shared" si="11"/>
        <v>111</v>
      </c>
      <c r="R38" s="707" t="s">
        <v>14</v>
      </c>
      <c r="S38" s="708">
        <f t="shared" si="12"/>
        <v>100</v>
      </c>
      <c r="T38" s="707" t="s">
        <v>14</v>
      </c>
      <c r="U38" s="708">
        <f t="shared" si="13"/>
        <v>100</v>
      </c>
      <c r="V38" s="707" t="s">
        <v>14</v>
      </c>
      <c r="W38" s="708">
        <f t="shared" si="14"/>
        <v>100</v>
      </c>
      <c r="X38" s="709"/>
      <c r="Y38" s="3700"/>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0"/>
      <c r="Q39" s="1350">
        <f t="shared" si="11"/>
        <v>111</v>
      </c>
      <c r="R39" s="704" t="s">
        <v>14</v>
      </c>
      <c r="S39" s="705">
        <f t="shared" si="12"/>
        <v>100</v>
      </c>
      <c r="T39" s="704" t="s">
        <v>14</v>
      </c>
      <c r="U39" s="705">
        <f t="shared" si="13"/>
        <v>100</v>
      </c>
      <c r="V39" s="704" t="s">
        <v>14</v>
      </c>
      <c r="W39" s="705">
        <f t="shared" si="14"/>
        <v>100</v>
      </c>
      <c r="X39" s="1353"/>
      <c r="Y39" s="370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1"/>
      <c r="Q40" s="1350">
        <f t="shared" si="11"/>
        <v>111</v>
      </c>
      <c r="R40" s="704" t="s">
        <v>14</v>
      </c>
      <c r="S40" s="705">
        <f t="shared" si="12"/>
        <v>100</v>
      </c>
      <c r="T40" s="704" t="s">
        <v>14</v>
      </c>
      <c r="U40" s="705">
        <f t="shared" si="13"/>
        <v>100</v>
      </c>
      <c r="V40" s="704" t="s">
        <v>14</v>
      </c>
      <c r="W40" s="705">
        <f t="shared" si="14"/>
        <v>100</v>
      </c>
      <c r="X40" s="1353"/>
      <c r="Y40" s="3701"/>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688" t="str">
        <f>A41</f>
        <v>成交单价（元/平方米）</v>
      </c>
      <c r="Q41" s="3688"/>
      <c r="R41" s="3689">
        <f>E41</f>
        <v>0</v>
      </c>
      <c r="S41" s="3689"/>
      <c r="T41" s="3689">
        <f>G41</f>
        <v>0</v>
      </c>
      <c r="U41" s="3689"/>
      <c r="V41" s="3689">
        <f>I41</f>
        <v>0</v>
      </c>
      <c r="W41" s="3689"/>
      <c r="X41" s="689"/>
      <c r="Y41" s="711"/>
      <c r="Z41" s="689"/>
      <c r="AA41" s="689"/>
      <c r="AB41" s="689"/>
      <c r="AC41" s="689"/>
    </row>
    <row r="42" spans="1:29" ht="15.75" thickBot="1">
      <c r="A42" s="437" t="s">
        <v>1792</v>
      </c>
      <c r="B42" s="438"/>
      <c r="C42" s="1159" t="e">
        <f>R43</f>
        <v>#DIV/0!</v>
      </c>
      <c r="D42" s="2315" t="s">
        <v>2133</v>
      </c>
      <c r="E42" s="1160" t="e">
        <f>R42</f>
        <v>#DIV/0!</v>
      </c>
      <c r="F42" s="2316"/>
      <c r="G42" s="1159" t="e">
        <f>T42</f>
        <v>#DIV/0!</v>
      </c>
      <c r="H42" s="2316"/>
      <c r="I42" s="1160" t="e">
        <f>V42</f>
        <v>#DIV/0!</v>
      </c>
      <c r="J42" s="2316"/>
      <c r="K42" s="2318">
        <f>F42+H42+J42</f>
        <v>0</v>
      </c>
      <c r="L42" s="925"/>
      <c r="M42" s="926"/>
      <c r="N42" s="913"/>
      <c r="O42" s="926"/>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3329</v>
      </c>
      <c r="C1" s="1223" t="s">
        <v>1661</v>
      </c>
      <c r="D1" s="1224"/>
      <c r="E1" s="3430"/>
      <c r="F1" s="1877"/>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1768</v>
      </c>
      <c r="B4" s="356"/>
      <c r="C4" s="3705" t="s">
        <v>1769</v>
      </c>
      <c r="D4" s="3706"/>
      <c r="E4" s="3707" t="s">
        <v>1770</v>
      </c>
      <c r="F4" s="3708"/>
      <c r="G4" s="3705" t="s">
        <v>1771</v>
      </c>
      <c r="H4" s="3706"/>
      <c r="I4" s="3705" t="s">
        <v>1772</v>
      </c>
      <c r="J4" s="3706"/>
      <c r="K4" s="559" t="s">
        <v>1773</v>
      </c>
      <c r="L4" s="2712"/>
      <c r="M4" s="2713"/>
      <c r="N4" s="2713"/>
      <c r="O4" s="2713"/>
      <c r="P4" s="3748" t="s">
        <v>1774</v>
      </c>
      <c r="Q4" s="3749"/>
      <c r="R4" s="3752" t="s">
        <v>1770</v>
      </c>
      <c r="S4" s="3753"/>
      <c r="T4" s="3752" t="s">
        <v>1771</v>
      </c>
      <c r="U4" s="3753"/>
      <c r="V4" s="3722" t="s">
        <v>1772</v>
      </c>
      <c r="W4" s="3722"/>
      <c r="X4" s="1353"/>
      <c r="Y4" s="3752" t="s">
        <v>1774</v>
      </c>
      <c r="Z4" s="3753"/>
      <c r="AA4" s="3747" t="s">
        <v>1770</v>
      </c>
      <c r="AB4" s="3736" t="s">
        <v>1771</v>
      </c>
      <c r="AC4" s="3747" t="s">
        <v>1772</v>
      </c>
    </row>
    <row r="5" spans="1:29" ht="15">
      <c r="A5" s="358"/>
      <c r="B5" s="359"/>
      <c r="C5" s="3731" t="s">
        <v>1672</v>
      </c>
      <c r="D5" s="3732"/>
      <c r="E5" s="3776" t="s">
        <v>1673</v>
      </c>
      <c r="F5" s="3726"/>
      <c r="G5" s="3731" t="s">
        <v>1674</v>
      </c>
      <c r="H5" s="3732"/>
      <c r="I5" s="3731" t="s">
        <v>1675</v>
      </c>
      <c r="J5" s="3732"/>
      <c r="K5" s="559"/>
      <c r="L5" s="2712"/>
      <c r="M5" s="2713"/>
      <c r="N5" s="2713"/>
      <c r="O5" s="2713"/>
      <c r="P5" s="3750"/>
      <c r="Q5" s="3712"/>
      <c r="R5" s="3717"/>
      <c r="S5" s="3718"/>
      <c r="T5" s="3717"/>
      <c r="U5" s="3718"/>
      <c r="V5" s="3722"/>
      <c r="W5" s="3722"/>
      <c r="X5" s="1353"/>
      <c r="Y5" s="3717"/>
      <c r="Z5" s="3718"/>
      <c r="AA5" s="3736"/>
      <c r="AB5" s="3736"/>
      <c r="AC5" s="3736"/>
    </row>
    <row r="6" spans="1:29" ht="15.75" thickBot="1">
      <c r="A6" s="360"/>
      <c r="B6" s="361"/>
      <c r="C6" s="3723" t="s">
        <v>1676</v>
      </c>
      <c r="D6" s="3724"/>
      <c r="E6" s="3733" t="s">
        <v>1676</v>
      </c>
      <c r="F6" s="3734"/>
      <c r="G6" s="3723" t="s">
        <v>1676</v>
      </c>
      <c r="H6" s="3724"/>
      <c r="I6" s="3723" t="s">
        <v>1676</v>
      </c>
      <c r="J6" s="3724"/>
      <c r="K6" s="559" t="s">
        <v>1677</v>
      </c>
      <c r="L6" s="2712"/>
      <c r="M6" s="2713"/>
      <c r="N6" s="2713"/>
      <c r="O6" s="2713"/>
      <c r="P6" s="3751"/>
      <c r="Q6" s="3714"/>
      <c r="R6" s="3717"/>
      <c r="S6" s="3718"/>
      <c r="T6" s="3719"/>
      <c r="U6" s="3720"/>
      <c r="V6" s="3722"/>
      <c r="W6" s="3722"/>
      <c r="X6" s="1353"/>
      <c r="Y6" s="3719"/>
      <c r="Z6" s="3720"/>
      <c r="AA6" s="3737"/>
      <c r="AB6" s="3737"/>
      <c r="AC6" s="3737"/>
    </row>
    <row r="7" spans="1:29" s="108" customFormat="1" ht="15.75" thickBot="1">
      <c r="A7" s="362" t="s">
        <v>1678</v>
      </c>
      <c r="B7" s="363"/>
      <c r="C7" s="364">
        <f>'数据-取费表'!B2</f>
        <v>45069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9" t="s">
        <v>1679</v>
      </c>
      <c r="Q7" s="3730"/>
      <c r="R7" s="700" t="s">
        <v>14</v>
      </c>
      <c r="S7" s="701">
        <f t="shared" ref="S7:S14" si="0">F7</f>
        <v>0</v>
      </c>
      <c r="T7" s="700" t="s">
        <v>14</v>
      </c>
      <c r="U7" s="701">
        <f t="shared" ref="U7:U14" si="1">H7</f>
        <v>0</v>
      </c>
      <c r="V7" s="700" t="s">
        <v>14</v>
      </c>
      <c r="W7" s="701">
        <f t="shared" ref="W7:W14" si="2">J7</f>
        <v>0</v>
      </c>
      <c r="X7" s="702"/>
      <c r="Y7" s="3729" t="s">
        <v>1679</v>
      </c>
      <c r="Z7" s="3728"/>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9" t="s">
        <v>1682</v>
      </c>
      <c r="Q8" s="3728"/>
      <c r="R8" s="700" t="s">
        <v>14</v>
      </c>
      <c r="S8" s="701">
        <f t="shared" si="0"/>
        <v>100</v>
      </c>
      <c r="T8" s="700" t="s">
        <v>14</v>
      </c>
      <c r="U8" s="701">
        <f t="shared" si="1"/>
        <v>100</v>
      </c>
      <c r="V8" s="700" t="s">
        <v>14</v>
      </c>
      <c r="W8" s="701">
        <f t="shared" si="2"/>
        <v>100</v>
      </c>
      <c r="X8" s="702"/>
      <c r="Y8" s="3729" t="s">
        <v>1682</v>
      </c>
      <c r="Z8" s="3728"/>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8" t="s">
        <v>1685</v>
      </c>
      <c r="Q9" s="1341" t="str">
        <f t="shared" ref="Q9:Q14" si="6">B9</f>
        <v>用途</v>
      </c>
      <c r="R9" s="700" t="s">
        <v>14</v>
      </c>
      <c r="S9" s="701">
        <f t="shared" si="0"/>
        <v>100</v>
      </c>
      <c r="T9" s="700" t="s">
        <v>14</v>
      </c>
      <c r="U9" s="701">
        <f t="shared" si="1"/>
        <v>100</v>
      </c>
      <c r="V9" s="700" t="s">
        <v>14</v>
      </c>
      <c r="W9" s="701">
        <f t="shared" si="2"/>
        <v>100</v>
      </c>
      <c r="X9" s="702"/>
      <c r="Y9" s="3586" t="s">
        <v>1686</v>
      </c>
      <c r="Z9" s="52" t="str">
        <f t="shared" ref="Z9:Z14" si="7">Q9</f>
        <v>用途</v>
      </c>
      <c r="AA9" s="703">
        <f t="shared" si="3"/>
        <v>1</v>
      </c>
      <c r="AB9" s="703">
        <f t="shared" si="4"/>
        <v>1</v>
      </c>
      <c r="AC9" s="703">
        <f t="shared" si="5"/>
        <v>1</v>
      </c>
    </row>
    <row r="10" spans="1:29" s="378" customFormat="1" ht="27">
      <c r="A10" s="588"/>
      <c r="B10" s="589"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8"/>
      <c r="Q10" s="1341"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8"/>
      <c r="Q11" s="1341">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8"/>
      <c r="Q12" s="1341">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8"/>
      <c r="Q13" s="1341">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42.5">
      <c r="A14" s="355" t="s">
        <v>1689</v>
      </c>
      <c r="B14" s="576"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5" t="s">
        <v>1690</v>
      </c>
      <c r="Q14" s="1350" t="str">
        <f t="shared" si="6"/>
        <v>交通便捷度</v>
      </c>
      <c r="R14" s="704" t="s">
        <v>14</v>
      </c>
      <c r="S14" s="705">
        <f t="shared" si="0"/>
        <v>100</v>
      </c>
      <c r="T14" s="704" t="s">
        <v>14</v>
      </c>
      <c r="U14" s="705">
        <f t="shared" si="1"/>
        <v>100</v>
      </c>
      <c r="V14" s="704" t="s">
        <v>14</v>
      </c>
      <c r="W14" s="705">
        <f t="shared" si="2"/>
        <v>100</v>
      </c>
      <c r="X14" s="1353"/>
      <c r="Y14" s="3695"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696"/>
      <c r="Q15" s="1350"/>
      <c r="R15" s="704"/>
      <c r="S15" s="705"/>
      <c r="T15" s="704"/>
      <c r="U15" s="705"/>
      <c r="V15" s="704"/>
      <c r="W15" s="705"/>
      <c r="X15" s="1353"/>
      <c r="Y15" s="3696"/>
      <c r="Z15" s="1354"/>
      <c r="AA15" s="1351">
        <v>1</v>
      </c>
      <c r="AB15" s="1351">
        <v>1</v>
      </c>
      <c r="AC15" s="1351">
        <v>1</v>
      </c>
    </row>
    <row r="16" spans="1:29" ht="42.75">
      <c r="A16" s="358"/>
      <c r="B16" s="578" t="s">
        <v>1811</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6"/>
      <c r="Q16" s="1350" t="str">
        <f>B16</f>
        <v>公共配套设施</v>
      </c>
      <c r="R16" s="704" t="s">
        <v>14</v>
      </c>
      <c r="S16" s="705">
        <f>F16</f>
        <v>100</v>
      </c>
      <c r="T16" s="704" t="s">
        <v>14</v>
      </c>
      <c r="U16" s="705">
        <f>H16</f>
        <v>100</v>
      </c>
      <c r="V16" s="704" t="s">
        <v>14</v>
      </c>
      <c r="W16" s="705">
        <f>J16</f>
        <v>100</v>
      </c>
      <c r="X16" s="1353"/>
      <c r="Y16" s="3696"/>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696"/>
      <c r="Q17" s="1350"/>
      <c r="R17" s="704"/>
      <c r="S17" s="705"/>
      <c r="T17" s="704"/>
      <c r="U17" s="705"/>
      <c r="V17" s="704"/>
      <c r="W17" s="705"/>
      <c r="X17" s="1353"/>
      <c r="Y17" s="3696"/>
      <c r="Z17" s="1354"/>
      <c r="AA17" s="1351">
        <v>1</v>
      </c>
      <c r="AB17" s="1351">
        <v>1</v>
      </c>
      <c r="AC17" s="1351">
        <v>1</v>
      </c>
    </row>
    <row r="18" spans="1:29" ht="42.75">
      <c r="A18" s="358"/>
      <c r="B18" s="580" t="s">
        <v>1812</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6"/>
      <c r="Q18" s="1350" t="str">
        <f>B18</f>
        <v>基础设施水平</v>
      </c>
      <c r="R18" s="704" t="s">
        <v>14</v>
      </c>
      <c r="S18" s="705">
        <f>F18</f>
        <v>100</v>
      </c>
      <c r="T18" s="704" t="s">
        <v>14</v>
      </c>
      <c r="U18" s="705">
        <f>H18</f>
        <v>100</v>
      </c>
      <c r="V18" s="704" t="s">
        <v>14</v>
      </c>
      <c r="W18" s="705">
        <f>J18</f>
        <v>100</v>
      </c>
      <c r="X18" s="1353"/>
      <c r="Y18" s="3696"/>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9"/>
      <c r="M19" s="2713"/>
      <c r="N19" s="2713"/>
      <c r="O19" s="2713"/>
      <c r="P19" s="3696"/>
      <c r="Q19" s="1350"/>
      <c r="R19" s="704"/>
      <c r="S19" s="705"/>
      <c r="T19" s="704"/>
      <c r="U19" s="705"/>
      <c r="V19" s="704"/>
      <c r="W19" s="705"/>
      <c r="X19" s="1353"/>
      <c r="Y19" s="3696"/>
      <c r="Z19" s="1354"/>
      <c r="AA19" s="1351">
        <v>1</v>
      </c>
      <c r="AB19" s="1351">
        <v>1</v>
      </c>
      <c r="AC19" s="1351">
        <v>1</v>
      </c>
    </row>
    <row r="20" spans="1:29" ht="99.75">
      <c r="A20" s="358"/>
      <c r="B20" s="578" t="s">
        <v>1833</v>
      </c>
      <c r="C20" s="1898" t="str">
        <f>IF(B1="工业",估价对象房地状况!G7,估价对象房地状况!C9)</f>
        <v>区域自然环境：北京动物园、官园公园；人文环境：北京天文馆、北京建筑大学；综合评价环境状况邮编</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6"/>
      <c r="Q20" s="1350" t="str">
        <f>B20</f>
        <v>自然及人文环境</v>
      </c>
      <c r="R20" s="704" t="s">
        <v>14</v>
      </c>
      <c r="S20" s="705">
        <f>F20</f>
        <v>100</v>
      </c>
      <c r="T20" s="704" t="s">
        <v>14</v>
      </c>
      <c r="U20" s="705">
        <f>H20</f>
        <v>100</v>
      </c>
      <c r="V20" s="704" t="s">
        <v>14</v>
      </c>
      <c r="W20" s="705">
        <f>J20</f>
        <v>100</v>
      </c>
      <c r="X20" s="1353"/>
      <c r="Y20" s="3696"/>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696"/>
      <c r="Q21" s="1350"/>
      <c r="R21" s="704"/>
      <c r="S21" s="705"/>
      <c r="T21" s="704"/>
      <c r="U21" s="705"/>
      <c r="V21" s="704"/>
      <c r="W21" s="705"/>
      <c r="X21" s="1353"/>
      <c r="Y21" s="3696"/>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6"/>
      <c r="Q22" s="1350" t="str">
        <f>B22</f>
        <v>楼层</v>
      </c>
      <c r="R22" s="704" t="s">
        <v>14</v>
      </c>
      <c r="S22" s="705">
        <f>F22</f>
        <v>100</v>
      </c>
      <c r="T22" s="704" t="s">
        <v>14</v>
      </c>
      <c r="U22" s="705">
        <f>H22</f>
        <v>100</v>
      </c>
      <c r="V22" s="704" t="s">
        <v>14</v>
      </c>
      <c r="W22" s="705">
        <f>J22</f>
        <v>100</v>
      </c>
      <c r="X22" s="1353"/>
      <c r="Y22" s="3696"/>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6"/>
      <c r="Q23" s="1350">
        <f>B23</f>
        <v>111</v>
      </c>
      <c r="R23" s="704" t="s">
        <v>14</v>
      </c>
      <c r="S23" s="705">
        <f>F23</f>
        <v>100</v>
      </c>
      <c r="T23" s="704" t="s">
        <v>14</v>
      </c>
      <c r="U23" s="705">
        <f>H23</f>
        <v>100</v>
      </c>
      <c r="V23" s="704" t="s">
        <v>14</v>
      </c>
      <c r="W23" s="705">
        <f>J23</f>
        <v>100</v>
      </c>
      <c r="X23" s="1353"/>
      <c r="Y23" s="3696"/>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6"/>
      <c r="Q24" s="1350">
        <f t="shared" ref="Q24:Q36" si="11">B24</f>
        <v>111</v>
      </c>
      <c r="R24" s="704" t="s">
        <v>14</v>
      </c>
      <c r="S24" s="705">
        <f>F24</f>
        <v>100</v>
      </c>
      <c r="T24" s="704" t="s">
        <v>14</v>
      </c>
      <c r="U24" s="705">
        <f>H24</f>
        <v>100</v>
      </c>
      <c r="V24" s="704" t="s">
        <v>14</v>
      </c>
      <c r="W24" s="705">
        <f>J24</f>
        <v>100</v>
      </c>
      <c r="X24" s="1353"/>
      <c r="Y24" s="3696"/>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696"/>
      <c r="Q25" s="1341">
        <f t="shared" si="11"/>
        <v>111</v>
      </c>
      <c r="R25" s="700" t="s">
        <v>14</v>
      </c>
      <c r="S25" s="701">
        <f>F25</f>
        <v>100</v>
      </c>
      <c r="T25" s="700" t="s">
        <v>14</v>
      </c>
      <c r="U25" s="701">
        <f>H25</f>
        <v>100</v>
      </c>
      <c r="V25" s="700" t="s">
        <v>14</v>
      </c>
      <c r="W25" s="701">
        <f>J25</f>
        <v>100</v>
      </c>
      <c r="X25" s="702"/>
      <c r="Y25" s="3696"/>
      <c r="Z25" s="52">
        <f>Q25</f>
        <v>111</v>
      </c>
      <c r="AA25" s="1351">
        <f>D25/F25</f>
        <v>1</v>
      </c>
      <c r="AB25" s="1351">
        <f>D25/H25</f>
        <v>1</v>
      </c>
      <c r="AC25" s="1351">
        <f>D25/J25</f>
        <v>1</v>
      </c>
    </row>
    <row r="26" spans="1:29" ht="28.5">
      <c r="A26" s="599"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7"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0"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00"/>
      <c r="Q27" s="706" t="str">
        <f t="shared" si="11"/>
        <v>项目停车位配比</v>
      </c>
      <c r="R27" s="707" t="s">
        <v>14</v>
      </c>
      <c r="S27" s="708">
        <f t="shared" si="12"/>
        <v>100</v>
      </c>
      <c r="T27" s="707" t="s">
        <v>14</v>
      </c>
      <c r="U27" s="708">
        <f t="shared" si="13"/>
        <v>100</v>
      </c>
      <c r="V27" s="707" t="s">
        <v>14</v>
      </c>
      <c r="W27" s="708">
        <f t="shared" si="14"/>
        <v>100</v>
      </c>
      <c r="X27" s="709"/>
      <c r="Y27" s="3700"/>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0"/>
      <c r="Q28" s="1350" t="str">
        <f t="shared" si="11"/>
        <v>公共部分装修</v>
      </c>
      <c r="R28" s="704" t="s">
        <v>14</v>
      </c>
      <c r="S28" s="705">
        <f t="shared" si="12"/>
        <v>100</v>
      </c>
      <c r="T28" s="704" t="s">
        <v>14</v>
      </c>
      <c r="U28" s="705">
        <f t="shared" si="13"/>
        <v>100</v>
      </c>
      <c r="V28" s="704" t="s">
        <v>14</v>
      </c>
      <c r="W28" s="705">
        <f t="shared" si="14"/>
        <v>100</v>
      </c>
      <c r="X28" s="1353"/>
      <c r="Y28" s="3700"/>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0"/>
      <c r="Q29" s="1350" t="str">
        <f t="shared" si="11"/>
        <v>成新率</v>
      </c>
      <c r="R29" s="704" t="s">
        <v>14</v>
      </c>
      <c r="S29" s="705" t="e">
        <f t="shared" si="12"/>
        <v>#N/A</v>
      </c>
      <c r="T29" s="704" t="s">
        <v>14</v>
      </c>
      <c r="U29" s="705" t="e">
        <f t="shared" si="13"/>
        <v>#N/A</v>
      </c>
      <c r="V29" s="704" t="s">
        <v>14</v>
      </c>
      <c r="W29" s="705" t="e">
        <f t="shared" si="14"/>
        <v>#N/A</v>
      </c>
      <c r="X29" s="1353"/>
      <c r="Y29" s="3700"/>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00"/>
      <c r="Q30" s="1350" t="str">
        <f t="shared" si="11"/>
        <v>物业等级</v>
      </c>
      <c r="R30" s="704" t="s">
        <v>14</v>
      </c>
      <c r="S30" s="705">
        <f t="shared" si="12"/>
        <v>100</v>
      </c>
      <c r="T30" s="704" t="s">
        <v>14</v>
      </c>
      <c r="U30" s="705">
        <f t="shared" si="13"/>
        <v>100</v>
      </c>
      <c r="V30" s="704" t="s">
        <v>14</v>
      </c>
      <c r="W30" s="705">
        <f t="shared" si="14"/>
        <v>100</v>
      </c>
      <c r="X30" s="1353"/>
      <c r="Y30" s="3700"/>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0"/>
      <c r="Q31" s="1341" t="str">
        <f t="shared" si="11"/>
        <v>停车位面积</v>
      </c>
      <c r="R31" s="700" t="s">
        <v>14</v>
      </c>
      <c r="S31" s="701" t="e">
        <f t="shared" si="12"/>
        <v>#N/A</v>
      </c>
      <c r="T31" s="700" t="s">
        <v>14</v>
      </c>
      <c r="U31" s="701" t="e">
        <f t="shared" si="13"/>
        <v>#N/A</v>
      </c>
      <c r="V31" s="700" t="s">
        <v>14</v>
      </c>
      <c r="W31" s="701" t="e">
        <f t="shared" si="14"/>
        <v>#N/A</v>
      </c>
      <c r="X31" s="702"/>
      <c r="Y31" s="3700"/>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0" t="s">
        <v>1695</v>
      </c>
      <c r="Q32" s="1350" t="str">
        <f t="shared" si="11"/>
        <v>车位类型</v>
      </c>
      <c r="R32" s="704" t="s">
        <v>14</v>
      </c>
      <c r="S32" s="705">
        <f t="shared" si="12"/>
        <v>100</v>
      </c>
      <c r="T32" s="704" t="s">
        <v>14</v>
      </c>
      <c r="U32" s="705">
        <f t="shared" si="13"/>
        <v>100</v>
      </c>
      <c r="V32" s="704" t="s">
        <v>14</v>
      </c>
      <c r="W32" s="705">
        <f t="shared" si="14"/>
        <v>100</v>
      </c>
      <c r="X32" s="1353"/>
      <c r="Y32" s="3700"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0"/>
      <c r="Q33" s="1350" t="str">
        <f t="shared" si="11"/>
        <v>是否直接入户</v>
      </c>
      <c r="R33" s="704" t="s">
        <v>14</v>
      </c>
      <c r="S33" s="705">
        <f t="shared" si="12"/>
        <v>100</v>
      </c>
      <c r="T33" s="704" t="s">
        <v>14</v>
      </c>
      <c r="U33" s="705">
        <f t="shared" si="13"/>
        <v>100</v>
      </c>
      <c r="V33" s="704" t="s">
        <v>14</v>
      </c>
      <c r="W33" s="705">
        <f t="shared" si="14"/>
        <v>100</v>
      </c>
      <c r="X33" s="1353"/>
      <c r="Y33" s="3700"/>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0"/>
      <c r="Q34" s="1350">
        <f t="shared" si="11"/>
        <v>111</v>
      </c>
      <c r="R34" s="704" t="s">
        <v>14</v>
      </c>
      <c r="S34" s="705">
        <f t="shared" si="12"/>
        <v>100</v>
      </c>
      <c r="T34" s="704" t="s">
        <v>14</v>
      </c>
      <c r="U34" s="705">
        <f t="shared" si="13"/>
        <v>100</v>
      </c>
      <c r="V34" s="704" t="s">
        <v>14</v>
      </c>
      <c r="W34" s="705">
        <f t="shared" si="14"/>
        <v>100</v>
      </c>
      <c r="X34" s="1353"/>
      <c r="Y34" s="3700"/>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0"/>
      <c r="Q35" s="706">
        <f t="shared" si="11"/>
        <v>111</v>
      </c>
      <c r="R35" s="707" t="s">
        <v>14</v>
      </c>
      <c r="S35" s="708">
        <f t="shared" si="12"/>
        <v>100</v>
      </c>
      <c r="T35" s="707" t="s">
        <v>14</v>
      </c>
      <c r="U35" s="708">
        <f t="shared" si="13"/>
        <v>100</v>
      </c>
      <c r="V35" s="707" t="s">
        <v>14</v>
      </c>
      <c r="W35" s="708">
        <f t="shared" si="14"/>
        <v>100</v>
      </c>
      <c r="X35" s="709"/>
      <c r="Y35" s="3700"/>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0"/>
      <c r="Q36" s="1350">
        <f t="shared" si="11"/>
        <v>111</v>
      </c>
      <c r="R36" s="704" t="s">
        <v>14</v>
      </c>
      <c r="S36" s="705">
        <f t="shared" si="12"/>
        <v>100</v>
      </c>
      <c r="T36" s="704" t="s">
        <v>14</v>
      </c>
      <c r="U36" s="705">
        <f t="shared" si="13"/>
        <v>100</v>
      </c>
      <c r="V36" s="704" t="s">
        <v>14</v>
      </c>
      <c r="W36" s="705">
        <f t="shared" si="14"/>
        <v>100</v>
      </c>
      <c r="X36" s="1353"/>
      <c r="Y36" s="3700"/>
      <c r="Z36" s="1354">
        <f t="shared" si="15"/>
        <v>111</v>
      </c>
      <c r="AA36" s="1351">
        <f t="shared" si="3"/>
        <v>1</v>
      </c>
      <c r="AB36" s="1351">
        <f t="shared" si="4"/>
        <v>1</v>
      </c>
      <c r="AC36" s="1351">
        <f t="shared" si="5"/>
        <v>1</v>
      </c>
    </row>
    <row r="37" spans="1:29" ht="15">
      <c r="A37" s="430" t="s">
        <v>1843</v>
      </c>
      <c r="B37" s="1971" t="s">
        <v>3350</v>
      </c>
      <c r="C37" s="1153" t="s">
        <v>0</v>
      </c>
      <c r="D37" s="1154"/>
      <c r="E37" s="1155"/>
      <c r="F37" s="1156"/>
      <c r="G37" s="1157"/>
      <c r="H37" s="1158"/>
      <c r="I37" s="1155"/>
      <c r="J37" s="1158"/>
      <c r="K37" s="567"/>
      <c r="L37" s="2721"/>
      <c r="M37" s="2722"/>
      <c r="N37" s="2713"/>
      <c r="O37" s="2722"/>
      <c r="P37" s="3688" t="str">
        <f>A37</f>
        <v>成交单价</v>
      </c>
      <c r="Q37" s="3688"/>
      <c r="R37" s="3689">
        <f>E37</f>
        <v>0</v>
      </c>
      <c r="S37" s="3689"/>
      <c r="T37" s="3689">
        <f>G37</f>
        <v>0</v>
      </c>
      <c r="U37" s="3689"/>
      <c r="V37" s="3689">
        <f>I37</f>
        <v>0</v>
      </c>
      <c r="W37" s="3689"/>
      <c r="X37" s="689"/>
      <c r="Y37" s="711"/>
      <c r="Z37" s="689"/>
      <c r="AA37" s="689"/>
      <c r="AB37" s="689"/>
      <c r="AC37" s="689"/>
    </row>
    <row r="38" spans="1:29" ht="15.75" thickBot="1">
      <c r="A38" s="437" t="s">
        <v>1844</v>
      </c>
      <c r="B38" s="438" t="str">
        <f>B37</f>
        <v>元/平方米</v>
      </c>
      <c r="C38" s="1159" t="e">
        <f>R39</f>
        <v>#DIV/0!</v>
      </c>
      <c r="D38" s="2315" t="s">
        <v>2133</v>
      </c>
      <c r="E38" s="1160" t="e">
        <f>R38</f>
        <v>#DIV/0!</v>
      </c>
      <c r="F38" s="2316"/>
      <c r="G38" s="1159" t="e">
        <f>T38</f>
        <v>#DIV/0!</v>
      </c>
      <c r="H38" s="2316"/>
      <c r="I38" s="1160" t="e">
        <f>V38</f>
        <v>#DIV/0!</v>
      </c>
      <c r="J38" s="2316"/>
      <c r="K38" s="2318">
        <f>F38+H38+J38</f>
        <v>0</v>
      </c>
      <c r="L38" s="2721"/>
      <c r="M38" s="2722"/>
      <c r="N38" s="2722"/>
      <c r="O38" s="2722"/>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1"/>
      <c r="M39" s="2722"/>
      <c r="N39" s="2722"/>
      <c r="O39" s="2722"/>
      <c r="P39" s="3744" t="str">
        <f>A39</f>
        <v>估价对象XX用房的比较价值（楼面单价，元/平方米）</v>
      </c>
      <c r="Q39" s="3745"/>
      <c r="R39" s="3778" t="e">
        <f>IF(F1="售价",ROUND(IF(D38="简单平均",AVERAGE(R38:W38),R38*F38+T38*H38+V38*J38),0),ROUND(IF(D38="简单平均",AVERAGE(R38:V38),R38*F38+T38*H38+V38*J38),1))</f>
        <v>#DIV/0!</v>
      </c>
      <c r="S39" s="3778"/>
      <c r="T39" s="3778"/>
      <c r="U39" s="3778"/>
      <c r="V39" s="3778"/>
      <c r="W39" s="377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1849</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7" t="s">
        <v>1798</v>
      </c>
      <c r="D67" s="607" t="s">
        <v>1799</v>
      </c>
      <c r="E67" s="607" t="s">
        <v>1800</v>
      </c>
      <c r="F67" s="607" t="s">
        <v>1801</v>
      </c>
      <c r="G67" s="607" t="s">
        <v>1802</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3330</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05" t="s">
        <v>1769</v>
      </c>
      <c r="D4" s="3706"/>
      <c r="E4" s="3707" t="s">
        <v>1770</v>
      </c>
      <c r="F4" s="3708"/>
      <c r="G4" s="3705" t="s">
        <v>1771</v>
      </c>
      <c r="H4" s="3706"/>
      <c r="I4" s="3705" t="s">
        <v>1772</v>
      </c>
      <c r="J4" s="3706"/>
      <c r="K4" s="559" t="s">
        <v>1773</v>
      </c>
      <c r="L4" s="2712"/>
      <c r="M4" s="2713"/>
      <c r="N4" s="2713"/>
      <c r="O4" s="2713"/>
      <c r="P4" s="3748" t="s">
        <v>1774</v>
      </c>
      <c r="Q4" s="3749"/>
      <c r="R4" s="3752" t="s">
        <v>1770</v>
      </c>
      <c r="S4" s="3753"/>
      <c r="T4" s="3752" t="s">
        <v>1771</v>
      </c>
      <c r="U4" s="3753"/>
      <c r="V4" s="3722" t="s">
        <v>1772</v>
      </c>
      <c r="W4" s="3722"/>
      <c r="X4" s="1353"/>
      <c r="Y4" s="3752" t="s">
        <v>1774</v>
      </c>
      <c r="Z4" s="3753"/>
      <c r="AA4" s="3747" t="s">
        <v>1770</v>
      </c>
      <c r="AB4" s="3736" t="s">
        <v>1771</v>
      </c>
      <c r="AC4" s="3747" t="s">
        <v>1772</v>
      </c>
    </row>
    <row r="5" spans="1:29" ht="15">
      <c r="A5" s="358"/>
      <c r="B5" s="359"/>
      <c r="C5" s="3731" t="s">
        <v>1672</v>
      </c>
      <c r="D5" s="3732"/>
      <c r="E5" s="3776" t="s">
        <v>1673</v>
      </c>
      <c r="F5" s="3726"/>
      <c r="G5" s="3731" t="s">
        <v>1674</v>
      </c>
      <c r="H5" s="3732"/>
      <c r="I5" s="3731" t="s">
        <v>1675</v>
      </c>
      <c r="J5" s="3732"/>
      <c r="K5" s="559"/>
      <c r="L5" s="2712"/>
      <c r="M5" s="2713"/>
      <c r="N5" s="2713"/>
      <c r="O5" s="2713"/>
      <c r="P5" s="3750"/>
      <c r="Q5" s="3712"/>
      <c r="R5" s="3717"/>
      <c r="S5" s="3718"/>
      <c r="T5" s="3717"/>
      <c r="U5" s="3718"/>
      <c r="V5" s="3722"/>
      <c r="W5" s="3722"/>
      <c r="X5" s="1353"/>
      <c r="Y5" s="3717"/>
      <c r="Z5" s="3718"/>
      <c r="AA5" s="3736"/>
      <c r="AB5" s="3736"/>
      <c r="AC5" s="3736"/>
    </row>
    <row r="6" spans="1:29" ht="15.75" thickBot="1">
      <c r="A6" s="360"/>
      <c r="B6" s="361"/>
      <c r="C6" s="3723" t="s">
        <v>1676</v>
      </c>
      <c r="D6" s="3724"/>
      <c r="E6" s="3733" t="s">
        <v>1676</v>
      </c>
      <c r="F6" s="3734"/>
      <c r="G6" s="3723" t="s">
        <v>1676</v>
      </c>
      <c r="H6" s="3724"/>
      <c r="I6" s="3723" t="s">
        <v>1676</v>
      </c>
      <c r="J6" s="3724"/>
      <c r="K6" s="559" t="s">
        <v>1677</v>
      </c>
      <c r="L6" s="2712"/>
      <c r="M6" s="2713"/>
      <c r="N6" s="2713"/>
      <c r="O6" s="2713"/>
      <c r="P6" s="3751"/>
      <c r="Q6" s="3714"/>
      <c r="R6" s="3717"/>
      <c r="S6" s="3718"/>
      <c r="T6" s="3719"/>
      <c r="U6" s="3720"/>
      <c r="V6" s="3722"/>
      <c r="W6" s="3722"/>
      <c r="X6" s="1353"/>
      <c r="Y6" s="3719"/>
      <c r="Z6" s="3720"/>
      <c r="AA6" s="3737"/>
      <c r="AB6" s="3737"/>
      <c r="AC6" s="3737"/>
    </row>
    <row r="7" spans="1:29" s="108" customFormat="1" ht="15.75" thickBot="1">
      <c r="A7" s="362" t="s">
        <v>1678</v>
      </c>
      <c r="B7" s="363"/>
      <c r="C7" s="364">
        <f>'数据-取费表'!B2</f>
        <v>45069</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29" t="s">
        <v>1679</v>
      </c>
      <c r="Q7" s="3730"/>
      <c r="R7" s="700" t="s">
        <v>14</v>
      </c>
      <c r="S7" s="701">
        <f t="shared" ref="S7:S14" si="0">F7</f>
        <v>0</v>
      </c>
      <c r="T7" s="700" t="s">
        <v>14</v>
      </c>
      <c r="U7" s="701">
        <f t="shared" ref="U7:U14" si="1">H7</f>
        <v>0</v>
      </c>
      <c r="V7" s="700" t="s">
        <v>14</v>
      </c>
      <c r="W7" s="701">
        <f t="shared" ref="W7:W14" si="2">J7</f>
        <v>0</v>
      </c>
      <c r="X7" s="702"/>
      <c r="Y7" s="3729" t="s">
        <v>1679</v>
      </c>
      <c r="Z7" s="3728"/>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9" t="s">
        <v>1682</v>
      </c>
      <c r="Q8" s="3728"/>
      <c r="R8" s="700" t="s">
        <v>14</v>
      </c>
      <c r="S8" s="701">
        <f t="shared" si="0"/>
        <v>100</v>
      </c>
      <c r="T8" s="700" t="s">
        <v>14</v>
      </c>
      <c r="U8" s="701">
        <f t="shared" si="1"/>
        <v>100</v>
      </c>
      <c r="V8" s="700" t="s">
        <v>14</v>
      </c>
      <c r="W8" s="701">
        <f t="shared" si="2"/>
        <v>100</v>
      </c>
      <c r="X8" s="702"/>
      <c r="Y8" s="3729" t="s">
        <v>1682</v>
      </c>
      <c r="Z8" s="3728"/>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8" t="s">
        <v>1685</v>
      </c>
      <c r="Q9" s="1341" t="str">
        <f t="shared" ref="Q9:Q14" si="6">B9</f>
        <v>用途</v>
      </c>
      <c r="R9" s="700" t="s">
        <v>14</v>
      </c>
      <c r="S9" s="701">
        <f t="shared" si="0"/>
        <v>100</v>
      </c>
      <c r="T9" s="700" t="s">
        <v>14</v>
      </c>
      <c r="U9" s="701">
        <f t="shared" si="1"/>
        <v>100</v>
      </c>
      <c r="V9" s="700" t="s">
        <v>14</v>
      </c>
      <c r="W9" s="701">
        <f t="shared" si="2"/>
        <v>100</v>
      </c>
      <c r="X9" s="702"/>
      <c r="Y9" s="3586" t="s">
        <v>1686</v>
      </c>
      <c r="Z9" s="52" t="str">
        <f t="shared" ref="Z9:Z14" si="7">Q9</f>
        <v>用途</v>
      </c>
      <c r="AA9" s="703">
        <f t="shared" si="3"/>
        <v>1</v>
      </c>
      <c r="AB9" s="703">
        <f t="shared" si="4"/>
        <v>1</v>
      </c>
      <c r="AC9" s="703">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8"/>
      <c r="Q10" s="1341"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8"/>
      <c r="Q11" s="1341">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8"/>
      <c r="Q12" s="1341">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88"/>
      <c r="Q13" s="1341">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42.5">
      <c r="A14" s="391" t="s">
        <v>1689</v>
      </c>
      <c r="B14" s="61"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5" t="s">
        <v>1690</v>
      </c>
      <c r="Q14" s="1350" t="str">
        <f t="shared" si="6"/>
        <v>交通便捷度</v>
      </c>
      <c r="R14" s="704" t="s">
        <v>14</v>
      </c>
      <c r="S14" s="705">
        <f t="shared" si="0"/>
        <v>100</v>
      </c>
      <c r="T14" s="704" t="s">
        <v>14</v>
      </c>
      <c r="U14" s="705">
        <f t="shared" si="1"/>
        <v>100</v>
      </c>
      <c r="V14" s="704" t="s">
        <v>14</v>
      </c>
      <c r="W14" s="705">
        <f t="shared" si="2"/>
        <v>100</v>
      </c>
      <c r="X14" s="1353"/>
      <c r="Y14" s="3695"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96"/>
      <c r="Q15" s="1350"/>
      <c r="R15" s="704"/>
      <c r="S15" s="705"/>
      <c r="T15" s="704"/>
      <c r="U15" s="705"/>
      <c r="V15" s="704"/>
      <c r="W15" s="705"/>
      <c r="X15" s="1353"/>
      <c r="Y15" s="3696"/>
      <c r="Z15" s="1354"/>
      <c r="AA15" s="1351">
        <v>1</v>
      </c>
      <c r="AB15" s="1351">
        <v>1</v>
      </c>
      <c r="AC15" s="1351">
        <v>1</v>
      </c>
    </row>
    <row r="16" spans="1:29" ht="42.75">
      <c r="A16" s="379"/>
      <c r="B16" s="402" t="s">
        <v>1811</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6"/>
      <c r="Q16" s="1350" t="str">
        <f>B16</f>
        <v>公共配套设施</v>
      </c>
      <c r="R16" s="704" t="s">
        <v>14</v>
      </c>
      <c r="S16" s="705">
        <f>F16</f>
        <v>100</v>
      </c>
      <c r="T16" s="704" t="s">
        <v>14</v>
      </c>
      <c r="U16" s="705">
        <f>H16</f>
        <v>100</v>
      </c>
      <c r="V16" s="704" t="s">
        <v>14</v>
      </c>
      <c r="W16" s="705">
        <f>J16</f>
        <v>100</v>
      </c>
      <c r="X16" s="1353"/>
      <c r="Y16" s="369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96"/>
      <c r="Q17" s="1350"/>
      <c r="R17" s="704"/>
      <c r="S17" s="705"/>
      <c r="T17" s="704"/>
      <c r="U17" s="705"/>
      <c r="V17" s="704"/>
      <c r="W17" s="705"/>
      <c r="X17" s="1353"/>
      <c r="Y17" s="3696"/>
      <c r="Z17" s="1354"/>
      <c r="AA17" s="1351">
        <v>1</v>
      </c>
      <c r="AB17" s="1351">
        <v>1</v>
      </c>
      <c r="AC17" s="1351">
        <v>1</v>
      </c>
    </row>
    <row r="18" spans="1:29" ht="42.75">
      <c r="A18" s="379"/>
      <c r="B18" s="1130" t="s">
        <v>1812</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6"/>
      <c r="Q18" s="1350" t="str">
        <f>B18</f>
        <v>基础设施水平</v>
      </c>
      <c r="R18" s="704" t="s">
        <v>14</v>
      </c>
      <c r="S18" s="705">
        <f>F18</f>
        <v>100</v>
      </c>
      <c r="T18" s="704" t="s">
        <v>14</v>
      </c>
      <c r="U18" s="705">
        <f>H18</f>
        <v>100</v>
      </c>
      <c r="V18" s="704" t="s">
        <v>14</v>
      </c>
      <c r="W18" s="705">
        <f>J18</f>
        <v>100</v>
      </c>
      <c r="X18" s="1353"/>
      <c r="Y18" s="3696"/>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1"/>
      <c r="P19" s="3696"/>
      <c r="Q19" s="1350"/>
      <c r="R19" s="704"/>
      <c r="S19" s="705"/>
      <c r="T19" s="704"/>
      <c r="U19" s="705"/>
      <c r="V19" s="704"/>
      <c r="W19" s="705"/>
      <c r="X19" s="1353"/>
      <c r="Y19" s="3696"/>
      <c r="Z19" s="1354"/>
      <c r="AA19" s="1351">
        <v>1</v>
      </c>
      <c r="AB19" s="1351">
        <v>1</v>
      </c>
      <c r="AC19" s="1351">
        <v>1</v>
      </c>
    </row>
    <row r="20" spans="1:29" ht="99.75">
      <c r="A20" s="379"/>
      <c r="B20" s="402" t="s">
        <v>1833</v>
      </c>
      <c r="C20" s="1898" t="str">
        <f>IF(B1="工业",估价对象房地状况!G7,估价对象房地状况!C9)</f>
        <v>区域自然环境：北京动物园、官园公园；人文环境：北京天文馆、北京建筑大学；综合评价环境状况邮编</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6"/>
      <c r="Q20" s="1350" t="str">
        <f>B20</f>
        <v>自然及人文环境</v>
      </c>
      <c r="R20" s="704" t="s">
        <v>14</v>
      </c>
      <c r="S20" s="705">
        <f>F20</f>
        <v>100</v>
      </c>
      <c r="T20" s="704" t="s">
        <v>14</v>
      </c>
      <c r="U20" s="705">
        <f>H20</f>
        <v>100</v>
      </c>
      <c r="V20" s="704" t="s">
        <v>14</v>
      </c>
      <c r="W20" s="705">
        <f>J20</f>
        <v>100</v>
      </c>
      <c r="X20" s="1353"/>
      <c r="Y20" s="369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96"/>
      <c r="Q21" s="1350"/>
      <c r="R21" s="704"/>
      <c r="S21" s="705"/>
      <c r="T21" s="704"/>
      <c r="U21" s="705"/>
      <c r="V21" s="704"/>
      <c r="W21" s="705"/>
      <c r="X21" s="1353"/>
      <c r="Y21" s="3696"/>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6"/>
      <c r="Q22" s="1350" t="str">
        <f>B22</f>
        <v>楼层</v>
      </c>
      <c r="R22" s="704" t="s">
        <v>14</v>
      </c>
      <c r="S22" s="705">
        <f>F22</f>
        <v>100</v>
      </c>
      <c r="T22" s="704" t="s">
        <v>14</v>
      </c>
      <c r="U22" s="705">
        <f>H22</f>
        <v>100</v>
      </c>
      <c r="V22" s="704" t="s">
        <v>14</v>
      </c>
      <c r="W22" s="705">
        <f>J22</f>
        <v>100</v>
      </c>
      <c r="X22" s="1353"/>
      <c r="Y22" s="369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6"/>
      <c r="Q23" s="1350">
        <f>B23</f>
        <v>111</v>
      </c>
      <c r="R23" s="704" t="s">
        <v>14</v>
      </c>
      <c r="S23" s="705">
        <f>F23</f>
        <v>100</v>
      </c>
      <c r="T23" s="704" t="s">
        <v>14</v>
      </c>
      <c r="U23" s="705">
        <f>H23</f>
        <v>100</v>
      </c>
      <c r="V23" s="704" t="s">
        <v>14</v>
      </c>
      <c r="W23" s="705">
        <f>J23</f>
        <v>100</v>
      </c>
      <c r="X23" s="1353"/>
      <c r="Y23" s="369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6"/>
      <c r="Q24" s="1350">
        <f t="shared" ref="Q24:Q34" si="11">B24</f>
        <v>111</v>
      </c>
      <c r="R24" s="704" t="s">
        <v>14</v>
      </c>
      <c r="S24" s="705">
        <f>F24</f>
        <v>100</v>
      </c>
      <c r="T24" s="704" t="s">
        <v>14</v>
      </c>
      <c r="U24" s="705">
        <f>H24</f>
        <v>100</v>
      </c>
      <c r="V24" s="704" t="s">
        <v>14</v>
      </c>
      <c r="W24" s="705">
        <f>J24</f>
        <v>100</v>
      </c>
      <c r="X24" s="1353"/>
      <c r="Y24" s="3696"/>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696"/>
      <c r="Q25" s="1341">
        <f t="shared" si="11"/>
        <v>111</v>
      </c>
      <c r="R25" s="700" t="s">
        <v>14</v>
      </c>
      <c r="S25" s="701">
        <f>F25</f>
        <v>100</v>
      </c>
      <c r="T25" s="700" t="s">
        <v>14</v>
      </c>
      <c r="U25" s="701">
        <f>H25</f>
        <v>100</v>
      </c>
      <c r="V25" s="700" t="s">
        <v>14</v>
      </c>
      <c r="W25" s="701">
        <f>J25</f>
        <v>100</v>
      </c>
      <c r="X25" s="702"/>
      <c r="Y25" s="3696"/>
      <c r="Z25" s="52">
        <f>Q25</f>
        <v>111</v>
      </c>
      <c r="AA25" s="1351">
        <f>D25/F25</f>
        <v>1</v>
      </c>
      <c r="AB25" s="1351">
        <f>D25/H25</f>
        <v>1</v>
      </c>
      <c r="AC25" s="1351">
        <f>D25/J25</f>
        <v>1</v>
      </c>
    </row>
    <row r="26" spans="1:29" ht="28.5">
      <c r="A26" s="417" t="s">
        <v>1693</v>
      </c>
      <c r="B26" s="63" t="s">
        <v>1837</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77"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0"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0"/>
      <c r="Q27" s="706" t="str">
        <f t="shared" si="11"/>
        <v>成新率</v>
      </c>
      <c r="R27" s="707" t="s">
        <v>14</v>
      </c>
      <c r="S27" s="708" t="e">
        <f t="shared" si="12"/>
        <v>#N/A</v>
      </c>
      <c r="T27" s="707" t="s">
        <v>14</v>
      </c>
      <c r="U27" s="708" t="e">
        <f t="shared" si="13"/>
        <v>#N/A</v>
      </c>
      <c r="V27" s="707" t="s">
        <v>14</v>
      </c>
      <c r="W27" s="708" t="e">
        <f t="shared" si="14"/>
        <v>#N/A</v>
      </c>
      <c r="X27" s="709"/>
      <c r="Y27" s="3700"/>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0"/>
      <c r="Q28" s="1350" t="str">
        <f t="shared" si="11"/>
        <v>物业等级</v>
      </c>
      <c r="R28" s="704" t="s">
        <v>14</v>
      </c>
      <c r="S28" s="705">
        <f t="shared" si="12"/>
        <v>100</v>
      </c>
      <c r="T28" s="704" t="s">
        <v>14</v>
      </c>
      <c r="U28" s="705">
        <f t="shared" si="13"/>
        <v>100</v>
      </c>
      <c r="V28" s="704" t="s">
        <v>14</v>
      </c>
      <c r="W28" s="705">
        <f t="shared" si="14"/>
        <v>100</v>
      </c>
      <c r="X28" s="1353"/>
      <c r="Y28" s="3700"/>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00"/>
      <c r="Q29" s="1350" t="str">
        <f t="shared" si="11"/>
        <v>有无电梯</v>
      </c>
      <c r="R29" s="704" t="s">
        <v>14</v>
      </c>
      <c r="S29" s="705">
        <f t="shared" si="12"/>
        <v>100</v>
      </c>
      <c r="T29" s="704" t="s">
        <v>14</v>
      </c>
      <c r="U29" s="705">
        <f t="shared" si="13"/>
        <v>100</v>
      </c>
      <c r="V29" s="704" t="s">
        <v>14</v>
      </c>
      <c r="W29" s="705">
        <f t="shared" si="14"/>
        <v>100</v>
      </c>
      <c r="X29" s="1353"/>
      <c r="Y29" s="3700"/>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0"/>
      <c r="Q30" s="1350" t="str">
        <f t="shared" si="11"/>
        <v>建筑面积</v>
      </c>
      <c r="R30" s="704" t="s">
        <v>14</v>
      </c>
      <c r="S30" s="705" t="e">
        <f t="shared" si="12"/>
        <v>#N/A</v>
      </c>
      <c r="T30" s="704" t="s">
        <v>14</v>
      </c>
      <c r="U30" s="705" t="e">
        <f t="shared" si="13"/>
        <v>#N/A</v>
      </c>
      <c r="V30" s="704" t="s">
        <v>14</v>
      </c>
      <c r="W30" s="705" t="e">
        <f t="shared" si="14"/>
        <v>#N/A</v>
      </c>
      <c r="X30" s="1353"/>
      <c r="Y30" s="3700"/>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00"/>
      <c r="Q31" s="1341" t="str">
        <f t="shared" si="11"/>
        <v>是否封闭</v>
      </c>
      <c r="R31" s="700" t="s">
        <v>14</v>
      </c>
      <c r="S31" s="701">
        <f t="shared" si="12"/>
        <v>100</v>
      </c>
      <c r="T31" s="700" t="s">
        <v>14</v>
      </c>
      <c r="U31" s="701">
        <f t="shared" si="13"/>
        <v>100</v>
      </c>
      <c r="V31" s="700" t="s">
        <v>14</v>
      </c>
      <c r="W31" s="701">
        <f t="shared" si="14"/>
        <v>100</v>
      </c>
      <c r="X31" s="702"/>
      <c r="Y31" s="3700"/>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0" t="s">
        <v>1695</v>
      </c>
      <c r="Q32" s="1350">
        <f t="shared" si="11"/>
        <v>111</v>
      </c>
      <c r="R32" s="704" t="s">
        <v>14</v>
      </c>
      <c r="S32" s="705">
        <f t="shared" si="12"/>
        <v>100</v>
      </c>
      <c r="T32" s="704" t="s">
        <v>14</v>
      </c>
      <c r="U32" s="705">
        <f t="shared" si="13"/>
        <v>100</v>
      </c>
      <c r="V32" s="704" t="s">
        <v>14</v>
      </c>
      <c r="W32" s="705">
        <f t="shared" si="14"/>
        <v>100</v>
      </c>
      <c r="X32" s="1353"/>
      <c r="Y32" s="3700"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0"/>
      <c r="Q33" s="1350">
        <f t="shared" si="11"/>
        <v>111</v>
      </c>
      <c r="R33" s="704" t="s">
        <v>14</v>
      </c>
      <c r="S33" s="705">
        <f t="shared" si="12"/>
        <v>100</v>
      </c>
      <c r="T33" s="704" t="s">
        <v>14</v>
      </c>
      <c r="U33" s="705">
        <f t="shared" si="13"/>
        <v>100</v>
      </c>
      <c r="V33" s="704" t="s">
        <v>14</v>
      </c>
      <c r="W33" s="705">
        <f t="shared" si="14"/>
        <v>100</v>
      </c>
      <c r="X33" s="1353"/>
      <c r="Y33" s="370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00"/>
      <c r="Q34" s="1350">
        <f t="shared" si="11"/>
        <v>111</v>
      </c>
      <c r="R34" s="704" t="s">
        <v>14</v>
      </c>
      <c r="S34" s="705">
        <f t="shared" si="12"/>
        <v>100</v>
      </c>
      <c r="T34" s="704" t="s">
        <v>14</v>
      </c>
      <c r="U34" s="705">
        <f t="shared" si="13"/>
        <v>100</v>
      </c>
      <c r="V34" s="704" t="s">
        <v>14</v>
      </c>
      <c r="W34" s="705">
        <f t="shared" si="14"/>
        <v>100</v>
      </c>
      <c r="X34" s="1353"/>
      <c r="Y34" s="3700"/>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21"/>
      <c r="M35" s="2722"/>
      <c r="N35" s="2713"/>
      <c r="O35" s="2722"/>
      <c r="P35" s="3688" t="str">
        <f>A35</f>
        <v>成交单价（元/平方米）</v>
      </c>
      <c r="Q35" s="3688"/>
      <c r="R35" s="3689">
        <f>E35</f>
        <v>0</v>
      </c>
      <c r="S35" s="3689"/>
      <c r="T35" s="3689">
        <f>G35</f>
        <v>0</v>
      </c>
      <c r="U35" s="3689"/>
      <c r="V35" s="3689">
        <f>I35</f>
        <v>0</v>
      </c>
      <c r="W35" s="3689"/>
      <c r="X35" s="689"/>
      <c r="Y35" s="711"/>
      <c r="Z35" s="689"/>
      <c r="AA35" s="689"/>
      <c r="AB35" s="689"/>
      <c r="AC35" s="689"/>
    </row>
    <row r="36" spans="1:30" ht="15.75" thickBot="1">
      <c r="A36" s="437" t="s">
        <v>1792</v>
      </c>
      <c r="B36" s="438"/>
      <c r="C36" s="1159" t="e">
        <f>R37</f>
        <v>#DIV/0!</v>
      </c>
      <c r="D36" s="2315" t="s">
        <v>2133</v>
      </c>
      <c r="E36" s="1160" t="e">
        <f>R36</f>
        <v>#DIV/0!</v>
      </c>
      <c r="F36" s="2316"/>
      <c r="G36" s="1159" t="e">
        <f>T36</f>
        <v>#DIV/0!</v>
      </c>
      <c r="H36" s="2316"/>
      <c r="I36" s="1160" t="e">
        <f>V36</f>
        <v>#DIV/0!</v>
      </c>
      <c r="J36" s="2316"/>
      <c r="K36" s="2318">
        <f>F36+H36+J36</f>
        <v>0</v>
      </c>
      <c r="L36" s="2721"/>
      <c r="M36" s="2722"/>
      <c r="N36" s="2713"/>
      <c r="O36" s="2722"/>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1"/>
      <c r="M37" s="2722"/>
      <c r="N37" s="2722"/>
      <c r="O37" s="2722"/>
      <c r="P37" s="3744" t="str">
        <f>A37</f>
        <v>估价对象XX用房的比较价值（楼面单价，元/平方米）</v>
      </c>
      <c r="Q37" s="3745"/>
      <c r="R37" s="3778" t="e">
        <f>IF(F1="售价",ROUND(IF(D36="简单平均",AVERAGE(R36:W36),R36*F36+T36*H36+V36*J36),0),ROUND(IF(D36="简单平均",AVERAGE(R36:V36),R36*F36+T36*H36+V36*J36),1))</f>
        <v>#DIV/0!</v>
      </c>
      <c r="S37" s="3778"/>
      <c r="T37" s="3778"/>
      <c r="U37" s="3778"/>
      <c r="V37" s="3778"/>
      <c r="W37" s="377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1797</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7" t="s">
        <v>1798</v>
      </c>
      <c r="D65" s="607" t="s">
        <v>1799</v>
      </c>
      <c r="E65" s="607" t="s">
        <v>1800</v>
      </c>
      <c r="F65" s="607" t="s">
        <v>1801</v>
      </c>
      <c r="G65" s="607" t="s">
        <v>1802</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1768</v>
      </c>
      <c r="B4" s="356"/>
      <c r="C4" s="3705" t="s">
        <v>1769</v>
      </c>
      <c r="D4" s="3706"/>
      <c r="E4" s="3707" t="s">
        <v>1770</v>
      </c>
      <c r="F4" s="3708"/>
      <c r="G4" s="3705" t="s">
        <v>1771</v>
      </c>
      <c r="H4" s="3706"/>
      <c r="I4" s="3705" t="s">
        <v>1772</v>
      </c>
      <c r="J4" s="3706"/>
      <c r="K4" s="559" t="s">
        <v>1773</v>
      </c>
      <c r="L4" s="2712"/>
      <c r="M4" s="2713"/>
      <c r="N4" s="2713"/>
      <c r="O4" s="2713"/>
      <c r="P4" s="3748" t="s">
        <v>1774</v>
      </c>
      <c r="Q4" s="3749"/>
      <c r="R4" s="3752" t="s">
        <v>1770</v>
      </c>
      <c r="S4" s="3753"/>
      <c r="T4" s="3752" t="s">
        <v>1771</v>
      </c>
      <c r="U4" s="3753"/>
      <c r="V4" s="3722" t="s">
        <v>1772</v>
      </c>
      <c r="W4" s="3722"/>
      <c r="X4" s="1353"/>
      <c r="Y4" s="3752" t="s">
        <v>1774</v>
      </c>
      <c r="Z4" s="3753"/>
      <c r="AA4" s="3747" t="s">
        <v>1770</v>
      </c>
      <c r="AB4" s="3736" t="s">
        <v>1771</v>
      </c>
      <c r="AC4" s="3747" t="s">
        <v>1772</v>
      </c>
    </row>
    <row r="5" spans="1:30" ht="15">
      <c r="A5" s="358"/>
      <c r="B5" s="359"/>
      <c r="C5" s="3731" t="s">
        <v>1672</v>
      </c>
      <c r="D5" s="3732"/>
      <c r="E5" s="3776" t="s">
        <v>1673</v>
      </c>
      <c r="F5" s="3726"/>
      <c r="G5" s="3731" t="s">
        <v>1674</v>
      </c>
      <c r="H5" s="3732"/>
      <c r="I5" s="3731" t="s">
        <v>1675</v>
      </c>
      <c r="J5" s="3732"/>
      <c r="K5" s="559"/>
      <c r="L5" s="2712"/>
      <c r="M5" s="2713"/>
      <c r="N5" s="2713"/>
      <c r="O5" s="2713"/>
      <c r="P5" s="3750"/>
      <c r="Q5" s="3712"/>
      <c r="R5" s="3717"/>
      <c r="S5" s="3718"/>
      <c r="T5" s="3717"/>
      <c r="U5" s="3718"/>
      <c r="V5" s="3722"/>
      <c r="W5" s="3722"/>
      <c r="X5" s="1353"/>
      <c r="Y5" s="3717"/>
      <c r="Z5" s="3718"/>
      <c r="AA5" s="3736"/>
      <c r="AB5" s="3736"/>
      <c r="AC5" s="3736"/>
    </row>
    <row r="6" spans="1:30" ht="15.75" thickBot="1">
      <c r="A6" s="360"/>
      <c r="B6" s="361"/>
      <c r="C6" s="3723" t="s">
        <v>1676</v>
      </c>
      <c r="D6" s="3724"/>
      <c r="E6" s="3733" t="s">
        <v>1676</v>
      </c>
      <c r="F6" s="3734"/>
      <c r="G6" s="3723" t="s">
        <v>1676</v>
      </c>
      <c r="H6" s="3724"/>
      <c r="I6" s="3723" t="s">
        <v>1676</v>
      </c>
      <c r="J6" s="3724"/>
      <c r="K6" s="559" t="s">
        <v>1677</v>
      </c>
      <c r="L6" s="2712"/>
      <c r="M6" s="2713"/>
      <c r="N6" s="2713"/>
      <c r="O6" s="2713"/>
      <c r="P6" s="3751"/>
      <c r="Q6" s="3714"/>
      <c r="R6" s="3717"/>
      <c r="S6" s="3718"/>
      <c r="T6" s="3719"/>
      <c r="U6" s="3720"/>
      <c r="V6" s="3722"/>
      <c r="W6" s="3722"/>
      <c r="X6" s="1353"/>
      <c r="Y6" s="3719"/>
      <c r="Z6" s="3720"/>
      <c r="AA6" s="3737"/>
      <c r="AB6" s="3737"/>
      <c r="AC6" s="3737"/>
    </row>
    <row r="7" spans="1:30" s="108" customFormat="1" ht="15.75" thickBot="1">
      <c r="A7" s="362" t="s">
        <v>1678</v>
      </c>
      <c r="B7" s="363"/>
      <c r="C7" s="364">
        <f>'数据-取费表'!B2</f>
        <v>45069</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29" t="s">
        <v>1679</v>
      </c>
      <c r="Q7" s="3730"/>
      <c r="R7" s="700" t="s">
        <v>14</v>
      </c>
      <c r="S7" s="701">
        <f t="shared" ref="S7:S15" si="0">F7</f>
        <v>0</v>
      </c>
      <c r="T7" s="700" t="s">
        <v>14</v>
      </c>
      <c r="U7" s="701">
        <f t="shared" ref="U7:U15" si="1">H7</f>
        <v>0</v>
      </c>
      <c r="V7" s="700" t="s">
        <v>14</v>
      </c>
      <c r="W7" s="701">
        <f t="shared" ref="W7:W15" si="2">J7</f>
        <v>0</v>
      </c>
      <c r="X7" s="702"/>
      <c r="Y7" s="3729" t="s">
        <v>1679</v>
      </c>
      <c r="Z7" s="3728"/>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9" t="s">
        <v>1682</v>
      </c>
      <c r="Q8" s="3728"/>
      <c r="R8" s="700" t="s">
        <v>14</v>
      </c>
      <c r="S8" s="701">
        <f t="shared" si="0"/>
        <v>0</v>
      </c>
      <c r="T8" s="700" t="s">
        <v>14</v>
      </c>
      <c r="U8" s="701">
        <f t="shared" si="1"/>
        <v>0</v>
      </c>
      <c r="V8" s="700" t="s">
        <v>14</v>
      </c>
      <c r="W8" s="701">
        <f t="shared" si="2"/>
        <v>0</v>
      </c>
      <c r="X8" s="702"/>
      <c r="Y8" s="3729" t="s">
        <v>1682</v>
      </c>
      <c r="Z8" s="3728"/>
      <c r="AA8" s="703" t="e">
        <f t="shared" ref="AA8:AA45" si="3">D8/F8</f>
        <v>#DIV/0!</v>
      </c>
      <c r="AB8" s="703" t="e">
        <f t="shared" ref="AB8:AB45" si="4">D8/H8</f>
        <v>#DIV/0!</v>
      </c>
      <c r="AC8" s="703"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88" t="s">
        <v>1685</v>
      </c>
      <c r="Q9" s="1341"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138</v>
      </c>
      <c r="G10" s="414"/>
      <c r="H10" s="127">
        <f>ROUND(100/'数据-取费表'!G16,0)</f>
        <v>138</v>
      </c>
      <c r="I10" s="414"/>
      <c r="J10" s="127">
        <f>ROUND(100/'数据-取费表'!G16,0)</f>
        <v>138</v>
      </c>
      <c r="K10" s="619"/>
      <c r="L10" s="2716"/>
      <c r="M10" s="2717"/>
      <c r="N10" s="2717"/>
      <c r="O10" s="2770"/>
      <c r="P10" s="3688"/>
      <c r="Q10" s="1341" t="str">
        <f t="shared" si="6"/>
        <v>土地使用年限（年）</v>
      </c>
      <c r="R10" s="700" t="s">
        <v>14</v>
      </c>
      <c r="S10" s="701">
        <f t="shared" si="0"/>
        <v>138</v>
      </c>
      <c r="T10" s="700" t="s">
        <v>14</v>
      </c>
      <c r="U10" s="701">
        <f t="shared" si="1"/>
        <v>138</v>
      </c>
      <c r="V10" s="700" t="s">
        <v>14</v>
      </c>
      <c r="W10" s="701">
        <f t="shared" si="2"/>
        <v>138</v>
      </c>
      <c r="X10" s="702"/>
      <c r="Y10" s="3586"/>
      <c r="Z10" s="52" t="str">
        <f t="shared" si="7"/>
        <v>土地使用年限（年）</v>
      </c>
      <c r="AA10" s="703">
        <f t="shared" si="3"/>
        <v>0.72463768115942029</v>
      </c>
      <c r="AB10" s="703">
        <f t="shared" si="4"/>
        <v>0.72463768115942029</v>
      </c>
      <c r="AC10" s="703">
        <f t="shared" si="5"/>
        <v>0.72463768115942029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688"/>
      <c r="Q11" s="1341"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688"/>
      <c r="Q12" s="1341" t="str">
        <f t="shared" si="6"/>
        <v>配建</v>
      </c>
      <c r="R12" s="700" t="s">
        <v>14</v>
      </c>
      <c r="S12" s="701">
        <f t="shared" si="0"/>
        <v>100</v>
      </c>
      <c r="T12" s="700" t="s">
        <v>14</v>
      </c>
      <c r="U12" s="701">
        <f t="shared" si="1"/>
        <v>100</v>
      </c>
      <c r="V12" s="700" t="s">
        <v>14</v>
      </c>
      <c r="W12" s="701">
        <f t="shared" si="2"/>
        <v>100</v>
      </c>
      <c r="X12" s="702"/>
      <c r="Y12" s="3586"/>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688"/>
      <c r="Q13" s="1341">
        <f t="shared" si="6"/>
        <v>111</v>
      </c>
      <c r="R13" s="700" t="s">
        <v>14</v>
      </c>
      <c r="S13" s="701">
        <f t="shared" si="0"/>
        <v>100</v>
      </c>
      <c r="T13" s="700" t="s">
        <v>14</v>
      </c>
      <c r="U13" s="701">
        <f t="shared" si="1"/>
        <v>100</v>
      </c>
      <c r="V13" s="700" t="s">
        <v>14</v>
      </c>
      <c r="W13" s="701">
        <f t="shared" si="2"/>
        <v>100</v>
      </c>
      <c r="X13" s="702"/>
      <c r="Y13" s="3586"/>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688"/>
      <c r="Q14" s="1341">
        <f t="shared" si="6"/>
        <v>111</v>
      </c>
      <c r="R14" s="700" t="s">
        <v>14</v>
      </c>
      <c r="S14" s="701">
        <f t="shared" si="0"/>
        <v>100</v>
      </c>
      <c r="T14" s="700" t="s">
        <v>14</v>
      </c>
      <c r="U14" s="701">
        <f t="shared" si="1"/>
        <v>100</v>
      </c>
      <c r="V14" s="700" t="s">
        <v>14</v>
      </c>
      <c r="W14" s="701">
        <f t="shared" si="2"/>
        <v>100</v>
      </c>
      <c r="X14" s="702"/>
      <c r="Y14" s="3586"/>
      <c r="Z14" s="52">
        <f t="shared" si="7"/>
        <v>111</v>
      </c>
      <c r="AA14" s="703">
        <f>D14/F14</f>
        <v>1</v>
      </c>
      <c r="AB14" s="703">
        <f>D14/H14</f>
        <v>1</v>
      </c>
      <c r="AC14" s="703">
        <f>D14/J14</f>
        <v>1</v>
      </c>
    </row>
    <row r="15" spans="1:30" ht="15">
      <c r="A15" s="391" t="s">
        <v>1689</v>
      </c>
      <c r="B15" s="61" t="s">
        <v>1256</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695" t="s">
        <v>1690</v>
      </c>
      <c r="Q15" s="1350" t="str">
        <f t="shared" si="6"/>
        <v>居住社区成熟度</v>
      </c>
      <c r="R15" s="704" t="s">
        <v>14</v>
      </c>
      <c r="S15" s="705">
        <f t="shared" si="0"/>
        <v>100</v>
      </c>
      <c r="T15" s="704" t="s">
        <v>14</v>
      </c>
      <c r="U15" s="705">
        <f t="shared" si="1"/>
        <v>100</v>
      </c>
      <c r="V15" s="704" t="s">
        <v>14</v>
      </c>
      <c r="W15" s="705">
        <f t="shared" si="2"/>
        <v>100</v>
      </c>
      <c r="X15" s="1353"/>
      <c r="Y15" s="3695"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696"/>
      <c r="Q16" s="1350"/>
      <c r="R16" s="704"/>
      <c r="S16" s="705"/>
      <c r="T16" s="704"/>
      <c r="U16" s="705"/>
      <c r="V16" s="704"/>
      <c r="W16" s="705"/>
      <c r="X16" s="1353"/>
      <c r="Y16" s="3696"/>
      <c r="Z16" s="1354"/>
      <c r="AA16" s="1351">
        <v>1</v>
      </c>
      <c r="AB16" s="1351">
        <v>1</v>
      </c>
      <c r="AC16" s="1351">
        <v>1</v>
      </c>
    </row>
    <row r="17" spans="1:29" ht="71.25">
      <c r="A17" s="379"/>
      <c r="B17" s="402" t="s">
        <v>1776</v>
      </c>
      <c r="C17" s="1953" t="str">
        <f>估价对象房地状况!C16</f>
        <v>估价对象周边商业氛围成熟度一般，有新业广场等，人流量一般，商业繁华度一般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696"/>
      <c r="Q17" s="1350" t="str">
        <f>B17</f>
        <v>商业繁华度</v>
      </c>
      <c r="R17" s="704" t="s">
        <v>14</v>
      </c>
      <c r="S17" s="705">
        <f>F17</f>
        <v>100</v>
      </c>
      <c r="T17" s="704" t="s">
        <v>14</v>
      </c>
      <c r="U17" s="705">
        <f>H17</f>
        <v>100</v>
      </c>
      <c r="V17" s="704" t="s">
        <v>14</v>
      </c>
      <c r="W17" s="705">
        <f>J17</f>
        <v>100</v>
      </c>
      <c r="X17" s="1353"/>
      <c r="Y17" s="369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696"/>
      <c r="Q18" s="1350"/>
      <c r="R18" s="704"/>
      <c r="S18" s="705"/>
      <c r="T18" s="704"/>
      <c r="U18" s="705"/>
      <c r="V18" s="704"/>
      <c r="W18" s="705"/>
      <c r="X18" s="1353"/>
      <c r="Y18" s="3696"/>
      <c r="Z18" s="1354"/>
      <c r="AA18" s="1351">
        <v>1</v>
      </c>
      <c r="AB18" s="1351">
        <v>1</v>
      </c>
      <c r="AC18" s="1351">
        <v>1</v>
      </c>
    </row>
    <row r="19" spans="1:29" ht="15">
      <c r="A19" s="379"/>
      <c r="B19" s="402" t="s">
        <v>1810</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696"/>
      <c r="Q19" s="1350" t="str">
        <f>B19</f>
        <v>办公集聚程度</v>
      </c>
      <c r="R19" s="704" t="s">
        <v>14</v>
      </c>
      <c r="S19" s="705">
        <f>F19</f>
        <v>100</v>
      </c>
      <c r="T19" s="704" t="s">
        <v>14</v>
      </c>
      <c r="U19" s="705">
        <f>H19</f>
        <v>100</v>
      </c>
      <c r="V19" s="704" t="s">
        <v>14</v>
      </c>
      <c r="W19" s="705">
        <f>J19</f>
        <v>100</v>
      </c>
      <c r="X19" s="1353"/>
      <c r="Y19" s="369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696"/>
      <c r="Q20" s="1350"/>
      <c r="R20" s="704"/>
      <c r="S20" s="705"/>
      <c r="T20" s="704"/>
      <c r="U20" s="705"/>
      <c r="V20" s="704"/>
      <c r="W20" s="705"/>
      <c r="X20" s="1353"/>
      <c r="Y20" s="3696"/>
      <c r="Z20" s="1354"/>
      <c r="AA20" s="1351">
        <v>1</v>
      </c>
      <c r="AB20" s="1351">
        <v>1</v>
      </c>
      <c r="AC20" s="1351">
        <v>1</v>
      </c>
    </row>
    <row r="21" spans="1:29" ht="142.5">
      <c r="A21" s="379"/>
      <c r="B21" s="402" t="s">
        <v>1832</v>
      </c>
      <c r="C21" s="1898" t="str">
        <f>估价对象房地状况!C18</f>
        <v>估价对象周边道路状况较好、有300、368、652路等公交线路及地铁10号线经过，公共交通通达情况较好、停车便捷程度一般，综合评价交通便捷度较好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696"/>
      <c r="Q21" s="1350" t="str">
        <f>B21</f>
        <v>交通便捷度</v>
      </c>
      <c r="R21" s="704" t="s">
        <v>14</v>
      </c>
      <c r="S21" s="705">
        <f>F21</f>
        <v>100</v>
      </c>
      <c r="T21" s="704" t="s">
        <v>14</v>
      </c>
      <c r="U21" s="705">
        <f>H21</f>
        <v>100</v>
      </c>
      <c r="V21" s="704" t="s">
        <v>14</v>
      </c>
      <c r="W21" s="705">
        <f>J21</f>
        <v>100</v>
      </c>
      <c r="X21" s="1353"/>
      <c r="Y21" s="3696"/>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19"/>
      <c r="M22" s="2713"/>
      <c r="N22" s="2713"/>
      <c r="O22" s="2771"/>
      <c r="P22" s="3696"/>
      <c r="Q22" s="1350"/>
      <c r="R22" s="704"/>
      <c r="S22" s="705"/>
      <c r="T22" s="704"/>
      <c r="U22" s="705"/>
      <c r="V22" s="704"/>
      <c r="W22" s="705"/>
      <c r="X22" s="1353"/>
      <c r="Y22" s="3696"/>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696"/>
      <c r="Q23" s="1350" t="str">
        <f t="shared" ref="Q23:Q37" si="8">B23</f>
        <v>区域土地利用方向</v>
      </c>
      <c r="R23" s="704" t="s">
        <v>14</v>
      </c>
      <c r="S23" s="705">
        <f>F23</f>
        <v>100</v>
      </c>
      <c r="T23" s="704" t="s">
        <v>14</v>
      </c>
      <c r="U23" s="705">
        <f>H23</f>
        <v>100</v>
      </c>
      <c r="V23" s="704" t="s">
        <v>14</v>
      </c>
      <c r="W23" s="705">
        <f>J23</f>
        <v>100</v>
      </c>
      <c r="X23" s="1353"/>
      <c r="Y23" s="369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9"/>
      <c r="M24" s="2713"/>
      <c r="N24" s="2713"/>
      <c r="O24" s="2771"/>
      <c r="P24" s="3696"/>
      <c r="Q24" s="1350"/>
      <c r="R24" s="704"/>
      <c r="S24" s="705"/>
      <c r="T24" s="704"/>
      <c r="U24" s="705"/>
      <c r="V24" s="704"/>
      <c r="W24" s="705"/>
      <c r="X24" s="1353"/>
      <c r="Y24" s="3696"/>
      <c r="Z24" s="1354"/>
      <c r="AA24" s="1351"/>
      <c r="AB24" s="1351"/>
      <c r="AC24" s="1351"/>
    </row>
    <row r="25" spans="1:29" ht="99.75">
      <c r="A25" s="358"/>
      <c r="B25" s="1130" t="s">
        <v>1871</v>
      </c>
      <c r="C25" s="1953" t="str">
        <f>估价对象房地状况!C20</f>
        <v>区域自然环境：北京动物园、官园公园；人文环境：北京天文馆、北京建筑大学；综合评价环境状况邮编</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696"/>
      <c r="Q25" s="1350" t="str">
        <f t="shared" si="8"/>
        <v>自然及人文环境状况</v>
      </c>
      <c r="R25" s="704" t="s">
        <v>14</v>
      </c>
      <c r="S25" s="705">
        <f>F25</f>
        <v>100</v>
      </c>
      <c r="T25" s="704" t="s">
        <v>14</v>
      </c>
      <c r="U25" s="705">
        <f>H25</f>
        <v>100</v>
      </c>
      <c r="V25" s="704" t="s">
        <v>14</v>
      </c>
      <c r="W25" s="705">
        <f>J25</f>
        <v>100</v>
      </c>
      <c r="X25" s="1353"/>
      <c r="Y25" s="369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696"/>
      <c r="Q26" s="1350"/>
      <c r="R26" s="704"/>
      <c r="S26" s="705"/>
      <c r="T26" s="704"/>
      <c r="U26" s="705"/>
      <c r="V26" s="704"/>
      <c r="W26" s="705"/>
      <c r="X26" s="1353"/>
      <c r="Y26" s="3696"/>
      <c r="Z26" s="1354"/>
      <c r="AA26" s="1351">
        <v>1</v>
      </c>
      <c r="AB26" s="1351">
        <v>1</v>
      </c>
      <c r="AC26" s="1351">
        <v>1</v>
      </c>
    </row>
    <row r="27" spans="1:29" s="108" customFormat="1" ht="42.75">
      <c r="A27" s="596"/>
      <c r="B27" s="1130" t="s">
        <v>1777</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696"/>
      <c r="Q27" s="1341" t="str">
        <f t="shared" si="8"/>
        <v>公共配套设施</v>
      </c>
      <c r="R27" s="700" t="s">
        <v>14</v>
      </c>
      <c r="S27" s="701">
        <f>F27</f>
        <v>100</v>
      </c>
      <c r="T27" s="700" t="s">
        <v>14</v>
      </c>
      <c r="U27" s="701">
        <f>H27</f>
        <v>100</v>
      </c>
      <c r="V27" s="700" t="s">
        <v>14</v>
      </c>
      <c r="W27" s="701">
        <f>J27</f>
        <v>100</v>
      </c>
      <c r="X27" s="702"/>
      <c r="Y27" s="3696"/>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696"/>
      <c r="Q28" s="1341"/>
      <c r="R28" s="700"/>
      <c r="S28" s="701"/>
      <c r="T28" s="700"/>
      <c r="U28" s="701"/>
      <c r="V28" s="700"/>
      <c r="W28" s="701"/>
      <c r="X28" s="702"/>
      <c r="Y28" s="3696"/>
      <c r="Z28" s="52"/>
      <c r="AA28" s="1351">
        <v>1</v>
      </c>
      <c r="AB28" s="1351">
        <v>1</v>
      </c>
      <c r="AC28" s="1351">
        <v>1</v>
      </c>
    </row>
    <row r="29" spans="1:29" s="108" customFormat="1" ht="42.75">
      <c r="A29" s="596"/>
      <c r="B29" s="1130" t="s">
        <v>1778</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696"/>
      <c r="Q29" s="1341" t="str">
        <f t="shared" ref="Q29" si="9">B29</f>
        <v>基础设施水平</v>
      </c>
      <c r="R29" s="700" t="s">
        <v>14</v>
      </c>
      <c r="S29" s="701">
        <f>F29</f>
        <v>100</v>
      </c>
      <c r="T29" s="700" t="s">
        <v>14</v>
      </c>
      <c r="U29" s="701">
        <f>H29</f>
        <v>100</v>
      </c>
      <c r="V29" s="700" t="s">
        <v>14</v>
      </c>
      <c r="W29" s="701">
        <f>J29</f>
        <v>100</v>
      </c>
      <c r="X29" s="702"/>
      <c r="Y29" s="3696"/>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696"/>
      <c r="Q30" s="1341"/>
      <c r="R30" s="700"/>
      <c r="S30" s="701"/>
      <c r="T30" s="700"/>
      <c r="U30" s="701"/>
      <c r="V30" s="700"/>
      <c r="W30" s="701"/>
      <c r="X30" s="702"/>
      <c r="Y30" s="3696"/>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696"/>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96"/>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696"/>
      <c r="Q32" s="1350" t="str">
        <f t="shared" si="8"/>
        <v>毗邻道路的类型与等级</v>
      </c>
      <c r="R32" s="704" t="s">
        <v>14</v>
      </c>
      <c r="S32" s="705">
        <f t="shared" si="10"/>
        <v>100</v>
      </c>
      <c r="T32" s="704" t="s">
        <v>14</v>
      </c>
      <c r="U32" s="705">
        <f t="shared" si="11"/>
        <v>100</v>
      </c>
      <c r="V32" s="704" t="s">
        <v>14</v>
      </c>
      <c r="W32" s="705">
        <f t="shared" si="12"/>
        <v>100</v>
      </c>
      <c r="X32" s="1353"/>
      <c r="Y32" s="369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96"/>
      <c r="Q33" s="1350"/>
      <c r="R33" s="704"/>
      <c r="S33" s="705"/>
      <c r="T33" s="704"/>
      <c r="U33" s="705"/>
      <c r="V33" s="704"/>
      <c r="W33" s="705"/>
      <c r="X33" s="1353"/>
      <c r="Y33" s="3696"/>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696"/>
      <c r="Q34" s="1350" t="str">
        <f t="shared" si="8"/>
        <v>土地级别</v>
      </c>
      <c r="R34" s="704" t="s">
        <v>14</v>
      </c>
      <c r="S34" s="705">
        <f t="shared" si="10"/>
        <v>100</v>
      </c>
      <c r="T34" s="704" t="s">
        <v>14</v>
      </c>
      <c r="U34" s="705">
        <f t="shared" si="11"/>
        <v>100</v>
      </c>
      <c r="V34" s="704" t="s">
        <v>14</v>
      </c>
      <c r="W34" s="705">
        <f t="shared" si="12"/>
        <v>100</v>
      </c>
      <c r="X34" s="1353"/>
      <c r="Y34" s="3696"/>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696"/>
      <c r="Q35" s="1350">
        <f t="shared" si="8"/>
        <v>111</v>
      </c>
      <c r="R35" s="704" t="s">
        <v>14</v>
      </c>
      <c r="S35" s="705">
        <f t="shared" si="10"/>
        <v>100</v>
      </c>
      <c r="T35" s="704" t="s">
        <v>14</v>
      </c>
      <c r="U35" s="705">
        <f t="shared" si="11"/>
        <v>100</v>
      </c>
      <c r="V35" s="704" t="s">
        <v>14</v>
      </c>
      <c r="W35" s="705">
        <f t="shared" si="12"/>
        <v>100</v>
      </c>
      <c r="X35" s="1353"/>
      <c r="Y35" s="3696"/>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77" t="s">
        <v>1695</v>
      </c>
      <c r="Q36" s="1350">
        <f t="shared" si="8"/>
        <v>111</v>
      </c>
      <c r="R36" s="704" t="s">
        <v>14</v>
      </c>
      <c r="S36" s="705">
        <f t="shared" si="10"/>
        <v>100</v>
      </c>
      <c r="T36" s="704" t="s">
        <v>14</v>
      </c>
      <c r="U36" s="705">
        <f t="shared" si="11"/>
        <v>100</v>
      </c>
      <c r="V36" s="704" t="s">
        <v>14</v>
      </c>
      <c r="W36" s="705">
        <f t="shared" si="12"/>
        <v>100</v>
      </c>
      <c r="X36" s="1353"/>
      <c r="Y36" s="3700"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00"/>
      <c r="Q37" s="1350">
        <f t="shared" si="8"/>
        <v>111</v>
      </c>
      <c r="R37" s="707" t="s">
        <v>14</v>
      </c>
      <c r="S37" s="708">
        <f t="shared" si="10"/>
        <v>100</v>
      </c>
      <c r="T37" s="707" t="s">
        <v>14</v>
      </c>
      <c r="U37" s="708">
        <f t="shared" si="11"/>
        <v>100</v>
      </c>
      <c r="V37" s="707" t="s">
        <v>14</v>
      </c>
      <c r="W37" s="708">
        <f t="shared" si="12"/>
        <v>100</v>
      </c>
      <c r="X37" s="709"/>
      <c r="Y37" s="3700"/>
      <c r="Z37" s="710">
        <f t="shared" si="13"/>
        <v>111</v>
      </c>
      <c r="AA37" s="1351">
        <f t="shared" si="3"/>
        <v>1</v>
      </c>
      <c r="AB37" s="1351">
        <f t="shared" si="4"/>
        <v>1</v>
      </c>
      <c r="AC37" s="1351">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00"/>
      <c r="Q38" s="1350" t="str">
        <f>B38</f>
        <v>宗地面积</v>
      </c>
      <c r="R38" s="704" t="s">
        <v>14</v>
      </c>
      <c r="S38" s="705" t="e">
        <f t="shared" si="10"/>
        <v>#N/A</v>
      </c>
      <c r="T38" s="704" t="s">
        <v>14</v>
      </c>
      <c r="U38" s="705" t="e">
        <f t="shared" si="11"/>
        <v>#N/A</v>
      </c>
      <c r="V38" s="704" t="s">
        <v>14</v>
      </c>
      <c r="W38" s="705" t="e">
        <f t="shared" si="12"/>
        <v>#N/A</v>
      </c>
      <c r="X38" s="1353"/>
      <c r="Y38" s="3700"/>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00"/>
      <c r="Q39" s="1350" t="str">
        <f t="shared" ref="Q39:Q45" si="14">B39</f>
        <v>宗地形状</v>
      </c>
      <c r="R39" s="704" t="s">
        <v>14</v>
      </c>
      <c r="S39" s="705">
        <f t="shared" si="10"/>
        <v>100</v>
      </c>
      <c r="T39" s="704" t="s">
        <v>14</v>
      </c>
      <c r="U39" s="705">
        <f t="shared" si="11"/>
        <v>100</v>
      </c>
      <c r="V39" s="704" t="s">
        <v>14</v>
      </c>
      <c r="W39" s="705">
        <f t="shared" si="12"/>
        <v>100</v>
      </c>
      <c r="X39" s="1353"/>
      <c r="Y39" s="3700"/>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00"/>
      <c r="Q40" s="1350" t="str">
        <f t="shared" si="14"/>
        <v>临街宽度及深度</v>
      </c>
      <c r="R40" s="704" t="s">
        <v>14</v>
      </c>
      <c r="S40" s="705">
        <f t="shared" si="10"/>
        <v>100</v>
      </c>
      <c r="T40" s="704" t="s">
        <v>14</v>
      </c>
      <c r="U40" s="705">
        <f t="shared" si="11"/>
        <v>100</v>
      </c>
      <c r="V40" s="704" t="s">
        <v>14</v>
      </c>
      <c r="W40" s="705">
        <f t="shared" si="12"/>
        <v>100</v>
      </c>
      <c r="X40" s="1353"/>
      <c r="Y40" s="3700"/>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00"/>
      <c r="Q41" s="1350" t="str">
        <f t="shared" si="14"/>
        <v>宗地开发程度</v>
      </c>
      <c r="R41" s="700" t="s">
        <v>14</v>
      </c>
      <c r="S41" s="701">
        <f t="shared" si="10"/>
        <v>100</v>
      </c>
      <c r="T41" s="700" t="s">
        <v>14</v>
      </c>
      <c r="U41" s="701">
        <f t="shared" si="11"/>
        <v>100</v>
      </c>
      <c r="V41" s="700" t="s">
        <v>14</v>
      </c>
      <c r="W41" s="701">
        <f t="shared" si="12"/>
        <v>100</v>
      </c>
      <c r="X41" s="702"/>
      <c r="Y41" s="3700"/>
      <c r="Z41" s="52" t="str">
        <f t="shared" si="13"/>
        <v>宗地开发程度</v>
      </c>
      <c r="AA41" s="703">
        <f t="shared" si="3"/>
        <v>1</v>
      </c>
      <c r="AB41" s="703">
        <f t="shared" si="4"/>
        <v>1</v>
      </c>
      <c r="AC41" s="703">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00" t="s">
        <v>1695</v>
      </c>
      <c r="Q42" s="1350" t="str">
        <f t="shared" si="14"/>
        <v>工程地质条件</v>
      </c>
      <c r="R42" s="704" t="s">
        <v>14</v>
      </c>
      <c r="S42" s="705">
        <f t="shared" si="10"/>
        <v>100</v>
      </c>
      <c r="T42" s="704" t="s">
        <v>14</v>
      </c>
      <c r="U42" s="705">
        <f t="shared" si="11"/>
        <v>100</v>
      </c>
      <c r="V42" s="704" t="s">
        <v>14</v>
      </c>
      <c r="W42" s="705">
        <f t="shared" si="12"/>
        <v>100</v>
      </c>
      <c r="X42" s="1353"/>
      <c r="Y42" s="3700"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00"/>
      <c r="Q43" s="1350">
        <f t="shared" si="14"/>
        <v>111</v>
      </c>
      <c r="R43" s="704" t="s">
        <v>14</v>
      </c>
      <c r="S43" s="705">
        <f t="shared" si="10"/>
        <v>100</v>
      </c>
      <c r="T43" s="704" t="s">
        <v>14</v>
      </c>
      <c r="U43" s="705">
        <f t="shared" si="11"/>
        <v>100</v>
      </c>
      <c r="V43" s="704" t="s">
        <v>14</v>
      </c>
      <c r="W43" s="705">
        <f t="shared" si="12"/>
        <v>100</v>
      </c>
      <c r="X43" s="1353"/>
      <c r="Y43" s="3700"/>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00"/>
      <c r="Q44" s="1350">
        <f t="shared" si="14"/>
        <v>111</v>
      </c>
      <c r="R44" s="704" t="s">
        <v>14</v>
      </c>
      <c r="S44" s="705">
        <f t="shared" si="10"/>
        <v>100</v>
      </c>
      <c r="T44" s="704" t="s">
        <v>14</v>
      </c>
      <c r="U44" s="705">
        <f t="shared" si="11"/>
        <v>100</v>
      </c>
      <c r="V44" s="704" t="s">
        <v>14</v>
      </c>
      <c r="W44" s="705">
        <f t="shared" si="12"/>
        <v>100</v>
      </c>
      <c r="X44" s="1353"/>
      <c r="Y44" s="3700"/>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00"/>
      <c r="Q45" s="1350">
        <f t="shared" si="14"/>
        <v>111</v>
      </c>
      <c r="R45" s="707" t="s">
        <v>14</v>
      </c>
      <c r="S45" s="708">
        <f t="shared" si="10"/>
        <v>100</v>
      </c>
      <c r="T45" s="707" t="s">
        <v>14</v>
      </c>
      <c r="U45" s="708">
        <f t="shared" si="11"/>
        <v>100</v>
      </c>
      <c r="V45" s="707" t="s">
        <v>14</v>
      </c>
      <c r="W45" s="708">
        <f t="shared" si="12"/>
        <v>100</v>
      </c>
      <c r="X45" s="709"/>
      <c r="Y45" s="3700"/>
      <c r="Z45" s="710">
        <f t="shared" si="13"/>
        <v>111</v>
      </c>
      <c r="AA45" s="1351">
        <f t="shared" si="3"/>
        <v>1</v>
      </c>
      <c r="AB45" s="1351">
        <f t="shared" si="4"/>
        <v>1</v>
      </c>
      <c r="AC45" s="1351">
        <f t="shared" si="5"/>
        <v>1</v>
      </c>
    </row>
    <row r="46" spans="1:29" ht="15">
      <c r="A46" s="430" t="s">
        <v>1843</v>
      </c>
      <c r="B46" s="1980" t="s">
        <v>1878</v>
      </c>
      <c r="C46" s="629" t="s">
        <v>0</v>
      </c>
      <c r="D46" s="432"/>
      <c r="E46" s="433"/>
      <c r="F46" s="434"/>
      <c r="G46" s="435"/>
      <c r="H46" s="436"/>
      <c r="I46" s="433"/>
      <c r="J46" s="436"/>
      <c r="K46" s="713"/>
      <c r="L46" s="2721"/>
      <c r="M46" s="2722"/>
      <c r="N46" s="2713"/>
      <c r="O46" s="2722"/>
      <c r="P46" s="3688" t="str">
        <f>A46</f>
        <v>成交单价</v>
      </c>
      <c r="Q46" s="3688"/>
      <c r="R46" s="3722">
        <f>E46</f>
        <v>0</v>
      </c>
      <c r="S46" s="3722"/>
      <c r="T46" s="3722">
        <f>G46</f>
        <v>0</v>
      </c>
      <c r="U46" s="3722"/>
      <c r="V46" s="3722">
        <f>I46</f>
        <v>0</v>
      </c>
      <c r="W46" s="3722"/>
      <c r="X46" s="689"/>
      <c r="Y46" s="711"/>
      <c r="Z46" s="689"/>
      <c r="AA46" s="689"/>
      <c r="AB46" s="689"/>
      <c r="AC46" s="689"/>
    </row>
    <row r="47" spans="1:29" ht="15.75" thickBot="1">
      <c r="A47" s="437" t="s">
        <v>1792</v>
      </c>
      <c r="B47" s="630"/>
      <c r="C47" s="440" t="e">
        <f>R48</f>
        <v>#DIV/0!</v>
      </c>
      <c r="D47" s="2315" t="s">
        <v>2133</v>
      </c>
      <c r="E47" s="440" t="e">
        <f>R47</f>
        <v>#DIV/0!</v>
      </c>
      <c r="F47" s="2316"/>
      <c r="G47" s="439" t="e">
        <f>T47</f>
        <v>#DIV/0!</v>
      </c>
      <c r="H47" s="2316"/>
      <c r="I47" s="440" t="e">
        <f>V47</f>
        <v>#DIV/0!</v>
      </c>
      <c r="J47" s="2316"/>
      <c r="K47" s="2318">
        <f>F47+H47+J47</f>
        <v>0</v>
      </c>
      <c r="L47" s="2721"/>
      <c r="M47" s="2722"/>
      <c r="N47" s="2722"/>
      <c r="O47" s="2722"/>
      <c r="P47" s="3688" t="str">
        <f>A47</f>
        <v>比较价值（元/平方米）</v>
      </c>
      <c r="Q47" s="3688"/>
      <c r="R47" s="3779" t="e">
        <f>ROUND(PRODUCT(R46,AA7:AA45),0)</f>
        <v>#DIV/0!</v>
      </c>
      <c r="S47" s="3779"/>
      <c r="T47" s="3779" t="e">
        <f>ROUND(PRODUCT(T46,AB7:AB45),0)</f>
        <v>#DIV/0!</v>
      </c>
      <c r="U47" s="3779"/>
      <c r="V47" s="3779" t="e">
        <f>ROUND(PRODUCT(V46,AC7:AC45),0)</f>
        <v>#DIV/0!</v>
      </c>
      <c r="W47" s="3779"/>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1"/>
      <c r="M48" s="2722"/>
      <c r="N48" s="2722"/>
      <c r="O48" s="2722"/>
      <c r="P48" s="3744" t="str">
        <f>A48</f>
        <v>估价对象XX用房的比较价值（楼面单价，元/平方米）</v>
      </c>
      <c r="Q48" s="3745"/>
      <c r="R48" s="3780" t="e">
        <f>ROUND(IF(D47="简单平均",AVERAGE(R47:W47),R47*F47+T47*H47+V47*J47),0)</f>
        <v>#DIV/0!</v>
      </c>
      <c r="S48" s="3780"/>
      <c r="T48" s="3780"/>
      <c r="U48" s="3780"/>
      <c r="V48" s="3780"/>
      <c r="W48" s="378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1880</v>
      </c>
      <c r="B55" s="632" t="s">
        <v>1881</v>
      </c>
      <c r="C55" s="1981" t="s">
        <v>1882</v>
      </c>
      <c r="D55" s="1982" t="s">
        <v>1883</v>
      </c>
      <c r="E55" s="633" t="s">
        <v>1884</v>
      </c>
      <c r="F55" s="889" t="s">
        <v>1885</v>
      </c>
      <c r="G55" s="3705" t="s">
        <v>1886</v>
      </c>
      <c r="H55" s="3781"/>
      <c r="I55" s="135"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1889</v>
      </c>
      <c r="B56" s="636" t="e">
        <f>C48</f>
        <v>#DIV/0!</v>
      </c>
      <c r="C56" s="637">
        <v>1</v>
      </c>
      <c r="D56" s="943">
        <v>1</v>
      </c>
      <c r="E56" s="637">
        <f>'数据-汇总表'!E8+'数据-汇总表'!E9</f>
        <v>1216.6500000000001</v>
      </c>
      <c r="F56" s="885" t="e">
        <f t="shared" ref="F56:F64" si="15">ROUND(B56*E56/10000,0)</f>
        <v>#DIV/0!</v>
      </c>
      <c r="G56" s="3687"/>
      <c r="H56" s="3688"/>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1890</v>
      </c>
      <c r="B57" s="218" t="e">
        <f>ROUND($C$48*C57*D57,0)</f>
        <v>#DIV/0!</v>
      </c>
      <c r="C57" s="171">
        <f t="shared" ref="C57:C64" si="16">IF($C$55="北京市系数",I57,J57)</f>
        <v>0</v>
      </c>
      <c r="D57" s="944">
        <v>0.25</v>
      </c>
      <c r="E57" s="641"/>
      <c r="F57" s="885" t="e">
        <f t="shared" si="15"/>
        <v>#DIV/0!</v>
      </c>
      <c r="G57" s="3003" t="s">
        <v>1891</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1892</v>
      </c>
      <c r="B58" s="218" t="e">
        <f t="shared" ref="B58:B64" si="17">ROUND($C$48*C58*D58,0)</f>
        <v>#DIV/0!</v>
      </c>
      <c r="C58" s="171">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1893</v>
      </c>
      <c r="B59" s="218" t="e">
        <f t="shared" si="17"/>
        <v>#DIV/0!</v>
      </c>
      <c r="C59" s="171">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1902</v>
      </c>
      <c r="B65" s="643" t="s">
        <v>22</v>
      </c>
      <c r="C65" s="643" t="s">
        <v>23</v>
      </c>
      <c r="D65" s="643" t="s">
        <v>392</v>
      </c>
      <c r="E65" s="643">
        <f>IF(B46="楼面地价",SUM(E56:E64),'数据-汇总表'!D3)</f>
        <v>1216.6500000000001</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2"/>
      <c r="Q67" s="2722"/>
      <c r="R67" s="2722"/>
      <c r="S67" s="2722"/>
      <c r="T67" s="2722"/>
      <c r="U67" s="2722"/>
      <c r="V67" s="2722"/>
      <c r="W67" s="2722"/>
      <c r="X67" s="2722"/>
      <c r="Y67" s="2722"/>
      <c r="Z67" s="2722"/>
      <c r="AA67" s="2722"/>
      <c r="AB67" s="2722"/>
      <c r="AC67" s="2722"/>
    </row>
    <row r="68" spans="1:29" ht="21.75" thickBot="1">
      <c r="A68" s="693" t="s">
        <v>1797</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7" t="s">
        <v>1903</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05" t="s">
        <v>1769</v>
      </c>
      <c r="D4" s="3706"/>
      <c r="E4" s="3707" t="s">
        <v>1770</v>
      </c>
      <c r="F4" s="3708"/>
      <c r="G4" s="3705" t="s">
        <v>1771</v>
      </c>
      <c r="H4" s="3706"/>
      <c r="I4" s="3705" t="s">
        <v>1772</v>
      </c>
      <c r="J4" s="3706"/>
      <c r="K4" s="559" t="s">
        <v>1773</v>
      </c>
      <c r="L4" s="2712"/>
      <c r="M4" s="2713"/>
      <c r="N4" s="2713"/>
      <c r="O4" s="2713"/>
      <c r="P4" s="3748" t="s">
        <v>1774</v>
      </c>
      <c r="Q4" s="3749"/>
      <c r="R4" s="3752" t="s">
        <v>1770</v>
      </c>
      <c r="S4" s="3753"/>
      <c r="T4" s="3752" t="s">
        <v>1771</v>
      </c>
      <c r="U4" s="3753"/>
      <c r="V4" s="3722" t="s">
        <v>1772</v>
      </c>
      <c r="W4" s="3722"/>
      <c r="X4" s="1353"/>
      <c r="Y4" s="3752" t="s">
        <v>1774</v>
      </c>
      <c r="Z4" s="3753"/>
      <c r="AA4" s="3747" t="s">
        <v>1770</v>
      </c>
      <c r="AB4" s="3736" t="s">
        <v>1771</v>
      </c>
      <c r="AC4" s="3747" t="s">
        <v>1772</v>
      </c>
    </row>
    <row r="5" spans="1:29" ht="15">
      <c r="A5" s="358"/>
      <c r="B5" s="359"/>
      <c r="C5" s="3731" t="s">
        <v>1672</v>
      </c>
      <c r="D5" s="3732"/>
      <c r="E5" s="3776" t="s">
        <v>1673</v>
      </c>
      <c r="F5" s="3726"/>
      <c r="G5" s="3731" t="s">
        <v>1674</v>
      </c>
      <c r="H5" s="3732"/>
      <c r="I5" s="3731" t="s">
        <v>1675</v>
      </c>
      <c r="J5" s="3732"/>
      <c r="K5" s="559"/>
      <c r="L5" s="2712"/>
      <c r="M5" s="2713"/>
      <c r="N5" s="2713"/>
      <c r="O5" s="2713"/>
      <c r="P5" s="3750"/>
      <c r="Q5" s="3712"/>
      <c r="R5" s="3717"/>
      <c r="S5" s="3718"/>
      <c r="T5" s="3717"/>
      <c r="U5" s="3718"/>
      <c r="V5" s="3722"/>
      <c r="W5" s="3722"/>
      <c r="X5" s="1353"/>
      <c r="Y5" s="3717"/>
      <c r="Z5" s="3718"/>
      <c r="AA5" s="3736"/>
      <c r="AB5" s="3736"/>
      <c r="AC5" s="3736"/>
    </row>
    <row r="6" spans="1:29" ht="15.75" thickBot="1">
      <c r="A6" s="360"/>
      <c r="B6" s="361"/>
      <c r="C6" s="3782" t="s">
        <v>1918</v>
      </c>
      <c r="D6" s="3783"/>
      <c r="E6" s="3784" t="s">
        <v>1918</v>
      </c>
      <c r="F6" s="3785"/>
      <c r="G6" s="3782" t="s">
        <v>1918</v>
      </c>
      <c r="H6" s="3783"/>
      <c r="I6" s="3782" t="s">
        <v>1918</v>
      </c>
      <c r="J6" s="3783"/>
      <c r="K6" s="559" t="s">
        <v>1677</v>
      </c>
      <c r="L6" s="2712"/>
      <c r="M6" s="2713"/>
      <c r="N6" s="2713"/>
      <c r="O6" s="2713"/>
      <c r="P6" s="3751"/>
      <c r="Q6" s="3714"/>
      <c r="R6" s="3717"/>
      <c r="S6" s="3718"/>
      <c r="T6" s="3719"/>
      <c r="U6" s="3720"/>
      <c r="V6" s="3722"/>
      <c r="W6" s="3722"/>
      <c r="X6" s="1353"/>
      <c r="Y6" s="3719"/>
      <c r="Z6" s="3720"/>
      <c r="AA6" s="3737"/>
      <c r="AB6" s="3737"/>
      <c r="AC6" s="3737"/>
    </row>
    <row r="7" spans="1:29" s="108" customFormat="1" ht="15.75" thickBot="1">
      <c r="A7" s="362" t="s">
        <v>1678</v>
      </c>
      <c r="B7" s="363"/>
      <c r="C7" s="364">
        <f>'数据-取费表'!B2</f>
        <v>45069</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29" t="s">
        <v>1679</v>
      </c>
      <c r="Q7" s="3730"/>
      <c r="R7" s="700" t="s">
        <v>14</v>
      </c>
      <c r="S7" s="701">
        <f t="shared" ref="S7:S15" si="0">F7</f>
        <v>0</v>
      </c>
      <c r="T7" s="700" t="s">
        <v>14</v>
      </c>
      <c r="U7" s="701">
        <f t="shared" ref="U7:U15" si="1">H7</f>
        <v>0</v>
      </c>
      <c r="V7" s="700" t="s">
        <v>14</v>
      </c>
      <c r="W7" s="701">
        <f t="shared" ref="W7:W15" si="2">J7</f>
        <v>0</v>
      </c>
      <c r="X7" s="702"/>
      <c r="Y7" s="3729" t="s">
        <v>1679</v>
      </c>
      <c r="Z7" s="3728"/>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9" t="s">
        <v>1682</v>
      </c>
      <c r="Q8" s="3728"/>
      <c r="R8" s="700" t="s">
        <v>14</v>
      </c>
      <c r="S8" s="701">
        <f t="shared" si="0"/>
        <v>0</v>
      </c>
      <c r="T8" s="700" t="s">
        <v>14</v>
      </c>
      <c r="U8" s="701">
        <f t="shared" si="1"/>
        <v>0</v>
      </c>
      <c r="V8" s="700" t="s">
        <v>14</v>
      </c>
      <c r="W8" s="701">
        <f t="shared" si="2"/>
        <v>0</v>
      </c>
      <c r="X8" s="702"/>
      <c r="Y8" s="3729" t="s">
        <v>1682</v>
      </c>
      <c r="Z8" s="3728"/>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88" t="s">
        <v>1685</v>
      </c>
      <c r="Q9" s="1341" t="str">
        <f t="shared" ref="Q9:Q15" si="6">B9</f>
        <v>用途</v>
      </c>
      <c r="R9" s="700" t="s">
        <v>14</v>
      </c>
      <c r="S9" s="701">
        <f t="shared" si="0"/>
        <v>100</v>
      </c>
      <c r="T9" s="700" t="s">
        <v>14</v>
      </c>
      <c r="U9" s="701">
        <f t="shared" si="1"/>
        <v>100</v>
      </c>
      <c r="V9" s="700" t="s">
        <v>14</v>
      </c>
      <c r="W9" s="701">
        <f t="shared" si="2"/>
        <v>100</v>
      </c>
      <c r="X9" s="702"/>
      <c r="Y9" s="3586"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138</v>
      </c>
      <c r="G10" s="383"/>
      <c r="H10" s="127">
        <f>ROUND(100/'数据-取费表'!G16,0)</f>
        <v>138</v>
      </c>
      <c r="I10" s="383"/>
      <c r="J10" s="127">
        <f>ROUND(100/'数据-取费表'!G16,0)</f>
        <v>138</v>
      </c>
      <c r="K10" s="619"/>
      <c r="L10" s="2716"/>
      <c r="M10" s="2717"/>
      <c r="N10" s="2717"/>
      <c r="O10" s="2770"/>
      <c r="P10" s="3688"/>
      <c r="Q10" s="1341" t="str">
        <f t="shared" si="6"/>
        <v>土地使用年限（年）</v>
      </c>
      <c r="R10" s="700" t="s">
        <v>14</v>
      </c>
      <c r="S10" s="701">
        <f t="shared" si="0"/>
        <v>138</v>
      </c>
      <c r="T10" s="700" t="s">
        <v>14</v>
      </c>
      <c r="U10" s="701">
        <f t="shared" si="1"/>
        <v>138</v>
      </c>
      <c r="V10" s="700" t="s">
        <v>14</v>
      </c>
      <c r="W10" s="701">
        <f t="shared" si="2"/>
        <v>138</v>
      </c>
      <c r="X10" s="702"/>
      <c r="Y10" s="3586"/>
      <c r="Z10" s="52" t="str">
        <f t="shared" si="7"/>
        <v>土地使用年限（年）</v>
      </c>
      <c r="AA10" s="703">
        <f t="shared" si="3"/>
        <v>0.72463768115942029</v>
      </c>
      <c r="AB10" s="703">
        <f t="shared" si="4"/>
        <v>0.72463768115942029</v>
      </c>
      <c r="AC10" s="703">
        <f t="shared" si="5"/>
        <v>0.72463768115942029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688"/>
      <c r="Q11" s="1341"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688"/>
      <c r="Q12" s="1341">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688"/>
      <c r="Q13" s="1341">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688"/>
      <c r="Q14" s="1341">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695" t="s">
        <v>1690</v>
      </c>
      <c r="Q15" s="1350" t="str">
        <f t="shared" si="6"/>
        <v>产业集聚程度</v>
      </c>
      <c r="R15" s="704" t="s">
        <v>14</v>
      </c>
      <c r="S15" s="705">
        <f t="shared" si="0"/>
        <v>100</v>
      </c>
      <c r="T15" s="704" t="s">
        <v>14</v>
      </c>
      <c r="U15" s="705">
        <f t="shared" si="1"/>
        <v>100</v>
      </c>
      <c r="V15" s="704" t="s">
        <v>14</v>
      </c>
      <c r="W15" s="705">
        <f t="shared" si="2"/>
        <v>100</v>
      </c>
      <c r="X15" s="1353"/>
      <c r="Y15" s="3695"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696"/>
      <c r="Q16" s="1350"/>
      <c r="R16" s="704"/>
      <c r="S16" s="705"/>
      <c r="T16" s="704"/>
      <c r="U16" s="705"/>
      <c r="V16" s="704"/>
      <c r="W16" s="705"/>
      <c r="X16" s="1353"/>
      <c r="Y16" s="3696"/>
      <c r="Z16" s="1354"/>
      <c r="AA16" s="1351">
        <v>1</v>
      </c>
      <c r="AB16" s="1351">
        <v>1</v>
      </c>
      <c r="AC16" s="1351">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696"/>
      <c r="Q17" s="1350" t="str">
        <f>B17</f>
        <v>交通便捷度</v>
      </c>
      <c r="R17" s="704" t="s">
        <v>14</v>
      </c>
      <c r="S17" s="705">
        <f>F17</f>
        <v>100</v>
      </c>
      <c r="T17" s="704" t="s">
        <v>14</v>
      </c>
      <c r="U17" s="705">
        <f>H17</f>
        <v>100</v>
      </c>
      <c r="V17" s="704" t="s">
        <v>14</v>
      </c>
      <c r="W17" s="705">
        <f>J17</f>
        <v>100</v>
      </c>
      <c r="X17" s="1353"/>
      <c r="Y17" s="3696"/>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696"/>
      <c r="Q18" s="1350"/>
      <c r="R18" s="704"/>
      <c r="S18" s="705"/>
      <c r="T18" s="704"/>
      <c r="U18" s="705"/>
      <c r="V18" s="704"/>
      <c r="W18" s="705"/>
      <c r="X18" s="1353"/>
      <c r="Y18" s="3696"/>
      <c r="Z18" s="1354"/>
      <c r="AA18" s="1351">
        <v>1</v>
      </c>
      <c r="AB18" s="1351">
        <v>1</v>
      </c>
      <c r="AC18" s="1351">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696"/>
      <c r="Q19" s="1350" t="str">
        <f t="shared" ref="Q19:Q33" si="8">B19</f>
        <v>区域土地利用方向</v>
      </c>
      <c r="R19" s="704" t="s">
        <v>14</v>
      </c>
      <c r="S19" s="705">
        <f>F19</f>
        <v>100</v>
      </c>
      <c r="T19" s="704" t="s">
        <v>14</v>
      </c>
      <c r="U19" s="705">
        <f>H19</f>
        <v>100</v>
      </c>
      <c r="V19" s="704" t="s">
        <v>14</v>
      </c>
      <c r="W19" s="705">
        <f>J19</f>
        <v>100</v>
      </c>
      <c r="X19" s="1353"/>
      <c r="Y19" s="3696"/>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9"/>
      <c r="M20" s="2713"/>
      <c r="N20" s="2713"/>
      <c r="O20" s="2771"/>
      <c r="P20" s="3696"/>
      <c r="Q20" s="1350"/>
      <c r="R20" s="704"/>
      <c r="S20" s="705"/>
      <c r="T20" s="704"/>
      <c r="U20" s="705"/>
      <c r="V20" s="704"/>
      <c r="W20" s="705"/>
      <c r="X20" s="1353"/>
      <c r="Y20" s="3696"/>
      <c r="Z20" s="1354"/>
      <c r="AA20" s="1351"/>
      <c r="AB20" s="1351"/>
      <c r="AC20" s="1351"/>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696"/>
      <c r="Q21" s="1350" t="str">
        <f t="shared" si="8"/>
        <v>环境状况</v>
      </c>
      <c r="R21" s="704" t="s">
        <v>14</v>
      </c>
      <c r="S21" s="705">
        <f>F21</f>
        <v>100</v>
      </c>
      <c r="T21" s="704" t="s">
        <v>14</v>
      </c>
      <c r="U21" s="705">
        <f>H21</f>
        <v>100</v>
      </c>
      <c r="V21" s="704" t="s">
        <v>14</v>
      </c>
      <c r="W21" s="705">
        <f>J21</f>
        <v>100</v>
      </c>
      <c r="X21" s="1353"/>
      <c r="Y21" s="3696"/>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696"/>
      <c r="Q22" s="1350"/>
      <c r="R22" s="704"/>
      <c r="S22" s="705"/>
      <c r="T22" s="704"/>
      <c r="U22" s="705"/>
      <c r="V22" s="704"/>
      <c r="W22" s="705"/>
      <c r="X22" s="1353"/>
      <c r="Y22" s="3696"/>
      <c r="Z22" s="1354"/>
      <c r="AA22" s="1351">
        <v>1</v>
      </c>
      <c r="AB22" s="1351">
        <v>1</v>
      </c>
      <c r="AC22" s="1351">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696"/>
      <c r="Q23" s="1341" t="str">
        <f t="shared" si="8"/>
        <v>公共配套设施</v>
      </c>
      <c r="R23" s="700" t="s">
        <v>14</v>
      </c>
      <c r="S23" s="701">
        <f>F23</f>
        <v>100</v>
      </c>
      <c r="T23" s="700" t="s">
        <v>14</v>
      </c>
      <c r="U23" s="701">
        <f>H23</f>
        <v>100</v>
      </c>
      <c r="V23" s="700" t="s">
        <v>14</v>
      </c>
      <c r="W23" s="701">
        <f>J23</f>
        <v>100</v>
      </c>
      <c r="X23" s="702"/>
      <c r="Y23" s="3696"/>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696"/>
      <c r="Q24" s="1341"/>
      <c r="R24" s="700"/>
      <c r="S24" s="701"/>
      <c r="T24" s="700"/>
      <c r="U24" s="701"/>
      <c r="V24" s="700"/>
      <c r="W24" s="701"/>
      <c r="X24" s="702"/>
      <c r="Y24" s="3696"/>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696"/>
      <c r="Q25" s="1341" t="str">
        <f t="shared" ref="Q25" si="9">B25</f>
        <v>基础设施水平</v>
      </c>
      <c r="R25" s="700" t="s">
        <v>14</v>
      </c>
      <c r="S25" s="701">
        <f>F25</f>
        <v>100</v>
      </c>
      <c r="T25" s="700" t="s">
        <v>14</v>
      </c>
      <c r="U25" s="701">
        <f>H25</f>
        <v>100</v>
      </c>
      <c r="V25" s="700" t="s">
        <v>14</v>
      </c>
      <c r="W25" s="701">
        <f>J25</f>
        <v>100</v>
      </c>
      <c r="X25" s="702"/>
      <c r="Y25" s="3696"/>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696"/>
      <c r="Q26" s="1341"/>
      <c r="R26" s="700"/>
      <c r="S26" s="701"/>
      <c r="T26" s="700"/>
      <c r="U26" s="701"/>
      <c r="V26" s="700"/>
      <c r="W26" s="701"/>
      <c r="X26" s="702"/>
      <c r="Y26" s="3696"/>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69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6"/>
      <c r="Z27" s="1354" t="str">
        <f t="shared" ref="Z27:Z40" si="13">Q27</f>
        <v>临街状况</v>
      </c>
      <c r="AA27" s="1351">
        <f t="shared" si="3"/>
        <v>1</v>
      </c>
      <c r="AB27" s="1351">
        <f t="shared" si="4"/>
        <v>1</v>
      </c>
      <c r="AC27" s="1351">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696"/>
      <c r="Q28" s="1350" t="str">
        <f t="shared" si="8"/>
        <v>毗邻道路的类型与等级</v>
      </c>
      <c r="R28" s="704" t="s">
        <v>14</v>
      </c>
      <c r="S28" s="705">
        <f t="shared" si="10"/>
        <v>100</v>
      </c>
      <c r="T28" s="704" t="s">
        <v>14</v>
      </c>
      <c r="U28" s="705">
        <f t="shared" si="11"/>
        <v>100</v>
      </c>
      <c r="V28" s="704" t="s">
        <v>14</v>
      </c>
      <c r="W28" s="705">
        <f t="shared" si="12"/>
        <v>100</v>
      </c>
      <c r="X28" s="1353"/>
      <c r="Y28" s="3696"/>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696"/>
      <c r="Q29" s="1350"/>
      <c r="R29" s="704"/>
      <c r="S29" s="705"/>
      <c r="T29" s="704"/>
      <c r="U29" s="705"/>
      <c r="V29" s="704"/>
      <c r="W29" s="705"/>
      <c r="X29" s="1353"/>
      <c r="Y29" s="3696"/>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696"/>
      <c r="Q30" s="1350" t="str">
        <f t="shared" si="8"/>
        <v>土地级别</v>
      </c>
      <c r="R30" s="704" t="s">
        <v>14</v>
      </c>
      <c r="S30" s="705">
        <f t="shared" si="10"/>
        <v>100</v>
      </c>
      <c r="T30" s="704" t="s">
        <v>14</v>
      </c>
      <c r="U30" s="705">
        <f t="shared" si="11"/>
        <v>100</v>
      </c>
      <c r="V30" s="704" t="s">
        <v>14</v>
      </c>
      <c r="W30" s="705">
        <f t="shared" si="12"/>
        <v>100</v>
      </c>
      <c r="X30" s="1353"/>
      <c r="Y30" s="3696"/>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6"/>
      <c r="Q31" s="1350">
        <f t="shared" si="8"/>
        <v>111</v>
      </c>
      <c r="R31" s="704" t="s">
        <v>14</v>
      </c>
      <c r="S31" s="705">
        <f t="shared" si="10"/>
        <v>100</v>
      </c>
      <c r="T31" s="704" t="s">
        <v>14</v>
      </c>
      <c r="U31" s="705">
        <f t="shared" si="11"/>
        <v>100</v>
      </c>
      <c r="V31" s="704" t="s">
        <v>14</v>
      </c>
      <c r="W31" s="705">
        <f t="shared" si="12"/>
        <v>100</v>
      </c>
      <c r="X31" s="1353"/>
      <c r="Y31" s="3696"/>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77" t="s">
        <v>1695</v>
      </c>
      <c r="Q32" s="1350">
        <f t="shared" si="8"/>
        <v>111</v>
      </c>
      <c r="R32" s="704" t="s">
        <v>14</v>
      </c>
      <c r="S32" s="705">
        <f t="shared" si="10"/>
        <v>100</v>
      </c>
      <c r="T32" s="704" t="s">
        <v>14</v>
      </c>
      <c r="U32" s="705">
        <f t="shared" si="11"/>
        <v>100</v>
      </c>
      <c r="V32" s="704" t="s">
        <v>14</v>
      </c>
      <c r="W32" s="705">
        <f t="shared" si="12"/>
        <v>100</v>
      </c>
      <c r="X32" s="1353"/>
      <c r="Y32" s="3700" t="s">
        <v>1695</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00"/>
      <c r="Q33" s="1350">
        <f t="shared" si="8"/>
        <v>111</v>
      </c>
      <c r="R33" s="707" t="s">
        <v>14</v>
      </c>
      <c r="S33" s="708">
        <f t="shared" si="10"/>
        <v>100</v>
      </c>
      <c r="T33" s="707" t="s">
        <v>14</v>
      </c>
      <c r="U33" s="708">
        <f t="shared" si="11"/>
        <v>100</v>
      </c>
      <c r="V33" s="707" t="s">
        <v>14</v>
      </c>
      <c r="W33" s="708">
        <f t="shared" si="12"/>
        <v>100</v>
      </c>
      <c r="X33" s="709"/>
      <c r="Y33" s="3700"/>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00"/>
      <c r="Q34" s="1350" t="str">
        <f>B34</f>
        <v>宗地面积</v>
      </c>
      <c r="R34" s="704" t="s">
        <v>14</v>
      </c>
      <c r="S34" s="705" t="e">
        <f t="shared" si="10"/>
        <v>#N/A</v>
      </c>
      <c r="T34" s="704" t="s">
        <v>14</v>
      </c>
      <c r="U34" s="705" t="e">
        <f t="shared" si="11"/>
        <v>#N/A</v>
      </c>
      <c r="V34" s="704" t="s">
        <v>14</v>
      </c>
      <c r="W34" s="705" t="e">
        <f t="shared" si="12"/>
        <v>#N/A</v>
      </c>
      <c r="X34" s="1353"/>
      <c r="Y34" s="3700"/>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00"/>
      <c r="Q35" s="1350" t="str">
        <f t="shared" ref="Q35:Q40" si="14">B35</f>
        <v>宗地形状</v>
      </c>
      <c r="R35" s="704" t="s">
        <v>14</v>
      </c>
      <c r="S35" s="705">
        <f t="shared" si="10"/>
        <v>100</v>
      </c>
      <c r="T35" s="704" t="s">
        <v>14</v>
      </c>
      <c r="U35" s="705">
        <f t="shared" si="11"/>
        <v>100</v>
      </c>
      <c r="V35" s="704" t="s">
        <v>14</v>
      </c>
      <c r="W35" s="705">
        <f t="shared" si="12"/>
        <v>100</v>
      </c>
      <c r="X35" s="1353"/>
      <c r="Y35" s="3700"/>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00"/>
      <c r="Q36" s="1350" t="str">
        <f t="shared" si="14"/>
        <v>宗地开发程度</v>
      </c>
      <c r="R36" s="700" t="s">
        <v>14</v>
      </c>
      <c r="S36" s="701">
        <f t="shared" si="10"/>
        <v>100</v>
      </c>
      <c r="T36" s="700" t="s">
        <v>14</v>
      </c>
      <c r="U36" s="701">
        <f t="shared" si="11"/>
        <v>100</v>
      </c>
      <c r="V36" s="700" t="s">
        <v>14</v>
      </c>
      <c r="W36" s="701">
        <f t="shared" si="12"/>
        <v>100</v>
      </c>
      <c r="X36" s="702"/>
      <c r="Y36" s="3700"/>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00" t="s">
        <v>1695</v>
      </c>
      <c r="Q37" s="1350" t="str">
        <f t="shared" si="14"/>
        <v>工程地质条件</v>
      </c>
      <c r="R37" s="704" t="s">
        <v>14</v>
      </c>
      <c r="S37" s="705">
        <f t="shared" si="10"/>
        <v>100</v>
      </c>
      <c r="T37" s="704" t="s">
        <v>14</v>
      </c>
      <c r="U37" s="705">
        <f t="shared" si="11"/>
        <v>100</v>
      </c>
      <c r="V37" s="704" t="s">
        <v>14</v>
      </c>
      <c r="W37" s="705">
        <f t="shared" si="12"/>
        <v>100</v>
      </c>
      <c r="X37" s="1353"/>
      <c r="Y37" s="3700"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00"/>
      <c r="Q38" s="1350">
        <f t="shared" si="14"/>
        <v>111</v>
      </c>
      <c r="R38" s="704" t="s">
        <v>14</v>
      </c>
      <c r="S38" s="705">
        <f t="shared" si="10"/>
        <v>100</v>
      </c>
      <c r="T38" s="704" t="s">
        <v>14</v>
      </c>
      <c r="U38" s="705">
        <f t="shared" si="11"/>
        <v>100</v>
      </c>
      <c r="V38" s="704" t="s">
        <v>14</v>
      </c>
      <c r="W38" s="705">
        <f t="shared" si="12"/>
        <v>100</v>
      </c>
      <c r="X38" s="1353"/>
      <c r="Y38" s="3700"/>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00"/>
      <c r="Q39" s="1350">
        <f t="shared" si="14"/>
        <v>111</v>
      </c>
      <c r="R39" s="704" t="s">
        <v>14</v>
      </c>
      <c r="S39" s="705">
        <f t="shared" si="10"/>
        <v>100</v>
      </c>
      <c r="T39" s="704" t="s">
        <v>14</v>
      </c>
      <c r="U39" s="705">
        <f t="shared" si="11"/>
        <v>100</v>
      </c>
      <c r="V39" s="704" t="s">
        <v>14</v>
      </c>
      <c r="W39" s="705">
        <f t="shared" si="12"/>
        <v>100</v>
      </c>
      <c r="X39" s="1353"/>
      <c r="Y39" s="3700"/>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00"/>
      <c r="Q40" s="1350">
        <f t="shared" si="14"/>
        <v>111</v>
      </c>
      <c r="R40" s="707" t="s">
        <v>14</v>
      </c>
      <c r="S40" s="708">
        <f t="shared" si="10"/>
        <v>100</v>
      </c>
      <c r="T40" s="707" t="s">
        <v>14</v>
      </c>
      <c r="U40" s="708">
        <f t="shared" si="11"/>
        <v>100</v>
      </c>
      <c r="V40" s="707" t="s">
        <v>14</v>
      </c>
      <c r="W40" s="708">
        <f t="shared" si="12"/>
        <v>100</v>
      </c>
      <c r="X40" s="709"/>
      <c r="Y40" s="3700"/>
      <c r="Z40" s="710">
        <f t="shared" si="13"/>
        <v>111</v>
      </c>
      <c r="AA40" s="1351">
        <f t="shared" si="3"/>
        <v>1</v>
      </c>
      <c r="AB40" s="1351">
        <f t="shared" si="4"/>
        <v>1</v>
      </c>
      <c r="AC40" s="1351">
        <f t="shared" si="5"/>
        <v>1</v>
      </c>
    </row>
    <row r="41" spans="1:31" ht="15">
      <c r="A41" s="430" t="s">
        <v>1843</v>
      </c>
      <c r="B41" s="1980" t="s">
        <v>1921</v>
      </c>
      <c r="C41" s="629" t="s">
        <v>0</v>
      </c>
      <c r="D41" s="432"/>
      <c r="E41" s="433"/>
      <c r="F41" s="434"/>
      <c r="G41" s="435"/>
      <c r="H41" s="436"/>
      <c r="I41" s="433"/>
      <c r="J41" s="436"/>
      <c r="K41" s="713"/>
      <c r="L41" s="2721"/>
      <c r="M41" s="2713"/>
      <c r="N41" s="2713"/>
      <c r="O41" s="2722"/>
      <c r="P41" s="3688" t="str">
        <f>A41</f>
        <v>成交单价</v>
      </c>
      <c r="Q41" s="3688"/>
      <c r="R41" s="3722">
        <f>E41</f>
        <v>0</v>
      </c>
      <c r="S41" s="3722"/>
      <c r="T41" s="3722">
        <f>G41</f>
        <v>0</v>
      </c>
      <c r="U41" s="3722"/>
      <c r="V41" s="3722">
        <f>I41</f>
        <v>0</v>
      </c>
      <c r="W41" s="3722"/>
      <c r="X41" s="689"/>
      <c r="Y41" s="711"/>
      <c r="Z41" s="689"/>
      <c r="AA41" s="689"/>
      <c r="AB41" s="689"/>
      <c r="AC41" s="689"/>
    </row>
    <row r="42" spans="1:31" ht="15.75" thickBot="1">
      <c r="A42" s="437" t="s">
        <v>1792</v>
      </c>
      <c r="B42" s="630"/>
      <c r="C42" s="440" t="e">
        <f>R43</f>
        <v>#DIV/0!</v>
      </c>
      <c r="D42" s="2315" t="s">
        <v>2133</v>
      </c>
      <c r="E42" s="440" t="e">
        <f>R42</f>
        <v>#DIV/0!</v>
      </c>
      <c r="F42" s="2316"/>
      <c r="G42" s="439" t="e">
        <f>T42</f>
        <v>#DIV/0!</v>
      </c>
      <c r="H42" s="2316"/>
      <c r="I42" s="440" t="e">
        <f>V42</f>
        <v>#DIV/0!</v>
      </c>
      <c r="J42" s="2316"/>
      <c r="K42" s="2318">
        <f>F42+H42+J42</f>
        <v>0</v>
      </c>
      <c r="L42" s="2721"/>
      <c r="M42" s="2713"/>
      <c r="N42" s="2713"/>
      <c r="O42" s="2722"/>
      <c r="P42" s="3688" t="str">
        <f>A42</f>
        <v>比较价值（元/平方米）</v>
      </c>
      <c r="Q42" s="3688"/>
      <c r="R42" s="3779" t="e">
        <f>ROUND(PRODUCT(R41,AA7:AA40),0)</f>
        <v>#DIV/0!</v>
      </c>
      <c r="S42" s="3779"/>
      <c r="T42" s="3779" t="e">
        <f>ROUND(PRODUCT(T41,AB7:AB40),0)</f>
        <v>#DIV/0!</v>
      </c>
      <c r="U42" s="3779"/>
      <c r="V42" s="3779" t="e">
        <f>ROUND(PRODUCT(V41,AC7:AC40),0)</f>
        <v>#DIV/0!</v>
      </c>
      <c r="W42" s="3779"/>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1"/>
      <c r="M43" s="2713"/>
      <c r="N43" s="2713"/>
      <c r="O43" s="2722"/>
      <c r="P43" s="3744" t="str">
        <f>A43</f>
        <v>估价对象XX用房的比较价值（楼面单价，元/平方米）</v>
      </c>
      <c r="Q43" s="3745"/>
      <c r="R43" s="3780" t="e">
        <f>ROUND(IF(D42="简单平均",AVERAGE(R42:W42),R42*F42+T42*H42+V42*J42),0)</f>
        <v>#DIV/0!</v>
      </c>
      <c r="S43" s="3780"/>
      <c r="T43" s="3780"/>
      <c r="U43" s="3780"/>
      <c r="V43" s="3780"/>
      <c r="W43" s="378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1880</v>
      </c>
      <c r="B50" s="632" t="s">
        <v>1881</v>
      </c>
      <c r="C50" s="1981" t="s">
        <v>1882</v>
      </c>
      <c r="D50" s="1982" t="s">
        <v>1883</v>
      </c>
      <c r="E50" s="633" t="s">
        <v>1884</v>
      </c>
      <c r="F50" s="634" t="s">
        <v>1885</v>
      </c>
      <c r="G50" s="3705" t="s">
        <v>1886</v>
      </c>
      <c r="H50" s="3781"/>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1889</v>
      </c>
      <c r="B51" s="636" t="e">
        <f>C43</f>
        <v>#DIV/0!</v>
      </c>
      <c r="C51" s="637">
        <v>1</v>
      </c>
      <c r="D51" s="943">
        <v>1</v>
      </c>
      <c r="E51" s="637">
        <f>'数据-汇总表'!E8+'数据-汇总表'!E9</f>
        <v>1216.6500000000001</v>
      </c>
      <c r="F51" s="638" t="e">
        <f t="shared" ref="F51:F60" si="15">ROUND(B51*E51/10000,0)</f>
        <v>#DIV/0!</v>
      </c>
      <c r="G51" s="3687"/>
      <c r="H51" s="3688"/>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1890</v>
      </c>
      <c r="B52" s="218" t="e">
        <f>ROUND($C$43*C52*D52,0)</f>
        <v>#DIV/0!</v>
      </c>
      <c r="C52" s="171">
        <f t="shared" ref="C52:C60" si="16">IF($C$50="北京市系数",I52,J52)</f>
        <v>0</v>
      </c>
      <c r="D52" s="944">
        <v>0.25</v>
      </c>
      <c r="E52" s="641"/>
      <c r="F52" s="638" t="e">
        <f t="shared" si="15"/>
        <v>#DIV/0!</v>
      </c>
      <c r="G52" s="3003" t="s">
        <v>1891</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1892</v>
      </c>
      <c r="B53" s="218" t="e">
        <f t="shared" ref="B53:B60" si="17">ROUND($C$43*C53*D53,0)</f>
        <v>#DIV/0!</v>
      </c>
      <c r="C53" s="171">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1893</v>
      </c>
      <c r="B54" s="218" t="e">
        <f t="shared" si="17"/>
        <v>#DIV/0!</v>
      </c>
      <c r="C54" s="171">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1894</v>
      </c>
      <c r="B56" s="218" t="e">
        <f t="shared" si="17"/>
        <v>#DIV/0!</v>
      </c>
      <c r="C56" s="171">
        <f t="shared" si="16"/>
        <v>0</v>
      </c>
      <c r="D56" s="944">
        <v>0.25</v>
      </c>
      <c r="E56" s="217">
        <f>'数据-汇总表'!E11</f>
        <v>0</v>
      </c>
      <c r="F56" s="638" t="e">
        <f t="shared" si="15"/>
        <v>#DIV/0!</v>
      </c>
      <c r="G56" s="1985" t="s">
        <v>1895</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1896</v>
      </c>
      <c r="B57" s="218" t="e">
        <f t="shared" si="17"/>
        <v>#DIV/0!</v>
      </c>
      <c r="C57" s="171">
        <f t="shared" si="16"/>
        <v>0</v>
      </c>
      <c r="D57" s="944">
        <v>0.25</v>
      </c>
      <c r="E57" s="217">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1900</v>
      </c>
      <c r="B59" s="218" t="e">
        <f t="shared" si="17"/>
        <v>#DIV/0!</v>
      </c>
      <c r="C59" s="171">
        <f t="shared" si="16"/>
        <v>0</v>
      </c>
      <c r="D59" s="944">
        <v>0.25</v>
      </c>
      <c r="E59" s="217">
        <f>'数据-汇总表'!E14</f>
        <v>0</v>
      </c>
      <c r="F59" s="638" t="e">
        <f t="shared" si="15"/>
        <v>#DIV/0!</v>
      </c>
      <c r="G59" s="1985" t="s">
        <v>1891</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1901</v>
      </c>
      <c r="B60" s="218" t="e">
        <f t="shared" si="17"/>
        <v>#DIV/0!</v>
      </c>
      <c r="C60" s="171">
        <f t="shared" si="16"/>
        <v>0</v>
      </c>
      <c r="D60" s="944">
        <v>0.25</v>
      </c>
      <c r="E60" s="217">
        <f>'数据-汇总表'!E15</f>
        <v>0</v>
      </c>
      <c r="F60" s="638" t="e">
        <f t="shared" si="15"/>
        <v>#DIV/0!</v>
      </c>
      <c r="G60" s="1986" t="s">
        <v>1895</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1797</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7" t="s">
        <v>1903</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600" t="e">
        <f ca="1">SUMIF(B6:B13,"&lt;&gt;#ref!",B6:B13)</f>
        <v>#DIV/0!</v>
      </c>
      <c r="C2" s="2143" t="s">
        <v>2073</v>
      </c>
      <c r="D2" s="2143" t="s">
        <v>2074</v>
      </c>
      <c r="E2" s="2610">
        <f ca="1">SUMIF(E6:E13,"&lt;&gt;#ref!",E6:E13)</f>
        <v>0</v>
      </c>
      <c r="F2" s="2790"/>
      <c r="G2" s="2790"/>
      <c r="H2" s="2790"/>
      <c r="I2" s="2790"/>
      <c r="J2" s="2790"/>
      <c r="K2" s="2790"/>
      <c r="L2" s="2790"/>
      <c r="M2" s="2790"/>
      <c r="N2" s="2790"/>
      <c r="O2" s="2790"/>
      <c r="P2" s="2790"/>
    </row>
    <row r="3" spans="1:16" ht="15.75">
      <c r="A3" s="2143" t="s">
        <v>2075</v>
      </c>
      <c r="B3" s="2600" t="e">
        <f ca="1">ROUND(B2*10000/E2,0)</f>
        <v>#DIV/0!</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4"/>
      <c r="D5" s="2790"/>
      <c r="E5" s="2609" t="s">
        <v>2078</v>
      </c>
      <c r="F5" s="2790"/>
      <c r="G5" s="2790"/>
      <c r="H5" s="2790"/>
      <c r="I5" s="2790"/>
      <c r="J5" s="2790"/>
      <c r="K5" s="2790"/>
      <c r="L5" s="2790"/>
      <c r="M5" s="2790"/>
      <c r="N5" s="2790"/>
      <c r="O5" s="2790"/>
      <c r="P5" s="2790"/>
    </row>
    <row r="6" spans="1:16" ht="15.75">
      <c r="A6" s="2607" t="s">
        <v>2079</v>
      </c>
      <c r="B6" s="2600" t="e">
        <f ca="1">SUMIF(INDIRECT("'"&amp;A6&amp;"'"&amp;"!A:A"),"总价",INDIRECT("'"&amp;A6&amp;"'"&amp;"!B:B"))</f>
        <v>#DIV/0!</v>
      </c>
      <c r="C6" s="2143" t="s">
        <v>2073</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9"/>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7"/>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93"/>
      <c r="B4" s="3794"/>
      <c r="C4" s="3794"/>
      <c r="D4" s="3795"/>
      <c r="E4" s="3795"/>
      <c r="F4" s="3795"/>
      <c r="G4" s="3795"/>
      <c r="H4" s="3795"/>
      <c r="I4" s="3795"/>
      <c r="J4" s="3796"/>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7" t="e">
        <f>ROUND(C6*C17+C20,0)</f>
        <v>#DIV/0!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09"/>
      <c r="AD6" s="2010"/>
      <c r="AE6" s="2010"/>
      <c r="AF6" s="2010"/>
      <c r="AG6" s="2010"/>
      <c r="AH6" s="2010"/>
      <c r="AI6" s="2010"/>
      <c r="AJ6" s="2011"/>
    </row>
    <row r="7" spans="1:36" ht="24.75" thickBot="1">
      <c r="A7" s="3301" t="s">
        <v>3233</v>
      </c>
      <c r="B7" s="2019" t="s">
        <v>1951</v>
      </c>
      <c r="C7" s="754" t="e">
        <f>IF(C8="不临65条商业街",1,ROUND(1+(1.6*E8+1.2*E9+0.8*E10+0.4*E11)*C9,4))</f>
        <v>#DIV/0!</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6" t="s">
        <v>1954</v>
      </c>
      <c r="X7" s="1213">
        <f>G2</f>
        <v>0</v>
      </c>
      <c r="Y7" s="1213" t="s">
        <v>1955</v>
      </c>
      <c r="Z7" s="1214">
        <f>G3</f>
        <v>0</v>
      </c>
      <c r="AA7" s="1215"/>
      <c r="AB7" s="1215"/>
      <c r="AC7" s="1216"/>
      <c r="AD7" s="1217"/>
      <c r="AE7" s="1217"/>
      <c r="AF7" s="1217"/>
      <c r="AG7" s="1217"/>
      <c r="AH7" s="1217"/>
      <c r="AI7" s="1217"/>
      <c r="AJ7" s="1218"/>
    </row>
    <row r="8" spans="1:36" ht="15">
      <c r="A8" s="3296"/>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790" t="s">
        <v>1959</v>
      </c>
      <c r="X8" s="379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792"/>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79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3238</v>
      </c>
      <c r="B13" s="2032" t="s">
        <v>1981</v>
      </c>
      <c r="C13" s="754">
        <f>ROUND(C16*D16*E16*F16*G16*H16*I16*J16,4)</f>
        <v>0</v>
      </c>
      <c r="D13" s="2033" t="s">
        <v>1982</v>
      </c>
      <c r="E13" s="2034"/>
      <c r="F13" s="2034"/>
      <c r="G13" s="2035"/>
      <c r="H13" s="2035"/>
      <c r="I13" s="2035"/>
      <c r="J13" s="2036"/>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8" t="s">
        <v>1984</v>
      </c>
      <c r="C14" s="2039" t="s">
        <v>1985</v>
      </c>
      <c r="D14" s="1348" t="s">
        <v>1986</v>
      </c>
      <c r="E14" s="27" t="s">
        <v>1987</v>
      </c>
      <c r="F14" s="3309" t="s">
        <v>3239</v>
      </c>
      <c r="G14" s="3309" t="s">
        <v>3239</v>
      </c>
      <c r="H14" s="3309" t="s">
        <v>3239</v>
      </c>
      <c r="I14" s="3309" t="s">
        <v>3239</v>
      </c>
      <c r="J14" s="3309" t="s">
        <v>3239</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0"/>
      <c r="C15" s="2041"/>
      <c r="D15" s="2042"/>
      <c r="E15" s="2043"/>
      <c r="F15" s="3310" t="s">
        <v>3240</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3244</v>
      </c>
      <c r="E18" s="3326"/>
      <c r="F18" s="3321" t="s">
        <v>3247</v>
      </c>
      <c r="G18" s="3325">
        <f>ROUND(1-(1/(POWER(1+G24,E18))),4)</f>
        <v>0</v>
      </c>
      <c r="H18" s="3321" t="s">
        <v>3249</v>
      </c>
      <c r="I18" s="3325">
        <f>ROUND(1-(1/(POWER(1+G24,J24))),4)</f>
        <v>0</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3245</v>
      </c>
      <c r="E19" s="3335"/>
      <c r="F19" s="3336" t="s">
        <v>3248</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797" t="s">
        <v>3250</v>
      </c>
      <c r="B20" s="167" t="s">
        <v>1993</v>
      </c>
      <c r="C20" s="3322" t="e">
        <f>ROUND(IF(F21="与级别开发程度一致",0,(G21-E21)/C21),0)</f>
        <v>#DIV/0!</v>
      </c>
      <c r="D20" s="3338" t="s">
        <v>1997</v>
      </c>
      <c r="E20" s="3339"/>
      <c r="F20" s="3803" t="s">
        <v>1994</v>
      </c>
      <c r="G20" s="3804"/>
      <c r="H20" s="3323"/>
      <c r="I20" s="3323"/>
      <c r="J20" s="3324"/>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15" thickBot="1">
      <c r="A21" s="379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0</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45069</v>
      </c>
      <c r="H23" s="3340" t="s">
        <v>3252</v>
      </c>
      <c r="I23" s="3341" t="str">
        <f>IF(H23="季度增幅（自定义）",SUMIF(N25:N28,E2,O25:O28),"")</f>
        <v/>
      </c>
      <c r="J23" s="3443" t="s">
        <v>3251</v>
      </c>
      <c r="K23" s="1124"/>
      <c r="L23" s="2053" t="s">
        <v>2003</v>
      </c>
      <c r="M23" s="1327">
        <f>ROUND(SUMIF(地价!B2:G2,E2,地价!B16:G16),0)</f>
        <v>0</v>
      </c>
      <c r="N23" s="2054" t="s">
        <v>2004</v>
      </c>
      <c r="O23" s="762">
        <f>ROUNDDOWN(DATEDIF(E23,G23,"M")/3,0)</f>
        <v>9</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3331</v>
      </c>
      <c r="C25" s="770">
        <f>IF(B25="容积率修正",IF(G3&lt;10,D26,J26),C27)</f>
        <v>0</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2" t="s">
        <v>3253</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8" t="s">
        <v>1935</v>
      </c>
      <c r="M30" s="3349" t="s">
        <v>1989</v>
      </c>
      <c r="N30" s="3349" t="s">
        <v>1990</v>
      </c>
      <c r="O30" s="3349" t="s">
        <v>1991</v>
      </c>
      <c r="P30" s="3349" t="s">
        <v>1992</v>
      </c>
      <c r="Q30" s="3352" t="s">
        <v>3258</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1" t="s">
        <v>1998</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3" t="s">
        <v>3256</v>
      </c>
      <c r="G33" s="2097"/>
      <c r="H33" s="2097"/>
      <c r="I33" s="2097"/>
      <c r="J33" s="2098"/>
      <c r="K33" s="1118"/>
      <c r="L33" s="3346" t="s">
        <v>3259</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6" t="s">
        <v>3260</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3257</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01"/>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02"/>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802"/>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3263</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估价对象周边商业氛围成熟度一般，有新业广场等，人流量一般，商业繁华度一般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76.5">
      <c r="A51" s="2128" t="s">
        <v>2052</v>
      </c>
      <c r="B51" s="2132" t="str">
        <f>估价对象房地状况!C18</f>
        <v>估价对象周边道路状况较好、有300、368、652路等公交线路及地铁10号线经过，公共交通通达情况较好、停车便捷程度一般，综合评价交通便捷度较好</v>
      </c>
      <c r="C51" s="2042"/>
      <c r="D51" s="1064">
        <f t="shared" si="7"/>
        <v>0</v>
      </c>
      <c r="E51" s="744"/>
      <c r="F51" s="1812"/>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6" t="s">
        <v>3265</v>
      </c>
      <c r="B52" s="2132">
        <f>估价对象房地状况!C19</f>
        <v>0</v>
      </c>
      <c r="C52" s="2042"/>
      <c r="D52" s="1064">
        <f t="shared" si="7"/>
        <v>0</v>
      </c>
      <c r="E52" s="744"/>
      <c r="F52" s="1812"/>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t="str">
        <f>估价对象房地状况!C24</f>
        <v>快速路-南三环东路</v>
      </c>
      <c r="C54" s="2042"/>
      <c r="D54" s="1064">
        <f t="shared" si="7"/>
        <v>0</v>
      </c>
      <c r="E54" s="744"/>
      <c r="F54" s="1812"/>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估价对象所在区域公共配套设施齐备情况较好</v>
      </c>
      <c r="C56" s="2042"/>
      <c r="D56" s="1064">
        <f t="shared" si="7"/>
        <v>0</v>
      </c>
      <c r="E56" s="744"/>
      <c r="F56" s="1812"/>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估价对象所在区域基础设施水平七通</v>
      </c>
      <c r="C57" s="2042"/>
      <c r="D57" s="1064">
        <f t="shared" si="7"/>
        <v>0</v>
      </c>
      <c r="E57" s="744"/>
      <c r="F57" s="1812"/>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51.75" thickBot="1">
      <c r="A58" s="2136" t="s">
        <v>2060</v>
      </c>
      <c r="B58" s="2137" t="str">
        <f>估价对象房地状况!C20</f>
        <v>区域自然环境：北京动物园、官园公园；人文环境：北京天文馆、北京建筑大学；综合评价环境状况邮编</v>
      </c>
      <c r="C58" s="2042"/>
      <c r="D58" s="1064">
        <f t="shared" si="7"/>
        <v>0</v>
      </c>
      <c r="E58" s="745"/>
      <c r="F58" s="1812"/>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8" t="s">
        <v>2063</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76.5">
      <c r="A62" s="2128" t="s">
        <v>2052</v>
      </c>
      <c r="B62" s="2132" t="str">
        <f>估价对象房地状况!C18</f>
        <v>估价对象周边道路状况较好、有300、368、652路等公交线路及地铁10号线经过，公共交通通达情况较好、停车便捷程度一般，综合评价交通便捷度较好</v>
      </c>
      <c r="C62" s="2042"/>
      <c r="D62" s="1064">
        <f t="shared" si="12"/>
        <v>0</v>
      </c>
      <c r="E62" s="744"/>
      <c r="F62" s="1812"/>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6" t="s">
        <v>3265</v>
      </c>
      <c r="B63" s="2132">
        <f>估价对象房地状况!C19</f>
        <v>0</v>
      </c>
      <c r="C63" s="2042"/>
      <c r="D63" s="1064">
        <f t="shared" si="12"/>
        <v>0</v>
      </c>
      <c r="E63" s="744"/>
      <c r="F63" s="1812"/>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t="str">
        <f>估价对象房地状况!C24</f>
        <v>快速路-南三环东路</v>
      </c>
      <c r="C65" s="2042"/>
      <c r="D65" s="1064">
        <f t="shared" si="12"/>
        <v>0</v>
      </c>
      <c r="E65" s="744"/>
      <c r="F65" s="1812"/>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估价对象所在区域公共配套设施齐备情况较好</v>
      </c>
      <c r="C67" s="2042"/>
      <c r="D67" s="1064">
        <f t="shared" si="12"/>
        <v>0</v>
      </c>
      <c r="E67" s="744"/>
      <c r="F67" s="1812"/>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估价对象所在区域基础设施水平七通</v>
      </c>
      <c r="C68" s="2042"/>
      <c r="D68" s="1064">
        <f t="shared" si="12"/>
        <v>0</v>
      </c>
      <c r="E68" s="744"/>
      <c r="F68" s="1812"/>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6" t="s">
        <v>2060</v>
      </c>
      <c r="B69" s="2138" t="str">
        <f>估价对象房地状况!C20</f>
        <v>区域自然环境：北京动物园、官园公园；人文环境：北京天文馆、北京建筑大学；综合评价环境状况邮编</v>
      </c>
      <c r="C69" s="2042"/>
      <c r="D69" s="1064">
        <f t="shared" si="12"/>
        <v>0</v>
      </c>
      <c r="E69" s="745"/>
      <c r="F69" s="1812"/>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8" t="s">
        <v>2065</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76.5">
      <c r="A73" s="2128" t="s">
        <v>2052</v>
      </c>
      <c r="B73" s="2132" t="str">
        <f>估价对象房地状况!C18</f>
        <v>估价对象周边道路状况较好、有300、368、652路等公交线路及地铁10号线经过，公共交通通达情况较好、停车便捷程度一般，综合评价交通便捷度较好</v>
      </c>
      <c r="C73" s="2042"/>
      <c r="D73" s="1064">
        <f t="shared" si="17"/>
        <v>0</v>
      </c>
      <c r="E73" s="746"/>
      <c r="F73" s="1812"/>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6" t="s">
        <v>3265</v>
      </c>
      <c r="B74" s="2132">
        <f>估价对象房地状况!C19</f>
        <v>0</v>
      </c>
      <c r="C74" s="2042"/>
      <c r="D74" s="1064">
        <f t="shared" si="17"/>
        <v>0</v>
      </c>
      <c r="E74" s="746"/>
      <c r="F74" s="1812"/>
      <c r="G74" s="1062"/>
      <c r="H74" s="1065" t="str">
        <f t="shared" si="18"/>
        <v>——</v>
      </c>
      <c r="I74" s="3364">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t="str">
        <f>估价对象房地状况!C24</f>
        <v>快速路-南三环东路</v>
      </c>
      <c r="C75" s="2042"/>
      <c r="D75" s="1064">
        <f t="shared" si="17"/>
        <v>0</v>
      </c>
      <c r="E75" s="746"/>
      <c r="F75" s="1812"/>
      <c r="G75" s="1062"/>
      <c r="H75" s="1065" t="str">
        <f t="shared" si="18"/>
        <v>——</v>
      </c>
      <c r="I75" s="3364">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估价对象所在区域公共配套设施齐备情况较好</v>
      </c>
      <c r="C76" s="2042"/>
      <c r="D76" s="1064">
        <f t="shared" si="17"/>
        <v>0</v>
      </c>
      <c r="E76" s="746"/>
      <c r="F76" s="1812"/>
      <c r="G76" s="1062"/>
      <c r="H76" s="1065" t="str">
        <f t="shared" si="18"/>
        <v>——</v>
      </c>
      <c r="I76" s="3364">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估价对象所在区域基础设施水平七通</v>
      </c>
      <c r="C77" s="2042"/>
      <c r="D77" s="1064">
        <f t="shared" si="17"/>
        <v>0</v>
      </c>
      <c r="E77" s="746"/>
      <c r="F77" s="1812"/>
      <c r="G77" s="1062"/>
      <c r="H77" s="1065" t="str">
        <f t="shared" si="18"/>
        <v>——</v>
      </c>
      <c r="I77" s="3364">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4">
        <v>0.05</v>
      </c>
      <c r="J78" s="1063">
        <f t="shared" si="19"/>
        <v>0</v>
      </c>
      <c r="K78" s="1063">
        <f t="shared" si="20"/>
        <v>0</v>
      </c>
      <c r="L78" s="1063">
        <v>0</v>
      </c>
      <c r="M78" s="1063">
        <f t="shared" si="21"/>
        <v>0</v>
      </c>
      <c r="N78" s="1063">
        <f t="shared" si="21"/>
        <v>0</v>
      </c>
      <c r="O78" s="1995"/>
      <c r="P78" s="1995"/>
      <c r="Z78" s="1996"/>
      <c r="AA78" s="2051"/>
      <c r="AG78" s="1120"/>
      <c r="AK78" s="2051"/>
    </row>
    <row r="79" spans="1:37" ht="51">
      <c r="A79" s="2128" t="s">
        <v>2060</v>
      </c>
      <c r="B79" s="2131" t="str">
        <f>估价对象房地状况!C20</f>
        <v>区域自然环境：北京动物园、官园公园；人文环境：北京天文馆、北京建筑大学；综合评价环境状况邮编</v>
      </c>
      <c r="C79" s="2042"/>
      <c r="D79" s="1064">
        <f t="shared" si="17"/>
        <v>0</v>
      </c>
      <c r="E79" s="746"/>
      <c r="F79" s="1812"/>
      <c r="G79" s="1062"/>
      <c r="H79" s="1065" t="str">
        <f t="shared" si="18"/>
        <v>——</v>
      </c>
      <c r="I79" s="3364">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5">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1720</v>
      </c>
      <c r="K82" s="552" t="s">
        <v>1721</v>
      </c>
      <c r="L82" s="552" t="s">
        <v>1722</v>
      </c>
      <c r="M82" s="552" t="s">
        <v>1723</v>
      </c>
      <c r="N82" s="552"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4">
        <v>0.3</v>
      </c>
      <c r="J84" s="1063">
        <f t="shared" si="24"/>
        <v>0</v>
      </c>
      <c r="K84" s="1063">
        <f t="shared" si="25"/>
        <v>0</v>
      </c>
      <c r="L84" s="1063">
        <v>0</v>
      </c>
      <c r="M84" s="1063">
        <f t="shared" si="26"/>
        <v>0</v>
      </c>
      <c r="N84" s="1063">
        <f t="shared" si="26"/>
        <v>0</v>
      </c>
      <c r="Z84" s="1996"/>
      <c r="AA84" s="2051"/>
      <c r="AG84" s="1120"/>
      <c r="AK84" s="2051"/>
    </row>
    <row r="85" spans="1:37" ht="36">
      <c r="A85" s="3366" t="s">
        <v>3266</v>
      </c>
      <c r="B85" s="2132">
        <f>估价对象房地状况!G17</f>
        <v>0</v>
      </c>
      <c r="C85" s="2042"/>
      <c r="D85" s="1064">
        <f t="shared" si="22"/>
        <v>0</v>
      </c>
      <c r="E85" s="746"/>
      <c r="F85" s="1812"/>
      <c r="G85" s="1062"/>
      <c r="H85" s="1065" t="str">
        <f t="shared" si="23"/>
        <v>——</v>
      </c>
      <c r="I85" s="3364">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4">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4">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4">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4">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5">
        <v>0.05</v>
      </c>
      <c r="J90" s="1063">
        <f t="shared" si="24"/>
        <v>0</v>
      </c>
      <c r="K90" s="1063">
        <f t="shared" si="25"/>
        <v>0</v>
      </c>
      <c r="L90" s="1063">
        <v>0</v>
      </c>
      <c r="M90" s="1063">
        <f t="shared" si="26"/>
        <v>0</v>
      </c>
      <c r="N90" s="1063">
        <f t="shared" si="26"/>
        <v>0</v>
      </c>
    </row>
    <row r="91" spans="1:37" ht="15">
      <c r="A91" s="3374" t="s">
        <v>2606</v>
      </c>
      <c r="B91" s="3375">
        <f>1+E93</f>
        <v>1</v>
      </c>
      <c r="C91" s="3368"/>
      <c r="D91" s="3369"/>
      <c r="E91" s="1812"/>
      <c r="F91" s="1812"/>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5"/>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76.5">
      <c r="A94" s="3376" t="s">
        <v>3269</v>
      </c>
      <c r="B94" s="3367" t="str">
        <f>估价对象房地状况!C18</f>
        <v>估价对象周边道路状况较好、有300、368、652路等公交线路及地铁10号线经过，公共交通通达情况较好、停车便捷程度一般，综合评价交通便捷度较好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t="str">
        <f>估价对象房地状况!C24</f>
        <v>快速路-南三环东路</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3273</v>
      </c>
      <c r="B99" s="3367" t="str">
        <f>估价对象房地状况!C21</f>
        <v>估价对象所在区域公共配套设施齐备情况较好</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3274</v>
      </c>
      <c r="B100" s="3367" t="str">
        <f>估价对象房地状况!C22</f>
        <v>估价对象所在区域基础设施水平七通</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51.75" thickBot="1">
      <c r="A101" s="3377" t="s">
        <v>3275</v>
      </c>
      <c r="B101" s="3384" t="str">
        <f>估价对象房地状况!C20</f>
        <v>区域自然环境：北京动物园、官园公园；人文环境：北京天文馆、北京建筑大学；综合评价环境状况邮编</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99" t="s">
        <v>3290</v>
      </c>
      <c r="B103" s="3799"/>
      <c r="C103" s="3799"/>
      <c r="D103" s="3799"/>
      <c r="E103" s="3799"/>
      <c r="F103" s="3799"/>
      <c r="G103" s="3799"/>
      <c r="H103" s="3799"/>
      <c r="I103" s="3799"/>
      <c r="J103" s="3799"/>
      <c r="K103" s="3387"/>
      <c r="L103" s="3387"/>
      <c r="M103" s="3387"/>
      <c r="N103" s="3387"/>
    </row>
    <row r="104" spans="1:14">
      <c r="A104" s="3800" t="s">
        <v>3291</v>
      </c>
      <c r="B104" s="3800" t="s">
        <v>3292</v>
      </c>
      <c r="C104" s="3388" t="s">
        <v>3293</v>
      </c>
      <c r="D104" s="3389"/>
      <c r="E104" s="3389"/>
      <c r="F104" s="3389"/>
      <c r="G104" s="3389"/>
      <c r="H104" s="3389"/>
      <c r="I104" s="3389"/>
      <c r="J104" s="3390"/>
      <c r="K104" s="3391"/>
      <c r="L104" s="3391"/>
      <c r="M104" s="3391"/>
      <c r="N104" s="3391"/>
    </row>
    <row r="105" spans="1:14">
      <c r="A105" s="3800"/>
      <c r="B105" s="3800"/>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86"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7"/>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8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89" t="s">
        <v>3307</v>
      </c>
      <c r="B113" s="3789"/>
      <c r="C113" s="3789"/>
      <c r="D113" s="3789"/>
      <c r="E113" s="3789"/>
      <c r="F113" s="3789"/>
      <c r="G113" s="3789"/>
      <c r="H113" s="3789"/>
      <c r="I113" s="3789"/>
      <c r="J113" s="378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1998" t="s">
        <v>3310</v>
      </c>
      <c r="F116" s="3399">
        <f>E2</f>
        <v>0</v>
      </c>
      <c r="G116" s="1998" t="s">
        <v>3311</v>
      </c>
      <c r="H116" s="3399">
        <f>G2</f>
        <v>0</v>
      </c>
      <c r="I116" s="1998"/>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814" t="s">
        <v>2601</v>
      </c>
      <c r="B20" s="3809" t="s">
        <v>2622</v>
      </c>
      <c r="C20" s="3100" t="s">
        <v>2433</v>
      </c>
      <c r="D20" s="3101"/>
      <c r="E20" s="3102">
        <v>1</v>
      </c>
      <c r="F20" s="3103" t="s">
        <v>2434</v>
      </c>
      <c r="G20" s="3103"/>
    </row>
    <row r="21" spans="1:13" ht="19.5" customHeight="1">
      <c r="A21" s="3815"/>
      <c r="B21" s="3808"/>
      <c r="C21" s="3104" t="s">
        <v>2435</v>
      </c>
      <c r="D21" s="3105"/>
      <c r="E21" s="3106">
        <v>1</v>
      </c>
      <c r="F21" s="3103" t="s">
        <v>2436</v>
      </c>
      <c r="G21" s="3103"/>
    </row>
    <row r="22" spans="1:13" ht="19.5" customHeight="1">
      <c r="A22" s="3815"/>
      <c r="B22" s="3808"/>
      <c r="C22" s="3104" t="s">
        <v>2437</v>
      </c>
      <c r="D22" s="3105"/>
      <c r="E22" s="3106">
        <v>0.9</v>
      </c>
      <c r="F22" s="3103" t="s">
        <v>2438</v>
      </c>
      <c r="G22" s="3103"/>
    </row>
    <row r="23" spans="1:13" ht="19.5" customHeight="1">
      <c r="A23" s="3815"/>
      <c r="B23" s="3808"/>
      <c r="C23" s="3104" t="s">
        <v>2439</v>
      </c>
      <c r="D23" s="3105"/>
      <c r="E23" s="3106">
        <v>0.9</v>
      </c>
      <c r="F23" s="3103" t="s">
        <v>2440</v>
      </c>
      <c r="G23" s="3103"/>
    </row>
    <row r="24" spans="1:13" ht="19.5" customHeight="1">
      <c r="A24" s="3815"/>
      <c r="B24" s="3808"/>
      <c r="C24" s="3104" t="s">
        <v>2441</v>
      </c>
      <c r="D24" s="3105"/>
      <c r="E24" s="3106">
        <v>0.8</v>
      </c>
      <c r="F24" s="3103" t="s">
        <v>2442</v>
      </c>
      <c r="G24" s="3103"/>
    </row>
    <row r="25" spans="1:13" ht="19.5" customHeight="1" thickBot="1">
      <c r="A25" s="3816"/>
      <c r="B25" s="3810"/>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811" t="s">
        <v>2625</v>
      </c>
      <c r="B27" s="3809" t="s">
        <v>2606</v>
      </c>
      <c r="C27" s="3100" t="s">
        <v>2446</v>
      </c>
      <c r="D27" s="3101"/>
      <c r="E27" s="3102">
        <v>1</v>
      </c>
      <c r="F27" s="3103" t="s">
        <v>2447</v>
      </c>
      <c r="G27" s="3103"/>
    </row>
    <row r="28" spans="1:13" ht="19.5" customHeight="1">
      <c r="A28" s="3812"/>
      <c r="B28" s="3808"/>
      <c r="C28" s="3104" t="s">
        <v>2448</v>
      </c>
      <c r="D28" s="3105"/>
      <c r="E28" s="3106">
        <v>1</v>
      </c>
      <c r="F28" s="3103" t="s">
        <v>2449</v>
      </c>
      <c r="G28" s="3103"/>
    </row>
    <row r="29" spans="1:13" ht="19.5" customHeight="1">
      <c r="A29" s="3812"/>
      <c r="B29" s="3808"/>
      <c r="C29" s="3104" t="s">
        <v>2450</v>
      </c>
      <c r="D29" s="3105"/>
      <c r="E29" s="3106">
        <v>0.8</v>
      </c>
      <c r="F29" s="3103" t="s">
        <v>2451</v>
      </c>
      <c r="G29" s="3103"/>
    </row>
    <row r="30" spans="1:13" ht="19.5" customHeight="1">
      <c r="A30" s="3812"/>
      <c r="B30" s="3808"/>
      <c r="C30" s="3104" t="s">
        <v>2452</v>
      </c>
      <c r="D30" s="3105"/>
      <c r="E30" s="3106">
        <v>0.8</v>
      </c>
      <c r="F30" s="3103" t="s">
        <v>2453</v>
      </c>
      <c r="G30" s="3103"/>
    </row>
    <row r="31" spans="1:13" ht="19.5" customHeight="1">
      <c r="A31" s="3812"/>
      <c r="B31" s="3808"/>
      <c r="C31" s="3104" t="s">
        <v>2454</v>
      </c>
      <c r="D31" s="3105"/>
      <c r="E31" s="3106">
        <v>0.8</v>
      </c>
      <c r="F31" s="3103" t="s">
        <v>2455</v>
      </c>
      <c r="G31" s="3103"/>
    </row>
    <row r="32" spans="1:13" ht="19.5" customHeight="1">
      <c r="A32" s="3812"/>
      <c r="B32" s="3808"/>
      <c r="C32" s="3104" t="s">
        <v>2456</v>
      </c>
      <c r="D32" s="3105"/>
      <c r="E32" s="3106">
        <v>0.7</v>
      </c>
      <c r="F32" s="3103" t="s">
        <v>2457</v>
      </c>
      <c r="G32" s="3103"/>
    </row>
    <row r="33" spans="1:7" ht="19.5" customHeight="1">
      <c r="A33" s="3812"/>
      <c r="B33" s="3808"/>
      <c r="C33" s="3104" t="s">
        <v>2458</v>
      </c>
      <c r="D33" s="3105"/>
      <c r="E33" s="3106">
        <v>0.8</v>
      </c>
      <c r="F33" s="3103" t="s">
        <v>2459</v>
      </c>
      <c r="G33" s="3103"/>
    </row>
    <row r="34" spans="1:7" ht="19.5" customHeight="1">
      <c r="A34" s="3812"/>
      <c r="B34" s="3808"/>
      <c r="C34" s="3104" t="s">
        <v>2460</v>
      </c>
      <c r="D34" s="3105"/>
      <c r="E34" s="3106">
        <v>0.6</v>
      </c>
      <c r="F34" s="3103" t="s">
        <v>2461</v>
      </c>
      <c r="G34" s="3103"/>
    </row>
    <row r="35" spans="1:7" ht="19.5" customHeight="1">
      <c r="A35" s="3812"/>
      <c r="B35" s="3808"/>
      <c r="C35" s="3104" t="s">
        <v>2462</v>
      </c>
      <c r="D35" s="3105"/>
      <c r="E35" s="3106">
        <v>0.2</v>
      </c>
      <c r="F35" s="3103" t="s">
        <v>2463</v>
      </c>
      <c r="G35" s="3103"/>
    </row>
    <row r="36" spans="1:7" ht="19.5" customHeight="1">
      <c r="A36" s="3812"/>
      <c r="B36" s="3808"/>
      <c r="C36" s="3104" t="s">
        <v>2464</v>
      </c>
      <c r="D36" s="3105"/>
      <c r="E36" s="3106">
        <v>0.2</v>
      </c>
      <c r="F36" s="3103" t="s">
        <v>2465</v>
      </c>
      <c r="G36" s="3103"/>
    </row>
    <row r="37" spans="1:7" ht="19.5" customHeight="1">
      <c r="A37" s="3812"/>
      <c r="B37" s="3806" t="s">
        <v>2626</v>
      </c>
      <c r="C37" s="3104" t="s">
        <v>2466</v>
      </c>
      <c r="D37" s="3105"/>
      <c r="E37" s="3106">
        <v>0.6</v>
      </c>
      <c r="F37" s="3103" t="s">
        <v>2467</v>
      </c>
      <c r="G37" s="3103"/>
    </row>
    <row r="38" spans="1:7" ht="19.5" customHeight="1">
      <c r="A38" s="3812"/>
      <c r="B38" s="3808"/>
      <c r="C38" s="3104" t="s">
        <v>2468</v>
      </c>
      <c r="D38" s="3105"/>
      <c r="E38" s="3106">
        <v>0.6</v>
      </c>
      <c r="F38" s="3103" t="s">
        <v>2469</v>
      </c>
      <c r="G38" s="3103"/>
    </row>
    <row r="39" spans="1:7" ht="19.5" customHeight="1" thickBot="1">
      <c r="A39" s="3813"/>
      <c r="B39" s="3810"/>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814" t="s">
        <v>2604</v>
      </c>
      <c r="B41" s="3809" t="s">
        <v>2628</v>
      </c>
      <c r="C41" s="3100" t="s">
        <v>2473</v>
      </c>
      <c r="D41" s="3101"/>
      <c r="E41" s="3102">
        <v>1</v>
      </c>
      <c r="F41" s="3103" t="s">
        <v>2474</v>
      </c>
      <c r="G41" s="3103"/>
    </row>
    <row r="42" spans="1:7" ht="19.5" customHeight="1">
      <c r="A42" s="3815"/>
      <c r="B42" s="3808"/>
      <c r="C42" s="3104" t="s">
        <v>2475</v>
      </c>
      <c r="D42" s="3105"/>
      <c r="E42" s="3106">
        <v>1</v>
      </c>
      <c r="F42" s="3103" t="s">
        <v>2476</v>
      </c>
      <c r="G42" s="3103"/>
    </row>
    <row r="43" spans="1:7" ht="19.5" customHeight="1">
      <c r="A43" s="3815"/>
      <c r="B43" s="3807"/>
      <c r="C43" s="3104" t="s">
        <v>2477</v>
      </c>
      <c r="D43" s="3105"/>
      <c r="E43" s="3106">
        <v>1.5</v>
      </c>
      <c r="F43" s="3103" t="s">
        <v>2478</v>
      </c>
      <c r="G43" s="3103"/>
    </row>
    <row r="44" spans="1:7" ht="19.5" customHeight="1">
      <c r="A44" s="3815"/>
      <c r="B44" s="3115" t="s">
        <v>2629</v>
      </c>
      <c r="C44" s="3104" t="s">
        <v>2630</v>
      </c>
      <c r="D44" s="3105"/>
      <c r="E44" s="3106">
        <v>2</v>
      </c>
      <c r="F44" s="3103" t="s">
        <v>2479</v>
      </c>
      <c r="G44" s="3103"/>
    </row>
    <row r="45" spans="1:7" ht="19.5" customHeight="1">
      <c r="A45" s="3815"/>
      <c r="B45" s="3806" t="s">
        <v>2631</v>
      </c>
      <c r="C45" s="3104" t="s">
        <v>2480</v>
      </c>
      <c r="D45" s="3105"/>
      <c r="E45" s="3106">
        <v>1</v>
      </c>
      <c r="F45" s="3103" t="s">
        <v>2481</v>
      </c>
      <c r="G45" s="3103"/>
    </row>
    <row r="46" spans="1:7" ht="19.5" customHeight="1">
      <c r="A46" s="3815"/>
      <c r="B46" s="3808"/>
      <c r="C46" s="3104" t="s">
        <v>2482</v>
      </c>
      <c r="D46" s="3105"/>
      <c r="E46" s="3106">
        <v>1</v>
      </c>
      <c r="F46" s="3103" t="s">
        <v>2483</v>
      </c>
      <c r="G46" s="3103"/>
    </row>
    <row r="47" spans="1:7" ht="19.5" customHeight="1">
      <c r="A47" s="3815"/>
      <c r="B47" s="3808"/>
      <c r="C47" s="3104" t="s">
        <v>2484</v>
      </c>
      <c r="D47" s="3105"/>
      <c r="E47" s="3106">
        <v>1</v>
      </c>
      <c r="F47" s="3103" t="s">
        <v>2485</v>
      </c>
      <c r="G47" s="3103"/>
    </row>
    <row r="48" spans="1:7" ht="19.5" customHeight="1">
      <c r="A48" s="3815"/>
      <c r="B48" s="3808"/>
      <c r="C48" s="3104" t="s">
        <v>2486</v>
      </c>
      <c r="D48" s="3105"/>
      <c r="E48" s="3106">
        <v>1</v>
      </c>
      <c r="F48" s="3103" t="s">
        <v>2487</v>
      </c>
      <c r="G48" s="3103"/>
    </row>
    <row r="49" spans="1:7" ht="19.5" customHeight="1">
      <c r="A49" s="3815"/>
      <c r="B49" s="3808"/>
      <c r="C49" s="3104" t="s">
        <v>2488</v>
      </c>
      <c r="D49" s="3105"/>
      <c r="E49" s="3106">
        <v>1</v>
      </c>
      <c r="F49" s="3103" t="s">
        <v>2489</v>
      </c>
      <c r="G49" s="3103"/>
    </row>
    <row r="50" spans="1:7" ht="19.5" customHeight="1">
      <c r="A50" s="3815"/>
      <c r="B50" s="3808"/>
      <c r="C50" s="3104" t="s">
        <v>2490</v>
      </c>
      <c r="D50" s="3105"/>
      <c r="E50" s="3106">
        <v>1</v>
      </c>
      <c r="F50" s="3103" t="s">
        <v>2491</v>
      </c>
      <c r="G50" s="3103"/>
    </row>
    <row r="51" spans="1:7" ht="19.5" customHeight="1" thickBot="1">
      <c r="A51" s="3816"/>
      <c r="B51" s="3810"/>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806" t="s">
        <v>2645</v>
      </c>
      <c r="C73" s="3089" t="s">
        <v>2646</v>
      </c>
      <c r="D73" s="3089" t="s">
        <v>2647</v>
      </c>
      <c r="E73" s="3115">
        <v>0.2</v>
      </c>
      <c r="F73" s="3115">
        <v>25</v>
      </c>
    </row>
    <row r="74" spans="1:7" ht="24">
      <c r="A74" s="3115">
        <v>2</v>
      </c>
      <c r="B74" s="3808"/>
      <c r="C74" s="3089" t="s">
        <v>2648</v>
      </c>
      <c r="D74" s="3089" t="s">
        <v>2649</v>
      </c>
      <c r="E74" s="3115">
        <v>0.2</v>
      </c>
      <c r="F74" s="3115">
        <v>25</v>
      </c>
    </row>
    <row r="75" spans="1:7" ht="24">
      <c r="A75" s="3115">
        <v>3</v>
      </c>
      <c r="B75" s="3808"/>
      <c r="C75" s="3089" t="s">
        <v>2650</v>
      </c>
      <c r="D75" s="3089" t="s">
        <v>2651</v>
      </c>
      <c r="E75" s="3115">
        <v>0.2</v>
      </c>
      <c r="F75" s="3115">
        <v>25</v>
      </c>
    </row>
    <row r="76" spans="1:7" ht="13.5">
      <c r="A76" s="3115">
        <v>4</v>
      </c>
      <c r="B76" s="3808"/>
      <c r="C76" s="3089" t="s">
        <v>2652</v>
      </c>
      <c r="D76" s="3089" t="s">
        <v>2653</v>
      </c>
      <c r="E76" s="3115">
        <v>0.15</v>
      </c>
      <c r="F76" s="3115">
        <v>20</v>
      </c>
    </row>
    <row r="77" spans="1:7" ht="24">
      <c r="A77" s="3115">
        <v>5</v>
      </c>
      <c r="B77" s="3808"/>
      <c r="C77" s="3089" t="s">
        <v>2654</v>
      </c>
      <c r="D77" s="3089" t="s">
        <v>2655</v>
      </c>
      <c r="E77" s="3115">
        <v>0.15</v>
      </c>
      <c r="F77" s="3115">
        <v>20</v>
      </c>
    </row>
    <row r="78" spans="1:7" ht="24">
      <c r="A78" s="3115">
        <v>6</v>
      </c>
      <c r="B78" s="3808"/>
      <c r="C78" s="3089" t="s">
        <v>2656</v>
      </c>
      <c r="D78" s="3089" t="s">
        <v>2657</v>
      </c>
      <c r="E78" s="3115">
        <v>0.15</v>
      </c>
      <c r="F78" s="3115">
        <v>20</v>
      </c>
    </row>
    <row r="79" spans="1:7" ht="24">
      <c r="A79" s="3115">
        <v>7</v>
      </c>
      <c r="B79" s="3808"/>
      <c r="C79" s="3089" t="s">
        <v>2658</v>
      </c>
      <c r="D79" s="3089" t="s">
        <v>2659</v>
      </c>
      <c r="E79" s="3115">
        <v>0.15</v>
      </c>
      <c r="F79" s="3115">
        <v>20</v>
      </c>
    </row>
    <row r="80" spans="1:7" ht="24">
      <c r="A80" s="3115">
        <v>8</v>
      </c>
      <c r="B80" s="3808"/>
      <c r="C80" s="3089" t="s">
        <v>2660</v>
      </c>
      <c r="D80" s="3089" t="s">
        <v>2661</v>
      </c>
      <c r="E80" s="3115">
        <v>0.1</v>
      </c>
      <c r="F80" s="3115">
        <v>15</v>
      </c>
    </row>
    <row r="81" spans="1:6" ht="24">
      <c r="A81" s="3115">
        <v>9</v>
      </c>
      <c r="B81" s="3808"/>
      <c r="C81" s="3089" t="s">
        <v>2662</v>
      </c>
      <c r="D81" s="3089" t="s">
        <v>2663</v>
      </c>
      <c r="E81" s="3115">
        <v>0.1</v>
      </c>
      <c r="F81" s="3115">
        <v>15</v>
      </c>
    </row>
    <row r="82" spans="1:6" ht="24">
      <c r="A82" s="3115">
        <v>10</v>
      </c>
      <c r="B82" s="3808"/>
      <c r="C82" s="3089" t="s">
        <v>2664</v>
      </c>
      <c r="D82" s="3089" t="s">
        <v>2665</v>
      </c>
      <c r="E82" s="3115">
        <v>0.1</v>
      </c>
      <c r="F82" s="3115">
        <v>15</v>
      </c>
    </row>
    <row r="83" spans="1:6" ht="24">
      <c r="A83" s="3115">
        <v>11</v>
      </c>
      <c r="B83" s="3808"/>
      <c r="C83" s="3089" t="s">
        <v>2666</v>
      </c>
      <c r="D83" s="3089" t="s">
        <v>2667</v>
      </c>
      <c r="E83" s="3115">
        <v>0.1</v>
      </c>
      <c r="F83" s="3115">
        <v>15</v>
      </c>
    </row>
    <row r="84" spans="1:6" ht="24">
      <c r="A84" s="3115">
        <v>12</v>
      </c>
      <c r="B84" s="3808"/>
      <c r="C84" s="3089" t="s">
        <v>2668</v>
      </c>
      <c r="D84" s="3089" t="s">
        <v>2669</v>
      </c>
      <c r="E84" s="3115">
        <v>0.1</v>
      </c>
      <c r="F84" s="3115">
        <v>15</v>
      </c>
    </row>
    <row r="85" spans="1:6" ht="13.5">
      <c r="A85" s="3115">
        <v>13</v>
      </c>
      <c r="B85" s="3808"/>
      <c r="C85" s="3089" t="s">
        <v>2670</v>
      </c>
      <c r="D85" s="3089" t="s">
        <v>2671</v>
      </c>
      <c r="E85" s="3115">
        <v>0.1</v>
      </c>
      <c r="F85" s="3115">
        <v>15</v>
      </c>
    </row>
    <row r="86" spans="1:6" ht="13.5">
      <c r="A86" s="3115">
        <v>14</v>
      </c>
      <c r="B86" s="3808"/>
      <c r="C86" s="3089" t="s">
        <v>2672</v>
      </c>
      <c r="D86" s="3089" t="s">
        <v>2673</v>
      </c>
      <c r="E86" s="3115">
        <v>0.1</v>
      </c>
      <c r="F86" s="3115">
        <v>15</v>
      </c>
    </row>
    <row r="87" spans="1:6" ht="13.5">
      <c r="A87" s="3115">
        <v>15</v>
      </c>
      <c r="B87" s="3808"/>
      <c r="C87" s="3089" t="s">
        <v>2674</v>
      </c>
      <c r="D87" s="3089" t="s">
        <v>2675</v>
      </c>
      <c r="E87" s="3115">
        <v>0.1</v>
      </c>
      <c r="F87" s="3115">
        <v>15</v>
      </c>
    </row>
    <row r="88" spans="1:6" ht="24">
      <c r="A88" s="3115">
        <v>16</v>
      </c>
      <c r="B88" s="3808"/>
      <c r="C88" s="3089" t="s">
        <v>2676</v>
      </c>
      <c r="D88" s="3089" t="s">
        <v>2677</v>
      </c>
      <c r="E88" s="3115">
        <v>0.1</v>
      </c>
      <c r="F88" s="3115">
        <v>15</v>
      </c>
    </row>
    <row r="89" spans="1:6" ht="24">
      <c r="A89" s="3115">
        <v>17</v>
      </c>
      <c r="B89" s="3807"/>
      <c r="C89" s="3089" t="s">
        <v>2678</v>
      </c>
      <c r="D89" s="3089" t="s">
        <v>2679</v>
      </c>
      <c r="E89" s="3115">
        <v>0.1</v>
      </c>
      <c r="F89" s="3115">
        <v>15</v>
      </c>
    </row>
    <row r="90" spans="1:6" ht="13.5">
      <c r="A90" s="3115">
        <v>18</v>
      </c>
      <c r="B90" s="3806" t="s">
        <v>2680</v>
      </c>
      <c r="C90" s="3089" t="s">
        <v>2681</v>
      </c>
      <c r="D90" s="3089" t="s">
        <v>2682</v>
      </c>
      <c r="E90" s="3115">
        <v>0.2</v>
      </c>
      <c r="F90" s="3115">
        <v>25</v>
      </c>
    </row>
    <row r="91" spans="1:6" ht="24">
      <c r="A91" s="3115">
        <v>19</v>
      </c>
      <c r="B91" s="3808"/>
      <c r="C91" s="3089" t="s">
        <v>2683</v>
      </c>
      <c r="D91" s="3089" t="s">
        <v>2684</v>
      </c>
      <c r="E91" s="3115">
        <v>0.2</v>
      </c>
      <c r="F91" s="3115">
        <v>25</v>
      </c>
    </row>
    <row r="92" spans="1:6" ht="13.5">
      <c r="A92" s="3115">
        <v>20</v>
      </c>
      <c r="B92" s="3808"/>
      <c r="C92" s="3089" t="s">
        <v>2685</v>
      </c>
      <c r="D92" s="3089" t="s">
        <v>2686</v>
      </c>
      <c r="E92" s="3115">
        <v>0.15</v>
      </c>
      <c r="F92" s="3115">
        <v>20</v>
      </c>
    </row>
    <row r="93" spans="1:6" ht="13.5">
      <c r="A93" s="3115">
        <v>21</v>
      </c>
      <c r="B93" s="3808"/>
      <c r="C93" s="3089" t="s">
        <v>2687</v>
      </c>
      <c r="D93" s="3089" t="s">
        <v>2688</v>
      </c>
      <c r="E93" s="3115">
        <v>0.15</v>
      </c>
      <c r="F93" s="3115">
        <v>20</v>
      </c>
    </row>
    <row r="94" spans="1:6" ht="13.5">
      <c r="A94" s="3115">
        <v>22</v>
      </c>
      <c r="B94" s="3808"/>
      <c r="C94" s="3089" t="s">
        <v>2689</v>
      </c>
      <c r="D94" s="3089" t="s">
        <v>2690</v>
      </c>
      <c r="E94" s="3115">
        <v>0.15</v>
      </c>
      <c r="F94" s="3115">
        <v>20</v>
      </c>
    </row>
    <row r="95" spans="1:6" ht="36">
      <c r="A95" s="3115">
        <v>23</v>
      </c>
      <c r="B95" s="3808"/>
      <c r="C95" s="3089" t="s">
        <v>2691</v>
      </c>
      <c r="D95" s="3089" t="s">
        <v>2692</v>
      </c>
      <c r="E95" s="3115">
        <v>0.15</v>
      </c>
      <c r="F95" s="3115">
        <v>20</v>
      </c>
    </row>
    <row r="96" spans="1:6" ht="13.5">
      <c r="A96" s="3115">
        <v>24</v>
      </c>
      <c r="B96" s="3808"/>
      <c r="C96" s="3089" t="s">
        <v>2693</v>
      </c>
      <c r="D96" s="3089" t="s">
        <v>2694</v>
      </c>
      <c r="E96" s="3115">
        <v>0.1</v>
      </c>
      <c r="F96" s="3115">
        <v>15</v>
      </c>
    </row>
    <row r="97" spans="1:6" ht="13.5">
      <c r="A97" s="3115">
        <v>25</v>
      </c>
      <c r="B97" s="3808"/>
      <c r="C97" s="3089" t="s">
        <v>2695</v>
      </c>
      <c r="D97" s="3089" t="s">
        <v>2696</v>
      </c>
      <c r="E97" s="3115">
        <v>0.1</v>
      </c>
      <c r="F97" s="3115">
        <v>15</v>
      </c>
    </row>
    <row r="98" spans="1:6" ht="24">
      <c r="A98" s="3115">
        <v>26</v>
      </c>
      <c r="B98" s="3808"/>
      <c r="C98" s="3089" t="s">
        <v>2697</v>
      </c>
      <c r="D98" s="3089" t="s">
        <v>2698</v>
      </c>
      <c r="E98" s="3115">
        <v>0.1</v>
      </c>
      <c r="F98" s="3115">
        <v>15</v>
      </c>
    </row>
    <row r="99" spans="1:6" ht="24">
      <c r="A99" s="3115">
        <v>27</v>
      </c>
      <c r="B99" s="3808"/>
      <c r="C99" s="3089" t="s">
        <v>2699</v>
      </c>
      <c r="D99" s="3089" t="s">
        <v>2700</v>
      </c>
      <c r="E99" s="3115">
        <v>0.1</v>
      </c>
      <c r="F99" s="3115">
        <v>15</v>
      </c>
    </row>
    <row r="100" spans="1:6" ht="13.5">
      <c r="A100" s="3115">
        <v>28</v>
      </c>
      <c r="B100" s="3808"/>
      <c r="C100" s="3089" t="s">
        <v>2701</v>
      </c>
      <c r="D100" s="3089" t="s">
        <v>2702</v>
      </c>
      <c r="E100" s="3115">
        <v>0.1</v>
      </c>
      <c r="F100" s="3115">
        <v>15</v>
      </c>
    </row>
    <row r="101" spans="1:6" ht="13.5">
      <c r="A101" s="3115">
        <v>29</v>
      </c>
      <c r="B101" s="3808"/>
      <c r="C101" s="3089" t="s">
        <v>2703</v>
      </c>
      <c r="D101" s="3089" t="s">
        <v>2704</v>
      </c>
      <c r="E101" s="3115">
        <v>0.1</v>
      </c>
      <c r="F101" s="3115">
        <v>15</v>
      </c>
    </row>
    <row r="102" spans="1:6" ht="13.5">
      <c r="A102" s="3115">
        <v>30</v>
      </c>
      <c r="B102" s="3808"/>
      <c r="C102" s="3089" t="s">
        <v>2705</v>
      </c>
      <c r="D102" s="3089" t="s">
        <v>2706</v>
      </c>
      <c r="E102" s="3115">
        <v>0.1</v>
      </c>
      <c r="F102" s="3115">
        <v>15</v>
      </c>
    </row>
    <row r="103" spans="1:6" ht="24">
      <c r="A103" s="3115">
        <v>31</v>
      </c>
      <c r="B103" s="3808"/>
      <c r="C103" s="3089" t="s">
        <v>2707</v>
      </c>
      <c r="D103" s="3089" t="s">
        <v>2708</v>
      </c>
      <c r="E103" s="3115">
        <v>0.1</v>
      </c>
      <c r="F103" s="3115">
        <v>15</v>
      </c>
    </row>
    <row r="104" spans="1:6" ht="24">
      <c r="A104" s="3115">
        <v>32</v>
      </c>
      <c r="B104" s="3808"/>
      <c r="C104" s="3089" t="s">
        <v>2709</v>
      </c>
      <c r="D104" s="3089" t="s">
        <v>2710</v>
      </c>
      <c r="E104" s="3115">
        <v>0.1</v>
      </c>
      <c r="F104" s="3115">
        <v>15</v>
      </c>
    </row>
    <row r="105" spans="1:6" ht="24">
      <c r="A105" s="3115">
        <v>33</v>
      </c>
      <c r="B105" s="3808"/>
      <c r="C105" s="3089" t="s">
        <v>2711</v>
      </c>
      <c r="D105" s="3089" t="s">
        <v>2712</v>
      </c>
      <c r="E105" s="3115">
        <v>0.1</v>
      </c>
      <c r="F105" s="3115">
        <v>15</v>
      </c>
    </row>
    <row r="106" spans="1:6" ht="24">
      <c r="A106" s="3115">
        <v>34</v>
      </c>
      <c r="B106" s="3807"/>
      <c r="C106" s="3089" t="s">
        <v>2713</v>
      </c>
      <c r="D106" s="3089" t="s">
        <v>2714</v>
      </c>
      <c r="E106" s="3115">
        <v>0.1</v>
      </c>
      <c r="F106" s="3115">
        <v>15</v>
      </c>
    </row>
    <row r="107" spans="1:6" ht="24">
      <c r="A107" s="3115">
        <v>35</v>
      </c>
      <c r="B107" s="3806" t="s">
        <v>2715</v>
      </c>
      <c r="C107" s="3115" t="s">
        <v>2716</v>
      </c>
      <c r="D107" s="3089" t="s">
        <v>2717</v>
      </c>
      <c r="E107" s="3115">
        <v>0.15</v>
      </c>
      <c r="F107" s="3115">
        <v>20</v>
      </c>
    </row>
    <row r="108" spans="1:6" ht="13.5">
      <c r="A108" s="3115">
        <v>36</v>
      </c>
      <c r="B108" s="3808"/>
      <c r="C108" s="3115" t="s">
        <v>2718</v>
      </c>
      <c r="D108" s="3089" t="s">
        <v>2719</v>
      </c>
      <c r="E108" s="3115">
        <v>0.15</v>
      </c>
      <c r="F108" s="3115">
        <v>20</v>
      </c>
    </row>
    <row r="109" spans="1:6" ht="13.5">
      <c r="A109" s="3115">
        <v>37</v>
      </c>
      <c r="B109" s="3808"/>
      <c r="C109" s="3115" t="s">
        <v>2720</v>
      </c>
      <c r="D109" s="3089" t="s">
        <v>2721</v>
      </c>
      <c r="E109" s="3115">
        <v>0.15</v>
      </c>
      <c r="F109" s="3115">
        <v>20</v>
      </c>
    </row>
    <row r="110" spans="1:6" ht="13.5">
      <c r="A110" s="3115">
        <v>38</v>
      </c>
      <c r="B110" s="3808"/>
      <c r="C110" s="3115" t="s">
        <v>2722</v>
      </c>
      <c r="D110" s="3089" t="s">
        <v>2723</v>
      </c>
      <c r="E110" s="3115">
        <v>0.1</v>
      </c>
      <c r="F110" s="3115">
        <v>15</v>
      </c>
    </row>
    <row r="111" spans="1:6" ht="24">
      <c r="A111" s="3115">
        <v>39</v>
      </c>
      <c r="B111" s="3808"/>
      <c r="C111" s="3115" t="s">
        <v>2724</v>
      </c>
      <c r="D111" s="3089" t="s">
        <v>2725</v>
      </c>
      <c r="E111" s="3115">
        <v>0.1</v>
      </c>
      <c r="F111" s="3115">
        <v>15</v>
      </c>
    </row>
    <row r="112" spans="1:6" ht="24">
      <c r="A112" s="3115">
        <v>40</v>
      </c>
      <c r="B112" s="3807"/>
      <c r="C112" s="3115" t="s">
        <v>2726</v>
      </c>
      <c r="D112" s="3089" t="s">
        <v>2727</v>
      </c>
      <c r="E112" s="3115">
        <v>0.1</v>
      </c>
      <c r="F112" s="3115">
        <v>15</v>
      </c>
    </row>
    <row r="113" spans="1:6" ht="13.5">
      <c r="A113" s="3115">
        <v>41</v>
      </c>
      <c r="B113" s="3805" t="s">
        <v>2728</v>
      </c>
      <c r="C113" s="3115" t="s">
        <v>2729</v>
      </c>
      <c r="D113" s="3089" t="s">
        <v>2730</v>
      </c>
      <c r="E113" s="3115">
        <v>0.1</v>
      </c>
      <c r="F113" s="3115">
        <v>15</v>
      </c>
    </row>
    <row r="114" spans="1:6" ht="13.5">
      <c r="A114" s="3115">
        <v>42</v>
      </c>
      <c r="B114" s="3805"/>
      <c r="C114" s="3115" t="s">
        <v>2731</v>
      </c>
      <c r="D114" s="3089" t="s">
        <v>2732</v>
      </c>
      <c r="E114" s="3115">
        <v>0.1</v>
      </c>
      <c r="F114" s="3115">
        <v>15</v>
      </c>
    </row>
    <row r="115" spans="1:6" ht="24">
      <c r="A115" s="3115">
        <v>43</v>
      </c>
      <c r="B115" s="3805"/>
      <c r="C115" s="3115" t="s">
        <v>2733</v>
      </c>
      <c r="D115" s="3089" t="s">
        <v>2734</v>
      </c>
      <c r="E115" s="3115">
        <v>0.1</v>
      </c>
      <c r="F115" s="3115">
        <v>15</v>
      </c>
    </row>
    <row r="116" spans="1:6" ht="13.5">
      <c r="A116" s="3115">
        <v>44</v>
      </c>
      <c r="B116" s="3806" t="s">
        <v>2735</v>
      </c>
      <c r="C116" s="3115" t="s">
        <v>2736</v>
      </c>
      <c r="D116" s="3089" t="s">
        <v>2737</v>
      </c>
      <c r="E116" s="3115">
        <v>0.1</v>
      </c>
      <c r="F116" s="3115">
        <v>15</v>
      </c>
    </row>
    <row r="117" spans="1:6" ht="24">
      <c r="A117" s="3115">
        <v>45</v>
      </c>
      <c r="B117" s="3807"/>
      <c r="C117" s="3089" t="s">
        <v>2738</v>
      </c>
      <c r="D117" s="3089" t="s">
        <v>2739</v>
      </c>
      <c r="E117" s="3115">
        <v>0.1</v>
      </c>
      <c r="F117" s="3115">
        <v>15</v>
      </c>
    </row>
    <row r="118" spans="1:6" ht="24">
      <c r="A118" s="3115">
        <v>46</v>
      </c>
      <c r="B118" s="3806" t="s">
        <v>2740</v>
      </c>
      <c r="C118" s="3115" t="s">
        <v>2741</v>
      </c>
      <c r="D118" s="3089" t="s">
        <v>2742</v>
      </c>
      <c r="E118" s="3115">
        <v>0.1</v>
      </c>
      <c r="F118" s="3115">
        <v>15</v>
      </c>
    </row>
    <row r="119" spans="1:6" ht="24">
      <c r="A119" s="3115">
        <v>47</v>
      </c>
      <c r="B119" s="3807"/>
      <c r="C119" s="3115" t="s">
        <v>2743</v>
      </c>
      <c r="D119" s="3089" t="s">
        <v>2744</v>
      </c>
      <c r="E119" s="3115">
        <v>0.1</v>
      </c>
      <c r="F119" s="3115">
        <v>15</v>
      </c>
    </row>
    <row r="120" spans="1:6" ht="13.5">
      <c r="A120" s="3115">
        <v>48</v>
      </c>
      <c r="B120" s="3806" t="s">
        <v>2745</v>
      </c>
      <c r="C120" s="3115" t="s">
        <v>2746</v>
      </c>
      <c r="D120" s="3089" t="s">
        <v>2747</v>
      </c>
      <c r="E120" s="3115">
        <v>0.1</v>
      </c>
      <c r="F120" s="3115">
        <v>15</v>
      </c>
    </row>
    <row r="121" spans="1:6" ht="13.5">
      <c r="A121" s="3115">
        <v>49</v>
      </c>
      <c r="B121" s="3807"/>
      <c r="C121" s="3115" t="s">
        <v>2748</v>
      </c>
      <c r="D121" s="3089" t="s">
        <v>2749</v>
      </c>
      <c r="E121" s="3115">
        <v>0.1</v>
      </c>
      <c r="F121" s="3115">
        <v>15</v>
      </c>
    </row>
    <row r="122" spans="1:6" ht="24">
      <c r="A122" s="3115">
        <v>50</v>
      </c>
      <c r="B122" s="3805" t="s">
        <v>2750</v>
      </c>
      <c r="C122" s="3115" t="s">
        <v>2751</v>
      </c>
      <c r="D122" s="3089" t="s">
        <v>2752</v>
      </c>
      <c r="E122" s="3115">
        <v>0.1</v>
      </c>
      <c r="F122" s="3115">
        <v>15</v>
      </c>
    </row>
    <row r="123" spans="1:6" ht="24">
      <c r="A123" s="3115">
        <v>51</v>
      </c>
      <c r="B123" s="3805"/>
      <c r="C123" s="3115" t="s">
        <v>2753</v>
      </c>
      <c r="D123" s="3089" t="s">
        <v>2754</v>
      </c>
      <c r="E123" s="3115">
        <v>0.1</v>
      </c>
      <c r="F123" s="3115">
        <v>15</v>
      </c>
    </row>
    <row r="124" spans="1:6" ht="24">
      <c r="A124" s="3115">
        <v>52</v>
      </c>
      <c r="B124" s="3805" t="s">
        <v>2755</v>
      </c>
      <c r="C124" s="3115" t="s">
        <v>2756</v>
      </c>
      <c r="D124" s="3089" t="s">
        <v>2757</v>
      </c>
      <c r="E124" s="3115">
        <v>0.1</v>
      </c>
      <c r="F124" s="3115">
        <v>15</v>
      </c>
    </row>
    <row r="125" spans="1:6" ht="24">
      <c r="A125" s="3115">
        <v>53</v>
      </c>
      <c r="B125" s="3805"/>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805" t="s">
        <v>2763</v>
      </c>
      <c r="C127" s="3115" t="s">
        <v>2764</v>
      </c>
      <c r="D127" s="3089" t="s">
        <v>2765</v>
      </c>
      <c r="E127" s="3115">
        <v>0.1</v>
      </c>
      <c r="F127" s="3115">
        <v>15</v>
      </c>
    </row>
    <row r="128" spans="1:6" ht="13.5">
      <c r="A128" s="3115">
        <v>56</v>
      </c>
      <c r="B128" s="3805"/>
      <c r="C128" s="3115" t="s">
        <v>2766</v>
      </c>
      <c r="D128" s="3089" t="s">
        <v>2767</v>
      </c>
      <c r="E128" s="3115">
        <v>0.1</v>
      </c>
      <c r="F128" s="3115">
        <v>15</v>
      </c>
    </row>
    <row r="129" spans="1:6" ht="24">
      <c r="A129" s="3115">
        <v>57</v>
      </c>
      <c r="B129" s="3805"/>
      <c r="C129" s="3115" t="s">
        <v>2768</v>
      </c>
      <c r="D129" s="3089" t="s">
        <v>2769</v>
      </c>
      <c r="E129" s="3115">
        <v>0.1</v>
      </c>
      <c r="F129" s="3115">
        <v>15</v>
      </c>
    </row>
    <row r="130" spans="1:6" ht="24">
      <c r="A130" s="3115">
        <v>58</v>
      </c>
      <c r="B130" s="3805" t="s">
        <v>2770</v>
      </c>
      <c r="C130" s="3115" t="s">
        <v>2771</v>
      </c>
      <c r="D130" s="3089" t="s">
        <v>2772</v>
      </c>
      <c r="E130" s="3115">
        <v>0.1</v>
      </c>
      <c r="F130" s="3115">
        <v>15</v>
      </c>
    </row>
    <row r="131" spans="1:6" ht="13.5">
      <c r="A131" s="3115">
        <v>59</v>
      </c>
      <c r="B131" s="3805"/>
      <c r="C131" s="3115" t="s">
        <v>2773</v>
      </c>
      <c r="D131" s="3089" t="s">
        <v>2774</v>
      </c>
      <c r="E131" s="3115">
        <v>0.1</v>
      </c>
      <c r="F131" s="3115">
        <v>15</v>
      </c>
    </row>
    <row r="132" spans="1:6" ht="13.5">
      <c r="A132" s="3115">
        <v>60</v>
      </c>
      <c r="B132" s="3806" t="s">
        <v>2775</v>
      </c>
      <c r="C132" s="3115" t="s">
        <v>2776</v>
      </c>
      <c r="D132" s="3089" t="s">
        <v>2777</v>
      </c>
      <c r="E132" s="3115">
        <v>0.1</v>
      </c>
      <c r="F132" s="3115">
        <v>15</v>
      </c>
    </row>
    <row r="133" spans="1:6" ht="13.5">
      <c r="A133" s="3115">
        <v>61</v>
      </c>
      <c r="B133" s="3807"/>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805" t="s">
        <v>2783</v>
      </c>
      <c r="C135" s="3115" t="s">
        <v>2784</v>
      </c>
      <c r="D135" s="3089" t="s">
        <v>2785</v>
      </c>
      <c r="E135" s="3115">
        <v>0.1</v>
      </c>
      <c r="F135" s="3115">
        <v>15</v>
      </c>
    </row>
    <row r="136" spans="1:6" ht="13.5">
      <c r="A136" s="3115">
        <v>64</v>
      </c>
      <c r="B136" s="3805"/>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2792</v>
      </c>
      <c r="B1" s="3124"/>
      <c r="C1" s="3124"/>
      <c r="D1" s="3124"/>
      <c r="E1" s="3124"/>
      <c r="F1" s="3124"/>
      <c r="G1" s="3124"/>
      <c r="H1" s="3124"/>
      <c r="I1" s="3124"/>
      <c r="J1" s="3124"/>
      <c r="K1" s="3124"/>
      <c r="L1" s="3124"/>
      <c r="M1" s="3124"/>
      <c r="N1" s="748"/>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49">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49">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1"/>
      <c r="B4" s="3497" t="s">
        <v>917</v>
      </c>
      <c r="C4" s="3497"/>
      <c r="D4" s="3497"/>
      <c r="E4" s="1491"/>
    </row>
    <row r="5" spans="1:5" ht="16.5" thickTop="1">
      <c r="A5" s="1489"/>
      <c r="B5" s="3495" t="s">
        <v>909</v>
      </c>
      <c r="C5" s="1492" t="s">
        <v>910</v>
      </c>
      <c r="D5" s="849">
        <f ca="1">结果表!H101</f>
        <v>5604</v>
      </c>
      <c r="E5" s="1489"/>
    </row>
    <row r="6" spans="1:5" ht="15.75">
      <c r="A6" s="1489"/>
      <c r="B6" s="3495"/>
      <c r="C6" s="1492" t="s">
        <v>911</v>
      </c>
      <c r="D6" s="849" t="str">
        <f ca="1">NUMBERSTRING(INT(D5*10000),2)&amp;"元整"</f>
        <v>伍仟陆佰零肆万元整</v>
      </c>
      <c r="E6" s="1489"/>
    </row>
    <row r="7" spans="1:5" ht="15.75">
      <c r="A7" s="1489"/>
      <c r="B7" s="3500"/>
      <c r="C7" s="1493" t="s">
        <v>912</v>
      </c>
      <c r="D7" s="850">
        <f ca="1">结果表!H102</f>
        <v>46061</v>
      </c>
      <c r="E7" s="1489"/>
    </row>
    <row r="8" spans="1:5" ht="15.75">
      <c r="A8" s="1489"/>
      <c r="B8" s="3501" t="str">
        <f>结果表!E103</f>
        <v>2.估价师知悉的法定优先受偿款</v>
      </c>
      <c r="C8" s="1494" t="s">
        <v>913</v>
      </c>
      <c r="D8" s="850">
        <f>结果表!H103</f>
        <v>0</v>
      </c>
      <c r="E8" s="1489"/>
    </row>
    <row r="9" spans="1:5" ht="15.75">
      <c r="A9" s="1489"/>
      <c r="B9" s="350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94" t="str">
        <f>结果表!E107</f>
        <v>3.房地产抵押价值</v>
      </c>
      <c r="C13" s="1497" t="s">
        <v>910</v>
      </c>
      <c r="D13" s="852">
        <f ca="1">结果表!H107</f>
        <v>5604</v>
      </c>
      <c r="E13" s="1489"/>
    </row>
    <row r="14" spans="1:5" ht="15.75">
      <c r="A14" s="1489"/>
      <c r="B14" s="3495"/>
      <c r="C14" s="1492" t="s">
        <v>911</v>
      </c>
      <c r="D14" s="849" t="str">
        <f ca="1">NUMBERSTRING(INT(D13*10000),2)&amp;"元整"</f>
        <v>伍仟陆佰零肆万元整</v>
      </c>
      <c r="E14" s="1489"/>
    </row>
    <row r="15" spans="1:5" ht="15">
      <c r="A15" s="1489"/>
      <c r="B15" s="3500"/>
      <c r="C15" s="1493" t="s">
        <v>921</v>
      </c>
      <c r="D15" s="858">
        <f ca="1">结果表!H108</f>
        <v>46061</v>
      </c>
      <c r="E15" s="1489"/>
    </row>
    <row r="16" spans="1:5" ht="15">
      <c r="A16" s="1489"/>
      <c r="B16" s="3501" t="str">
        <f>结果表!E109</f>
        <v>——</v>
      </c>
      <c r="C16" s="1497" t="s">
        <v>922</v>
      </c>
      <c r="D16" s="1498" t="str">
        <f>结果表!H109</f>
        <v>——</v>
      </c>
      <c r="E16" s="1489"/>
    </row>
    <row r="17" spans="1:5" ht="15.75">
      <c r="A17" s="1489"/>
      <c r="B17" s="3502"/>
      <c r="C17" s="1492" t="s">
        <v>923</v>
      </c>
      <c r="D17" s="849" t="e">
        <f>NUMBERSTRING(INT(D16*10000),2)&amp;"元整"</f>
        <v>#VALUE!</v>
      </c>
      <c r="E17" s="1489"/>
    </row>
    <row r="18" spans="1:5" ht="15">
      <c r="A18" s="1489"/>
      <c r="B18" s="3503"/>
      <c r="C18" s="1493" t="s">
        <v>912</v>
      </c>
      <c r="D18" s="858" t="str">
        <f>结果表!H110</f>
        <v>——</v>
      </c>
      <c r="E18" s="1489"/>
    </row>
    <row r="19" spans="1:5" ht="15.75">
      <c r="A19" s="1489"/>
      <c r="B19" s="3494" t="str">
        <f>结果表!E111</f>
        <v>——</v>
      </c>
      <c r="C19" s="1497" t="s">
        <v>910</v>
      </c>
      <c r="D19" s="850" t="str">
        <f>结果表!H111</f>
        <v>——</v>
      </c>
      <c r="E19" s="1489"/>
    </row>
    <row r="20" spans="1:5" ht="15.75">
      <c r="A20" s="1489"/>
      <c r="B20" s="3495"/>
      <c r="C20" s="1492" t="s">
        <v>923</v>
      </c>
      <c r="D20" s="849" t="e">
        <f>NUMBERSTRING(INT(D19*10000),2)&amp;"元整"</f>
        <v>#VALUE!</v>
      </c>
      <c r="E20" s="1489"/>
    </row>
    <row r="21" spans="1:5" ht="15.75" thickBot="1">
      <c r="A21" s="1489"/>
      <c r="B21" s="349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28863</v>
      </c>
      <c r="C2" s="2" t="s">
        <v>106</v>
      </c>
      <c r="D2" s="199"/>
      <c r="E2" s="199"/>
      <c r="F2" s="199"/>
      <c r="G2" s="199"/>
    </row>
    <row r="3" spans="1:7" s="200" customFormat="1" ht="18" customHeight="1" thickBot="1">
      <c r="A3" s="203" t="s">
        <v>58</v>
      </c>
      <c r="B3" s="204">
        <f ca="1">ROUND(B2*10000/'数据-汇总表'!E3,0)</f>
        <v>237233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1216.6500000000001</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24</v>
      </c>
      <c r="D19" s="848">
        <f>'数据-汇总表'!E3</f>
        <v>1216.6500000000001</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865</v>
      </c>
      <c r="D22" s="235">
        <f ca="1">C26</f>
        <v>4.0000000000000002E-4</v>
      </c>
      <c r="E22" s="236" t="s">
        <v>99</v>
      </c>
      <c r="F22" s="237">
        <f ca="1">'数据-取费表'!B40</f>
        <v>4.1499999999999995E-2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855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9</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4209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487</v>
      </c>
      <c r="D34" s="217"/>
      <c r="E34" s="220"/>
      <c r="F34" s="257">
        <f>IF('数据-取费表'!B24=0,1,'数据-取费表'!N16)</f>
        <v>1</v>
      </c>
      <c r="G34" s="219" t="s">
        <v>89</v>
      </c>
    </row>
    <row r="35" spans="1:7" ht="13.5" customHeight="1">
      <c r="A35" s="779" t="s">
        <v>351</v>
      </c>
      <c r="B35" s="215" t="s">
        <v>33</v>
      </c>
      <c r="C35" s="220">
        <f>ROUND(C34*F35,0)</f>
        <v>15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24</v>
      </c>
      <c r="D37" s="217">
        <f>'数据-汇总表'!E3</f>
        <v>1216.6500000000001</v>
      </c>
      <c r="E37" s="249">
        <f>'数据-取费表'!B35</f>
        <v>200</v>
      </c>
      <c r="F37" s="259"/>
      <c r="G37" s="261" t="s">
        <v>92</v>
      </c>
    </row>
    <row r="38" spans="1:7" ht="13.5" customHeight="1">
      <c r="A38" s="779" t="s">
        <v>354</v>
      </c>
      <c r="B38" s="215" t="s">
        <v>36</v>
      </c>
      <c r="C38" s="220">
        <f>ROUND(C34*F38,0)</f>
        <v>7</v>
      </c>
      <c r="D38" s="220"/>
      <c r="E38" s="220"/>
      <c r="F38" s="259">
        <f>'数据-取费表'!B36</f>
        <v>1.4999999999999999E-2</v>
      </c>
      <c r="G38" s="219" t="s">
        <v>90</v>
      </c>
    </row>
    <row r="39" spans="1:7" s="214" customFormat="1" ht="13.5" customHeight="1">
      <c r="A39" s="776" t="s">
        <v>338</v>
      </c>
      <c r="B39" s="210" t="s">
        <v>77</v>
      </c>
      <c r="C39" s="232">
        <f>ROUND(C33*F20,0)</f>
        <v>11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11</v>
      </c>
      <c r="D41" s="235">
        <f ca="1">C44</f>
        <v>4.0000000000000002E-4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11</v>
      </c>
      <c r="D42" s="238"/>
      <c r="E42" s="238"/>
      <c r="F42" s="239"/>
      <c r="G42" s="3679" t="s">
        <v>94</v>
      </c>
    </row>
    <row r="43" spans="1:7" ht="13.5" customHeight="1">
      <c r="A43" s="779" t="s">
        <v>347</v>
      </c>
      <c r="B43" s="215" t="s">
        <v>426</v>
      </c>
      <c r="C43" s="238">
        <f ca="1">ROUND(IF('数据-取费表'!B22&lt;=1,C39*F22*'数据-取费表'!B21/2,C39*(POWER((1+F22),'数据-取费表'!B21/2)-1)),0)</f>
        <v>0</v>
      </c>
      <c r="D43" s="238"/>
      <c r="E43" s="238"/>
      <c r="F43" s="239"/>
      <c r="G43" s="3680"/>
    </row>
    <row r="44" spans="1:7" ht="13.5" customHeight="1">
      <c r="A44" s="779" t="s">
        <v>348</v>
      </c>
      <c r="B44" s="215" t="s">
        <v>428</v>
      </c>
      <c r="C44" s="238">
        <f ca="1">ROUND(IF('数据-取费表'!B22&lt;=1,C40*F22*'数据-取费表'!B21/2,C40*(POWER((1+F22),'数据-取费表'!B21/2)-1)),4)</f>
        <v>4.0000000000000002E-4</v>
      </c>
      <c r="D44" s="238"/>
      <c r="E44" s="238"/>
      <c r="F44" s="239"/>
      <c r="G44" s="3681"/>
    </row>
    <row r="45" spans="1:7" s="214" customFormat="1" ht="13.5" customHeight="1">
      <c r="A45" s="776" t="s">
        <v>341</v>
      </c>
      <c r="B45" s="244" t="s">
        <v>85</v>
      </c>
      <c r="C45" s="245">
        <f>C46</f>
        <v>109</v>
      </c>
      <c r="D45" s="235">
        <f>C47</f>
        <v>4.0000000000000001E-3</v>
      </c>
      <c r="E45" s="236" t="s">
        <v>102</v>
      </c>
      <c r="F45" s="246"/>
      <c r="G45" s="247" t="s">
        <v>434</v>
      </c>
    </row>
    <row r="46" spans="1:7" s="214" customFormat="1" ht="13.5" customHeight="1">
      <c r="A46" s="779" t="s">
        <v>349</v>
      </c>
      <c r="B46" s="248" t="s">
        <v>427</v>
      </c>
      <c r="C46" s="249">
        <f>ROUND((C33+C39)*F27,0)</f>
        <v>109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720</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540</v>
      </c>
      <c r="D51" s="232"/>
      <c r="E51" s="232"/>
      <c r="F51" s="264"/>
      <c r="G51" s="234" t="s">
        <v>37</v>
      </c>
    </row>
    <row r="52" spans="1:7" s="208" customFormat="1" ht="16.5" thickBot="1">
      <c r="A52" s="265" t="s">
        <v>38</v>
      </c>
      <c r="B52" s="266"/>
      <c r="C52" s="267">
        <f ca="1">C31+C51</f>
        <v>28863</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3610</v>
      </c>
      <c r="D1" s="1360" t="s">
        <v>43</v>
      </c>
      <c r="E1" s="1361" t="s">
        <v>678</v>
      </c>
      <c r="F1" s="1061">
        <f ca="1">J53</f>
        <v>20</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f ca="1">ROUND(D2/10000,4)</f>
        <v>4271.0780999999997</v>
      </c>
      <c r="C2" s="1385" t="s">
        <v>879</v>
      </c>
      <c r="D2" s="1469">
        <f ca="1">C40+J29+L46</f>
        <v>42710781</v>
      </c>
      <c r="E2" s="1386" t="s">
        <v>880</v>
      </c>
      <c r="F2" s="1387"/>
      <c r="G2" s="2703"/>
      <c r="H2" s="2692"/>
      <c r="I2" s="2692"/>
      <c r="J2" s="2692"/>
      <c r="K2" s="2693"/>
      <c r="L2" s="2692"/>
      <c r="M2" s="2692"/>
    </row>
    <row r="3" spans="1:37" ht="18" customHeight="1" thickBot="1">
      <c r="A3" s="1388" t="s">
        <v>881</v>
      </c>
      <c r="B3" s="1389">
        <f ca="1">IF(ISERROR(D2/F43),0,ROUND(D2/F43,0))</f>
        <v>35105</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3521488</v>
      </c>
      <c r="D5" s="1362" t="s">
        <v>889</v>
      </c>
      <c r="E5" s="1070"/>
      <c r="F5" s="1071"/>
      <c r="G5" s="1382"/>
      <c r="H5" s="299">
        <v>1</v>
      </c>
      <c r="I5" s="300" t="s">
        <v>888</v>
      </c>
      <c r="J5" s="1069">
        <f ca="1">J6+J10+J12</f>
        <v>0</v>
      </c>
      <c r="K5" s="1362" t="s">
        <v>889</v>
      </c>
      <c r="L5" s="1070"/>
      <c r="M5" s="1071"/>
    </row>
    <row r="6" spans="1:37" ht="18" customHeight="1">
      <c r="A6" s="1068" t="s">
        <v>398</v>
      </c>
      <c r="B6" s="3684" t="s">
        <v>694</v>
      </c>
      <c r="C6" s="1073">
        <f ca="1">ROUND(F6*F8*F7*(1-F9),0)</f>
        <v>3517092</v>
      </c>
      <c r="D6" s="155" t="s">
        <v>2101</v>
      </c>
      <c r="E6" s="302" t="s">
        <v>696</v>
      </c>
      <c r="F6" s="303">
        <f ca="1">INDIRECT("'数据-取费表'!u"&amp;$G$1)</f>
        <v>8.8000000000000007</v>
      </c>
      <c r="G6" s="1382"/>
      <c r="H6" s="1068" t="s">
        <v>398</v>
      </c>
      <c r="I6" s="3684" t="s">
        <v>694</v>
      </c>
      <c r="J6" s="301">
        <f ca="1">ROUND(M6*M8*M7*(1-M9),0)</f>
        <v>0</v>
      </c>
      <c r="K6" s="1374" t="s">
        <v>2102</v>
      </c>
      <c r="L6" s="302" t="s">
        <v>696</v>
      </c>
      <c r="M6" s="303">
        <f ca="1">INDIRECT("'数据-取费表'!z"&amp;$G$1)</f>
        <v>0</v>
      </c>
    </row>
    <row r="7" spans="1:37" ht="18" customHeight="1">
      <c r="A7" s="1072"/>
      <c r="B7" s="3685"/>
      <c r="C7" s="1074"/>
      <c r="D7" s="307"/>
      <c r="E7" s="1075" t="s">
        <v>697</v>
      </c>
      <c r="F7" s="303">
        <f ca="1">IF(INDIRECT("'数据-取费表'!ah"&amp;$G$1)="",INDIRECT("'数据-取费表'!k"&amp;$G$1),INDIRECT("'数据-取费表'!ah"&amp;$G$1))</f>
        <v>1216.6500000000001</v>
      </c>
      <c r="G7" s="1382"/>
      <c r="H7" s="304"/>
      <c r="I7" s="3685"/>
      <c r="J7" s="306"/>
      <c r="K7" s="307"/>
      <c r="L7" s="302" t="s">
        <v>697</v>
      </c>
      <c r="M7" s="303">
        <f ca="1">F7</f>
        <v>1216.6500000000001</v>
      </c>
    </row>
    <row r="8" spans="1:37" ht="18" customHeight="1">
      <c r="A8" s="304"/>
      <c r="B8" s="3685"/>
      <c r="C8" s="306"/>
      <c r="D8" s="307"/>
      <c r="E8" s="302" t="s">
        <v>698</v>
      </c>
      <c r="F8" s="303">
        <f ca="1">INDIRECT("'数据-取费表'!ai"&amp;$G$1)</f>
        <v>365</v>
      </c>
      <c r="G8" s="1382"/>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2"/>
      <c r="H9" s="304"/>
      <c r="I9" s="3686"/>
      <c r="J9" s="306"/>
      <c r="K9" s="307"/>
      <c r="L9" s="313" t="s">
        <v>699</v>
      </c>
      <c r="M9" s="314">
        <f ca="1">INDIRECT("'数据-取费表'!ab"&amp;$G$1)</f>
        <v>0</v>
      </c>
    </row>
    <row r="10" spans="1:37" ht="18" customHeight="1">
      <c r="A10" s="1068" t="s">
        <v>402</v>
      </c>
      <c r="B10" s="1363" t="s">
        <v>700</v>
      </c>
      <c r="C10" s="316">
        <f ca="1">ROUND(IF(F10="押一",C6/12*F11,IF(F10="押二",C6/12*2*F11,IF(F10="押三",C6/12*3*F11,C11*F11))),0)</f>
        <v>4396</v>
      </c>
      <c r="D10" s="1364" t="s">
        <v>2111</v>
      </c>
      <c r="E10" s="313" t="s">
        <v>701</v>
      </c>
      <c r="F10" s="1115" t="s">
        <v>3599</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4866600</v>
      </c>
      <c r="D14" s="1343" t="s">
        <v>708</v>
      </c>
      <c r="E14" s="1340"/>
      <c r="F14" s="319"/>
      <c r="G14" s="1382"/>
      <c r="H14" s="981" t="s">
        <v>398</v>
      </c>
      <c r="I14" s="302" t="s">
        <v>709</v>
      </c>
      <c r="J14" s="21">
        <f ca="1">C29</f>
        <v>7194399</v>
      </c>
      <c r="K14" s="12"/>
      <c r="L14" s="806"/>
      <c r="M14" s="807"/>
    </row>
    <row r="15" spans="1:37" s="1395" customFormat="1" ht="18" customHeight="1" thickBot="1">
      <c r="A15" s="981" t="s">
        <v>399</v>
      </c>
      <c r="B15" s="302" t="s">
        <v>710</v>
      </c>
      <c r="C15" s="21">
        <f ca="1">ROUND(C14*F15,0)</f>
        <v>145998</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71944</v>
      </c>
      <c r="K16" s="1086" t="s">
        <v>715</v>
      </c>
      <c r="L16" s="1087"/>
      <c r="M16" s="1071"/>
    </row>
    <row r="17" spans="1:37" s="1395" customFormat="1" ht="18" customHeight="1">
      <c r="A17" s="981" t="s">
        <v>681</v>
      </c>
      <c r="B17" s="302" t="s">
        <v>716</v>
      </c>
      <c r="C17" s="21">
        <f ca="1">ROUND(F17*(F43+INDIRECT("'数据-取费表'!S"&amp;$G$1)),0)</f>
        <v>243330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72999</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5328927</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106579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ROUND(J14*M22,0)</f>
        <v>71944</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112787</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-71944</v>
      </c>
      <c r="K25" s="1094" t="s">
        <v>753</v>
      </c>
      <c r="L25" s="1095"/>
      <c r="M25" s="1096"/>
    </row>
    <row r="26" spans="1:37" ht="18" customHeight="1">
      <c r="A26" s="981" t="s">
        <v>397</v>
      </c>
      <c r="B26" s="302" t="s">
        <v>754</v>
      </c>
      <c r="C26" s="21">
        <f ca="1">ROUND((C19+C20)*F26,0)</f>
        <v>1087101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7194399</v>
      </c>
      <c r="D29" s="1091"/>
      <c r="E29" s="1089"/>
      <c r="F29" s="1092"/>
      <c r="G29" s="1394"/>
      <c r="H29" s="334" t="s">
        <v>396</v>
      </c>
      <c r="I29" s="335" t="s">
        <v>768</v>
      </c>
      <c r="J29" s="336">
        <f ca="1">ROUND(J26/(1+F40)^F41,0)</f>
        <v>0</v>
      </c>
      <c r="K29" s="337" t="s">
        <v>769</v>
      </c>
      <c r="L29" s="338"/>
      <c r="M29" s="339">
        <f ca="1">INDIRECT("'数据-取费表'!k"&amp;$G$1)</f>
        <v>1216.6500000000001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509112</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ROUND(IF(AND(项目基本情况!B11="自然人",项目基本情况!B10="北京市"),C6*F31/(1+'数据-取费表'!C42),C32+C33+C34),0)</f>
        <v>401953</v>
      </c>
      <c r="D31" s="1343" t="s">
        <v>720</v>
      </c>
      <c r="E31" s="1342" t="s">
        <v>770</v>
      </c>
      <c r="F31" s="2313">
        <f ca="1">IF(项目基本情况!B11="企业","——",IF(M47="住宅",IF(F6*F7*F8/12/(1+'数据-取费表'!F30)&gt;100000,4%,2.5%),IF(F6*F7*F8/12/(1+'数据-取费表'!F30)&gt;100000,12%,7%)))</f>
        <v>0.12</v>
      </c>
      <c r="G31" s="1382"/>
      <c r="H31" s="2805" t="s">
        <v>2301</v>
      </c>
      <c r="I31" s="1396"/>
      <c r="J31" s="1397"/>
      <c r="K31" s="2473"/>
      <c r="L31" s="2695"/>
      <c r="M31" s="2696"/>
    </row>
    <row r="32" spans="1:37" ht="18" customHeight="1">
      <c r="A32" s="981"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71944</v>
      </c>
      <c r="D36" s="1342" t="s">
        <v>771</v>
      </c>
      <c r="E36" s="302" t="s">
        <v>712</v>
      </c>
      <c r="F36" s="328">
        <f ca="1">INDIRECT("'数据-取费表'!Ak"&amp;$G$1)</f>
        <v>0.01</v>
      </c>
      <c r="G36" s="1382"/>
      <c r="H36" s="2697"/>
      <c r="I36" s="1396"/>
      <c r="J36" s="1397"/>
      <c r="K36" s="2542"/>
      <c r="L36" s="2697"/>
      <c r="M36" s="2697"/>
    </row>
    <row r="37" spans="1:18" ht="18" customHeight="1">
      <c r="A37" s="981" t="s">
        <v>437</v>
      </c>
      <c r="B37" s="302" t="s">
        <v>742</v>
      </c>
      <c r="C37" s="21">
        <f ca="1">ROUND(C13*F37,0)</f>
        <v>0</v>
      </c>
      <c r="D37" s="1342" t="s">
        <v>743</v>
      </c>
      <c r="E37" s="302" t="s">
        <v>744</v>
      </c>
      <c r="F37" s="330">
        <f ca="1">INDIRECT("'数据-取费表'!Al"&amp;$G$1)</f>
        <v>1E-3</v>
      </c>
      <c r="G37" s="1382"/>
      <c r="H37" s="2697"/>
      <c r="I37" s="1396"/>
      <c r="J37" s="1397"/>
      <c r="K37" s="2542"/>
      <c r="L37" s="2697"/>
      <c r="M37" s="2697"/>
    </row>
    <row r="38" spans="1:18" ht="18" customHeight="1" thickBot="1">
      <c r="A38" s="1088" t="s">
        <v>684</v>
      </c>
      <c r="B38" s="1089" t="s">
        <v>728</v>
      </c>
      <c r="C38" s="1090">
        <f ca="1">ROUND(C5*F38,0)</f>
        <v>35215</v>
      </c>
      <c r="D38" s="1091" t="s">
        <v>748</v>
      </c>
      <c r="E38" s="1089" t="s">
        <v>744</v>
      </c>
      <c r="F38" s="1085">
        <f ca="1">INDIRECT("'数据-取费表'!Am"&amp;$G$1)</f>
        <v>0.01</v>
      </c>
      <c r="G38" s="1382"/>
      <c r="H38" s="2697"/>
      <c r="I38" s="1396"/>
      <c r="J38" s="1397"/>
      <c r="K38" s="2701"/>
      <c r="L38" s="2697"/>
      <c r="M38" s="2697"/>
    </row>
    <row r="39" spans="1:18" ht="24.6" customHeight="1" thickTop="1">
      <c r="A39" s="1078" t="s">
        <v>394</v>
      </c>
      <c r="B39" s="1093" t="s">
        <v>772</v>
      </c>
      <c r="C39" s="310">
        <f ca="1">C5-C30</f>
        <v>3012376</v>
      </c>
      <c r="D39" s="1094" t="s">
        <v>773</v>
      </c>
      <c r="E39" s="1095"/>
      <c r="F39" s="1096"/>
      <c r="G39" s="1382"/>
      <c r="H39" s="2697"/>
      <c r="I39" s="1396"/>
      <c r="J39" s="1397"/>
      <c r="K39" s="2701"/>
      <c r="L39" s="2697"/>
      <c r="M39" s="2697"/>
    </row>
    <row r="40" spans="1:18" ht="18" customHeight="1">
      <c r="A40" s="299" t="s">
        <v>395</v>
      </c>
      <c r="B40" s="300" t="s">
        <v>774</v>
      </c>
      <c r="C40" s="301">
        <f ca="1">ROUND(C39*(1-((1+F42)/(1+F40))^F41)/(F40-F42),0)</f>
        <v>42093363</v>
      </c>
      <c r="D40" s="324" t="s">
        <v>758</v>
      </c>
      <c r="E40" s="302" t="s">
        <v>759</v>
      </c>
      <c r="F40" s="312">
        <f ca="1">INDIRECT("'数据-取费表'!I"&amp;$G$1)</f>
        <v>0.06</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20</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34598</v>
      </c>
      <c r="D43" s="337" t="s">
        <v>777</v>
      </c>
      <c r="E43" s="338" t="s">
        <v>778</v>
      </c>
      <c r="F43" s="339">
        <f ca="1">INDIRECT("'数据-取费表'!k"&amp;$G$1)</f>
        <v>1216.6500000000001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8" t="s">
        <v>3348</v>
      </c>
      <c r="B45" s="1398"/>
      <c r="C45" s="1470">
        <f ca="1">ROUND((C68-C40)/10000,4)</f>
        <v>-4291.8554999999997</v>
      </c>
      <c r="D45" s="3429" t="s">
        <v>3349</v>
      </c>
      <c r="E45" s="1398"/>
      <c r="F45" s="1398"/>
      <c r="O45" s="1401" t="s">
        <v>808</v>
      </c>
      <c r="P45" s="1459"/>
      <c r="Q45" s="1459"/>
      <c r="R45" s="1459"/>
    </row>
    <row r="46" spans="1:18" s="1382" customFormat="1" ht="13.5" thickBot="1">
      <c r="A46" s="1402" t="s">
        <v>809</v>
      </c>
      <c r="C46" s="1403">
        <f ca="1">ROUND(C45,0)</f>
        <v>-4292</v>
      </c>
      <c r="D46" s="1404" t="str">
        <f>C2</f>
        <v>万元</v>
      </c>
      <c r="I46" s="1405" t="s">
        <v>810</v>
      </c>
      <c r="J46" s="1406"/>
      <c r="K46" s="1407"/>
      <c r="L46" s="1408">
        <f ca="1">IF(M47="住宅",0,IF(L48&gt;J51,L60,J60))</f>
        <v>617418</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3567</v>
      </c>
      <c r="K47" s="1414" t="s">
        <v>816</v>
      </c>
      <c r="L47" s="1415">
        <f ca="1">INDIRECT("'数据-取费表'!d"&amp;$G$1)</f>
        <v>40</v>
      </c>
      <c r="M47" s="1378" t="str">
        <f>IF(ISNUMBER(FIND("住宅",C1)),"住宅","非住宅")</f>
        <v>非住宅</v>
      </c>
      <c r="O47" s="1416" t="s">
        <v>403</v>
      </c>
      <c r="P47" s="1417" t="s">
        <v>817</v>
      </c>
      <c r="Q47" s="1418">
        <f ca="1">C40+J29</f>
        <v>42093363</v>
      </c>
      <c r="R47" s="1418" t="s">
        <v>818</v>
      </c>
    </row>
    <row r="48" spans="1:18" s="1382" customFormat="1" ht="28.5" thickBot="1">
      <c r="A48" s="1109" t="s">
        <v>438</v>
      </c>
      <c r="B48" s="300" t="s">
        <v>692</v>
      </c>
      <c r="C48" s="1357">
        <f ca="1">C49+C53+C55</f>
        <v>0</v>
      </c>
      <c r="D48" s="1111"/>
      <c r="E48" s="1112"/>
      <c r="F48" s="961"/>
      <c r="G48" s="721"/>
      <c r="H48" s="722"/>
      <c r="I48" s="1419" t="s">
        <v>819</v>
      </c>
      <c r="J48" s="1420" t="s">
        <v>3581</v>
      </c>
      <c r="K48" s="1421" t="s">
        <v>820</v>
      </c>
      <c r="L48" s="1422">
        <f ca="1">INDIRECT("'数据-取费表'!f"&amp;$G$1)</f>
        <v>20</v>
      </c>
      <c r="O48" s="1416" t="s">
        <v>404</v>
      </c>
      <c r="P48" s="1417" t="s">
        <v>821</v>
      </c>
      <c r="Q48" s="1418">
        <f ca="1">J60</f>
        <v>617418</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v>2005</v>
      </c>
      <c r="K49" s="1421" t="s">
        <v>824</v>
      </c>
      <c r="L49" s="1425"/>
      <c r="O49" s="1426" t="s">
        <v>405</v>
      </c>
      <c r="P49" s="1417" t="s">
        <v>825</v>
      </c>
      <c r="Q49" s="1418">
        <f ca="1">C29</f>
        <v>7194399</v>
      </c>
      <c r="R49" s="1418" t="s">
        <v>818</v>
      </c>
    </row>
    <row r="50" spans="1:18" s="1382" customFormat="1" ht="13.5" thickBot="1">
      <c r="A50" s="975"/>
      <c r="B50" s="978"/>
      <c r="C50" s="979"/>
      <c r="D50" s="952"/>
      <c r="E50" s="1055" t="s">
        <v>697</v>
      </c>
      <c r="F50" s="1056">
        <f ca="1">F7</f>
        <v>1216.6500000000001</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52485252</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20</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20</v>
      </c>
      <c r="K53" s="3682" t="s">
        <v>837</v>
      </c>
      <c r="L53" s="3683"/>
      <c r="O53" s="1416" t="s">
        <v>409</v>
      </c>
      <c r="P53" s="1417" t="s">
        <v>838</v>
      </c>
      <c r="Q53" s="1418">
        <f ca="1">Q47+Q48</f>
        <v>42710781</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3582</v>
      </c>
      <c r="K56" s="1419" t="s">
        <v>843</v>
      </c>
      <c r="L56" s="1422" t="str">
        <f ca="1">IF(L48&lt;J51,"——",L48-J51)</f>
        <v>——</v>
      </c>
      <c r="O56" s="1416" t="s">
        <v>403</v>
      </c>
      <c r="P56" s="1417" t="s">
        <v>817</v>
      </c>
      <c r="Q56" s="1418">
        <f ca="1">C40+J29</f>
        <v>42093363</v>
      </c>
      <c r="R56" s="1418" t="s">
        <v>818</v>
      </c>
    </row>
    <row r="57" spans="1:18" s="1382" customFormat="1" ht="24.75" thickBot="1">
      <c r="A57" s="1449"/>
      <c r="B57" s="949" t="s">
        <v>767</v>
      </c>
      <c r="C57" s="238">
        <f ca="1">C29</f>
        <v>7194399</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71944</v>
      </c>
      <c r="D58" s="959" t="s">
        <v>715</v>
      </c>
      <c r="E58" s="960"/>
      <c r="F58" s="961"/>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2877760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6" t="s">
        <v>853</v>
      </c>
      <c r="J60" s="1457">
        <f ca="1">IF(OR(M47="住宅",J51&lt;L48,J56="是"),"0",ROUND(J59/(1+J52)^J53,0))</f>
        <v>617418</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IF(项目基本情况!B11="自然人","——",IF(D61="按租金收入计税",ROUND(C49*F61/(1+'数据-取费表'!C42),0),IF(D61="按房产原值计税",ROUND(C57*F61*0.7,0),INDIRECT("'数据-取费表'!Aj"&amp;$G$1))))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IF(项目基本情况!B11="自然人","——",ROUND(F62*F63,0))</f>
        <v>——</v>
      </c>
      <c r="D62" s="964" t="s">
        <v>786</v>
      </c>
      <c r="E62" s="949" t="s">
        <v>787</v>
      </c>
      <c r="F62" s="325">
        <f t="shared" si="0"/>
        <v>0</v>
      </c>
      <c r="I62" s="1460" t="s">
        <v>858</v>
      </c>
      <c r="J62" s="1461" t="s">
        <v>859</v>
      </c>
      <c r="K62" s="1461" t="s">
        <v>860</v>
      </c>
      <c r="L62" s="1461" t="s">
        <v>861</v>
      </c>
      <c r="M62" s="1462" t="s">
        <v>862</v>
      </c>
      <c r="O62" s="1416" t="s">
        <v>409</v>
      </c>
      <c r="P62" s="1417" t="s">
        <v>863</v>
      </c>
      <c r="Q62" s="1418">
        <f ca="1">Q56+Q57</f>
        <v>42093363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71944</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1E-3</v>
      </c>
      <c r="I65" s="1460" t="s">
        <v>867</v>
      </c>
      <c r="J65" s="1461">
        <v>40</v>
      </c>
      <c r="K65" s="1461">
        <v>30</v>
      </c>
      <c r="L65" s="1461">
        <v>50</v>
      </c>
      <c r="M65" s="1463">
        <v>0.02</v>
      </c>
      <c r="O65" s="1416" t="s">
        <v>403</v>
      </c>
      <c r="P65" s="1417" t="s">
        <v>868</v>
      </c>
      <c r="Q65" s="1418">
        <f ca="1">C40+J29</f>
        <v>42093363</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-71944</v>
      </c>
      <c r="D67" s="962" t="s">
        <v>753</v>
      </c>
      <c r="E67" s="967"/>
      <c r="F67" s="968"/>
      <c r="O67" s="1426" t="s">
        <v>405</v>
      </c>
      <c r="P67" s="1417" t="s">
        <v>850</v>
      </c>
      <c r="Q67" s="1464">
        <f ca="1">L51</f>
        <v>52485252</v>
      </c>
      <c r="R67" s="1418" t="s">
        <v>870</v>
      </c>
    </row>
    <row r="68" spans="1:18" s="1382" customFormat="1" ht="16.5" thickBot="1">
      <c r="A68" s="946" t="s">
        <v>395</v>
      </c>
      <c r="B68" s="947" t="s">
        <v>774</v>
      </c>
      <c r="C68" s="301">
        <f ca="1">ROUND(C67*(1-((1+F70)/(1+F68))^F69)/(F68-F70),0)</f>
        <v>-825192</v>
      </c>
      <c r="D68" s="964" t="s">
        <v>758</v>
      </c>
      <c r="E68" s="949" t="s">
        <v>759</v>
      </c>
      <c r="F68" s="312">
        <f ca="1">F40</f>
        <v>0.06</v>
      </c>
      <c r="O68" s="1426" t="s">
        <v>406</v>
      </c>
      <c r="P68" s="1465" t="s">
        <v>871</v>
      </c>
      <c r="Q68" s="1418">
        <f ca="1">ROUND(Q69-Q70*Q71,0)</f>
        <v>3012376</v>
      </c>
      <c r="R68" s="1418" t="s">
        <v>414</v>
      </c>
    </row>
    <row r="69" spans="1:18" s="1382" customFormat="1" ht="13.5" thickBot="1">
      <c r="A69" s="950"/>
      <c r="B69" s="951"/>
      <c r="C69" s="306"/>
      <c r="D69" s="969" t="s">
        <v>762</v>
      </c>
      <c r="E69" s="949" t="s">
        <v>763</v>
      </c>
      <c r="F69" s="333">
        <f ca="1">F41</f>
        <v>20</v>
      </c>
      <c r="O69" s="1426" t="s">
        <v>411</v>
      </c>
      <c r="P69" s="1465" t="s">
        <v>872</v>
      </c>
      <c r="Q69" s="1418">
        <f ca="1">C39</f>
        <v>3012376</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ROUND(C68/F71,0)</f>
        <v>-678</v>
      </c>
      <c r="D71" s="972" t="s">
        <v>777</v>
      </c>
      <c r="E71" s="973" t="s">
        <v>778</v>
      </c>
      <c r="F71" s="339">
        <f ca="1">F43</f>
        <v>1216.6500000000001</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42093363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9" t="s">
        <v>2835</v>
      </c>
      <c r="B1" s="3819"/>
      <c r="C1" s="3819"/>
      <c r="D1" s="3819"/>
      <c r="E1" s="3819"/>
      <c r="F1" s="3819"/>
      <c r="G1" s="3820"/>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817"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818"/>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1" t="s">
        <v>3177</v>
      </c>
      <c r="B1" s="3821"/>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2" t="s">
        <v>3228</v>
      </c>
      <c r="B1" s="3822"/>
      <c r="C1" s="3822"/>
      <c r="D1" s="3822"/>
      <c r="E1" s="3822"/>
      <c r="F1" s="3823"/>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45069</v>
      </c>
      <c r="B1" s="3207" t="s">
        <v>2834</v>
      </c>
      <c r="C1" s="3208"/>
      <c r="D1" s="3208"/>
      <c r="E1" s="3208"/>
      <c r="F1" s="3208"/>
      <c r="G1" s="3208"/>
      <c r="H1" s="3208"/>
      <c r="I1" s="3208"/>
      <c r="J1" s="3162"/>
      <c r="K1" s="3208" t="s">
        <v>454</v>
      </c>
      <c r="L1" s="3208"/>
      <c r="M1" s="3208"/>
      <c r="N1" s="3208"/>
      <c r="O1" s="3208"/>
      <c r="P1" s="3208"/>
      <c r="Q1" s="3162"/>
      <c r="R1" s="3824" t="s">
        <v>456</v>
      </c>
      <c r="S1" s="3825"/>
      <c r="T1" s="3825"/>
      <c r="U1" s="3825"/>
      <c r="V1" s="3825"/>
      <c r="W1" s="3825"/>
      <c r="X1" s="3162"/>
      <c r="Y1" s="3824" t="s">
        <v>457</v>
      </c>
      <c r="Z1" s="3825"/>
      <c r="AA1" s="3825"/>
      <c r="AB1" s="3825"/>
      <c r="AC1" s="3825"/>
      <c r="AD1" s="3825"/>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824" t="s">
        <v>2822</v>
      </c>
      <c r="S21" s="3825"/>
      <c r="T21" s="3825"/>
      <c r="U21" s="3825"/>
      <c r="V21" s="3825"/>
      <c r="W21" s="3825"/>
      <c r="X21" s="3162"/>
      <c r="Y21" s="3824" t="s">
        <v>2823</v>
      </c>
      <c r="Z21" s="3825"/>
      <c r="AA21" s="3825"/>
      <c r="AB21" s="3825"/>
      <c r="AC21" s="3825"/>
      <c r="AD21" s="3825"/>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2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2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2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2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2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2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2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2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2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2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2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2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2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45069</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2304</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07"/>
      <c r="B3" s="3507"/>
      <c r="C3" s="3507"/>
      <c r="D3" s="853" t="s">
        <v>925</v>
      </c>
      <c r="E3" s="853" t="s">
        <v>931</v>
      </c>
      <c r="F3" s="853" t="s">
        <v>925</v>
      </c>
      <c r="G3" s="853" t="s">
        <v>926</v>
      </c>
      <c r="H3" s="853" t="s">
        <v>925</v>
      </c>
      <c r="I3" s="853" t="s">
        <v>926</v>
      </c>
    </row>
    <row r="4" spans="1:9" ht="15">
      <c r="A4" s="1503" t="str">
        <f>项目基本情况!S2</f>
        <v>北京市丰台区四方景园二区配套商业房地产</v>
      </c>
      <c r="B4" s="853">
        <f>项目基本情况!C17</f>
        <v>1216.6500000000001</v>
      </c>
      <c r="C4" s="853">
        <f>项目基本情况!C18</f>
        <v>0</v>
      </c>
      <c r="D4" s="853">
        <f ca="1">结果表!D118</f>
        <v>5604</v>
      </c>
      <c r="E4" s="853">
        <f ca="1">结果表!E118</f>
        <v>46061</v>
      </c>
      <c r="F4" s="853">
        <f ca="1">结果表!F118</f>
        <v>0</v>
      </c>
      <c r="G4" s="853">
        <f ca="1">结果表!G118</f>
        <v>0</v>
      </c>
      <c r="H4" s="853">
        <f ca="1">结果表!H118</f>
        <v>5604</v>
      </c>
      <c r="I4" s="853">
        <f ca="1">结果表!I118</f>
        <v>46061</v>
      </c>
    </row>
    <row r="5" spans="1:9" ht="30" customHeight="1">
      <c r="A5" s="3507" t="s">
        <v>927</v>
      </c>
      <c r="B5" s="3507"/>
      <c r="C5" s="3507"/>
      <c r="D5" s="3507" t="str">
        <f ca="1">结果表!D119</f>
        <v>伍仟陆佰零肆万元整</v>
      </c>
      <c r="E5" s="3507"/>
      <c r="F5" s="3507" t="str">
        <f ca="1">结果表!F119</f>
        <v>零元整</v>
      </c>
      <c r="G5" s="3507"/>
      <c r="H5" s="3507" t="str">
        <f ca="1">结果表!H119</f>
        <v>伍仟陆佰零肆万元整</v>
      </c>
      <c r="I5" s="3507"/>
    </row>
    <row r="6" spans="1:9" ht="15.75">
      <c r="A6" s="3506" t="str">
        <f>结果表!A120</f>
        <v>估价师知悉的法定优先受偿款</v>
      </c>
      <c r="B6" s="3506"/>
      <c r="C6" s="3506"/>
      <c r="D6" s="3506">
        <f>结果表!D120</f>
        <v>0</v>
      </c>
      <c r="E6" s="3506"/>
      <c r="F6" s="3506"/>
      <c r="G6" s="3506"/>
      <c r="H6" s="3506"/>
      <c r="I6" s="3506"/>
    </row>
    <row r="7" spans="1:9" ht="15">
      <c r="A7" s="3507" t="s">
        <v>927</v>
      </c>
      <c r="B7" s="3507"/>
      <c r="C7" s="3507"/>
      <c r="D7" s="3508" t="str">
        <f>结果表!D121</f>
        <v>零元整</v>
      </c>
      <c r="E7" s="3509"/>
      <c r="F7" s="3509"/>
      <c r="G7" s="3509"/>
      <c r="H7" s="3509"/>
      <c r="I7" s="3510"/>
    </row>
    <row r="8" spans="1:9" ht="15.75">
      <c r="A8" s="3506" t="str">
        <f>结果表!A122</f>
        <v>房地产抵押价值</v>
      </c>
      <c r="B8" s="3506"/>
      <c r="C8" s="3506"/>
      <c r="D8" s="3506">
        <f ca="1">结果表!D122</f>
        <v>5604</v>
      </c>
      <c r="E8" s="3506"/>
      <c r="F8" s="3506"/>
      <c r="G8" s="3506"/>
      <c r="H8" s="3506"/>
      <c r="I8" s="3506"/>
    </row>
    <row r="9" spans="1:9" ht="15">
      <c r="A9" s="3507" t="s">
        <v>927</v>
      </c>
      <c r="B9" s="3507"/>
      <c r="C9" s="3507"/>
      <c r="D9" s="3507" t="str">
        <f ca="1">结果表!D123</f>
        <v>伍仟陆佰零肆万元整</v>
      </c>
      <c r="E9" s="3507"/>
      <c r="F9" s="3507"/>
      <c r="G9" s="3507"/>
      <c r="H9" s="3507"/>
      <c r="I9" s="3507"/>
    </row>
    <row r="10" spans="1:9" ht="15.75">
      <c r="A10" s="3506" t="str">
        <f>结果表!A124</f>
        <v/>
      </c>
      <c r="B10" s="3506"/>
      <c r="C10" s="3506"/>
      <c r="D10" s="3506" t="str">
        <f>结果表!D124</f>
        <v>——</v>
      </c>
      <c r="E10" s="3506"/>
      <c r="F10" s="3506"/>
      <c r="G10" s="3506"/>
      <c r="H10" s="3506"/>
      <c r="I10" s="3506"/>
    </row>
    <row r="11" spans="1:9" ht="15">
      <c r="A11" s="3507" t="s">
        <v>927</v>
      </c>
      <c r="B11" s="3507"/>
      <c r="C11" s="3507"/>
      <c r="D11" s="3507" t="e">
        <f>结果表!D125</f>
        <v>#VALUE!</v>
      </c>
      <c r="E11" s="3507"/>
      <c r="F11" s="3507"/>
      <c r="G11" s="3507"/>
      <c r="H11" s="3507"/>
      <c r="I11" s="3507"/>
    </row>
    <row r="12" spans="1:9" ht="15.75">
      <c r="A12" s="3506" t="str">
        <f>结果表!A126</f>
        <v/>
      </c>
      <c r="B12" s="3506"/>
      <c r="C12" s="3506"/>
      <c r="D12" s="3506" t="str">
        <f>结果表!D126</f>
        <v>——</v>
      </c>
      <c r="E12" s="3506"/>
      <c r="F12" s="3506"/>
      <c r="G12" s="3506"/>
      <c r="H12" s="3506"/>
      <c r="I12" s="3506"/>
    </row>
    <row r="13" spans="1:9" ht="15.75" thickBot="1">
      <c r="A13" s="3504" t="s">
        <v>927</v>
      </c>
      <c r="B13" s="3504"/>
      <c r="C13" s="3504"/>
      <c r="D13" s="3504" t="e">
        <f>结果表!D127</f>
        <v>#VALUE!</v>
      </c>
      <c r="E13" s="3504"/>
      <c r="F13" s="3504"/>
      <c r="G13" s="3504"/>
      <c r="H13" s="3504"/>
      <c r="I13" s="3504"/>
    </row>
    <row r="14" spans="1:9" ht="15" thickTop="1">
      <c r="A14" s="3505" t="s">
        <v>932</v>
      </c>
      <c r="B14" s="3505"/>
      <c r="C14" s="3505"/>
      <c r="D14" s="3505"/>
      <c r="E14" s="3505"/>
      <c r="F14" s="3505"/>
      <c r="G14" s="3505"/>
      <c r="H14" s="3505"/>
      <c r="I14" s="350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19" t="s">
        <v>949</v>
      </c>
      <c r="B1" s="3519"/>
      <c r="C1" s="3519"/>
      <c r="D1" s="3519"/>
    </row>
    <row r="2" spans="1:4" ht="18">
      <c r="A2" s="3520" t="s">
        <v>933</v>
      </c>
      <c r="B2" s="3520"/>
      <c r="C2" s="3520"/>
      <c r="D2" s="3520"/>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20" t="s">
        <v>939</v>
      </c>
      <c r="B6" s="3520"/>
      <c r="C6" s="3520"/>
      <c r="D6" s="352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21"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3" t="str">
        <f>IF(项目基本情况!B8="抵押","4.本次评估估价师所知悉的法定优先受偿款情况说明如下：","——")</f>
        <v>4.本次评估估价师所知悉的法定优先受偿款情况说明如下：</v>
      </c>
      <c r="B14" s="3518"/>
      <c r="C14" s="3518"/>
      <c r="D14" s="3518"/>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5" t="s">
        <v>943</v>
      </c>
      <c r="B16" s="3515"/>
      <c r="C16" s="3515"/>
      <c r="D16" s="3515"/>
    </row>
    <row r="17" spans="1:4" ht="144" customHeight="1">
      <c r="A17" s="3515" t="s">
        <v>944</v>
      </c>
      <c r="B17" s="3515"/>
      <c r="C17" s="3515"/>
      <c r="D17" s="3515"/>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14">
        <v>42551</v>
      </c>
      <c r="D31" s="35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27" t="s">
        <v>956</v>
      </c>
      <c r="B15" s="3522" t="s">
        <v>109</v>
      </c>
      <c r="C15" s="3523"/>
    </row>
    <row r="16" spans="1:7" ht="13.5">
      <c r="A16" s="3528"/>
      <c r="B16" s="3522" t="s">
        <v>42</v>
      </c>
      <c r="C16" s="3523"/>
    </row>
    <row r="17" spans="1:3" ht="13.5">
      <c r="A17" s="3528"/>
      <c r="B17" s="3525" t="s">
        <v>957</v>
      </c>
      <c r="C17" s="1530" t="s">
        <v>956</v>
      </c>
    </row>
    <row r="18" spans="1:3" ht="13.5">
      <c r="A18" s="3528"/>
      <c r="B18" s="3525"/>
      <c r="C18" s="1530" t="s">
        <v>958</v>
      </c>
    </row>
    <row r="19" spans="1:3" ht="13.5">
      <c r="A19" s="3528"/>
      <c r="B19" s="3525"/>
      <c r="C19" s="1530" t="s">
        <v>959</v>
      </c>
    </row>
    <row r="20" spans="1:3" ht="13.5">
      <c r="A20" s="3529"/>
      <c r="B20" s="3524" t="s">
        <v>960</v>
      </c>
      <c r="C20" s="3523"/>
    </row>
    <row r="21" spans="1:3" ht="13.5">
      <c r="A21" s="1531" t="s">
        <v>961</v>
      </c>
      <c r="B21" s="1532"/>
      <c r="C21" s="1533"/>
    </row>
    <row r="22" spans="1:3" ht="13.5">
      <c r="A22" s="3526" t="s">
        <v>962</v>
      </c>
      <c r="B22" s="3524" t="s">
        <v>963</v>
      </c>
      <c r="C22" s="3523"/>
    </row>
    <row r="23" spans="1:3" ht="13.5">
      <c r="A23" s="3526"/>
      <c r="B23" s="3524" t="s">
        <v>964</v>
      </c>
      <c r="C23" s="3523"/>
    </row>
    <row r="24" spans="1:3" ht="13.5">
      <c r="A24" s="3526"/>
      <c r="B24" s="3524" t="s">
        <v>965</v>
      </c>
      <c r="C24" s="3523"/>
    </row>
    <row r="25" spans="1:3" ht="13.5">
      <c r="A25" s="3526"/>
      <c r="B25" s="3525" t="s">
        <v>966</v>
      </c>
      <c r="C25" s="1530" t="s">
        <v>967</v>
      </c>
    </row>
    <row r="26" spans="1:3" ht="13.5">
      <c r="A26" s="3526"/>
      <c r="B26" s="3525"/>
      <c r="C26" s="1530" t="s">
        <v>968</v>
      </c>
    </row>
    <row r="27" spans="1:3" ht="13.5">
      <c r="A27" s="3526"/>
      <c r="B27" s="3525"/>
      <c r="C27" s="1530" t="s">
        <v>969</v>
      </c>
    </row>
    <row r="28" spans="1:3" ht="13.5">
      <c r="A28" s="3526"/>
      <c r="B28" s="3525"/>
      <c r="C28" s="1530" t="s">
        <v>970</v>
      </c>
    </row>
    <row r="29" spans="1:3" ht="13.5">
      <c r="A29" s="3526"/>
      <c r="B29" s="3525"/>
      <c r="C29" s="1530" t="s">
        <v>971</v>
      </c>
    </row>
    <row r="30" spans="1:3" ht="13.5">
      <c r="A30" s="3526"/>
      <c r="B30" s="3525"/>
      <c r="C30" s="1530" t="s">
        <v>972</v>
      </c>
    </row>
    <row r="31" spans="1:3" ht="13.5">
      <c r="A31" s="3526"/>
      <c r="B31" s="3525"/>
      <c r="C31" s="1530" t="s">
        <v>973</v>
      </c>
    </row>
    <row r="32" spans="1:3" ht="13.5">
      <c r="A32" s="3526"/>
      <c r="B32" s="3525"/>
      <c r="C32" s="1530" t="s">
        <v>974</v>
      </c>
    </row>
    <row r="33" spans="1:3" ht="13.5">
      <c r="A33" s="3526"/>
      <c r="B33" s="352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45071</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2431</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0" t="s">
        <v>2155</v>
      </c>
      <c r="B17" s="3530"/>
      <c r="C17" s="3530"/>
      <c r="D17" s="3530"/>
      <c r="E17" s="3530"/>
      <c r="F17" s="3530"/>
      <c r="G17" s="3530"/>
      <c r="H17" s="3530"/>
    </row>
    <row r="18" spans="1:8" ht="24" customHeight="1">
      <c r="A18" s="3531" t="s">
        <v>2156</v>
      </c>
      <c r="B18" s="3531"/>
      <c r="C18" s="3531"/>
      <c r="D18" s="2341"/>
      <c r="E18" s="3532" t="s">
        <v>2157</v>
      </c>
      <c r="F18" s="3531"/>
      <c r="G18" s="3531"/>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典型户型修正</vt:lpstr>
      <vt:lpstr>结果表商业</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2023-05-25T02:54:18Z</dcterms:modified>
</cp:coreProperties>
</file>